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rv-prj\prj\1549-FDS-PPP\04-ProdEmElaboracao\4.revisões pós audiência pública\7.ORÇAMENTO\"/>
    </mc:Choice>
  </mc:AlternateContent>
  <xr:revisionPtr revIDLastSave="0" documentId="13_ncr:1_{173A4677-138C-4F23-B624-DB28D2A5279B}" xr6:coauthVersionLast="47" xr6:coauthVersionMax="47" xr10:uidLastSave="{00000000-0000-0000-0000-000000000000}"/>
  <bookViews>
    <workbookView xWindow="-108" yWindow="-108" windowWidth="23256" windowHeight="12456" tabRatio="932" xr2:uid="{9338215B-0D46-42B9-8385-6925366CC7DA}"/>
  </bookViews>
  <sheets>
    <sheet name="Resumo" sheetId="9" r:id="rId1"/>
    <sheet name="Planilha" sheetId="1" r:id="rId2"/>
    <sheet name="Cronograma" sheetId="21" r:id="rId3"/>
    <sheet name="Preços Unitários" sheetId="2" r:id="rId4"/>
    <sheet name="BDI" sheetId="4" r:id="rId5"/>
    <sheet name="Composições de Preços" sheetId="5" r:id="rId6"/>
    <sheet name="Critérios" sheetId="7" r:id="rId7"/>
    <sheet name="Ficha Canais" sheetId="8" r:id="rId8"/>
    <sheet name="Ficha EC" sheetId="10" r:id="rId9"/>
    <sheet name="Ficha EXTRAV" sheetId="12" r:id="rId10"/>
    <sheet name="Ficha Bueiros" sheetId="18" r:id="rId11"/>
    <sheet name="MC Canais" sheetId="6" r:id="rId12"/>
    <sheet name="MC EC" sheetId="11" r:id="rId13"/>
    <sheet name="MC OBRAS" sheetId="13" r:id="rId14"/>
    <sheet name="MC GALERIAS" sheetId="19" r:id="rId15"/>
    <sheet name="MC TUBULAÇÕES" sheetId="16" r:id="rId16"/>
    <sheet name="MC ERs" sheetId="17" r:id="rId17"/>
    <sheet name="Equipamentos Elétricos" sheetId="20" r:id="rId18"/>
    <sheet name="Bombas" sheetId="14" r:id="rId19"/>
    <sheet name="Tubulações ER" sheetId="15" r:id="rId20"/>
    <sheet name="Conexão - CEMIG" sheetId="23" r:id="rId21"/>
  </sheets>
  <definedNames>
    <definedName name="_xlnm._FilterDatabase" localSheetId="1" hidden="1">Planilha!$A$10:$L$10</definedName>
    <definedName name="_xlnm._FilterDatabase" localSheetId="3" hidden="1">'Preços Unitários'!$A$5:$G$6499</definedName>
    <definedName name="A___Bonificação__lucros">#REF!</definedName>
    <definedName name="_xlnm.Print_Area" localSheetId="0">Resumo!$B$1:$I$171</definedName>
    <definedName name="B_1___Administração_Central">#REF!</definedName>
    <definedName name="B_2___Seguro___Garantia">#REF!</definedName>
    <definedName name="B_3___Risco">#REF!</definedName>
    <definedName name="B_4___Despesas_Financeiras">#REF!</definedName>
    <definedName name="C_1___PIS___uso_do_REIDI">#REF!</definedName>
    <definedName name="C_2___ISS">#REF!</definedName>
    <definedName name="C_3___COFINS____Uso_do_Reidi">#REF!</definedName>
    <definedName name="C_4___CPRB">#REF!</definedName>
    <definedName name="_xlnm.Print_Titles" localSheetId="1">Planilha!$1:$10</definedName>
    <definedName name="_xlnm.Print_Titles" localSheetId="0">Resumo!$1:$10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21" l="1"/>
  <c r="I11" i="21" l="1"/>
  <c r="H10" i="21"/>
  <c r="F8" i="21"/>
  <c r="L3" i="21"/>
  <c r="J12" i="21"/>
  <c r="G33" i="21"/>
  <c r="G48" i="21" l="1"/>
  <c r="F48" i="21"/>
  <c r="E48" i="21"/>
  <c r="G45" i="21"/>
  <c r="F45" i="21"/>
  <c r="E45" i="21"/>
  <c r="G41" i="21"/>
  <c r="F41" i="21"/>
  <c r="E41" i="21"/>
  <c r="G38" i="21"/>
  <c r="F38" i="21"/>
  <c r="E37" i="21"/>
  <c r="E38" i="21" s="1"/>
  <c r="G36" i="21"/>
  <c r="F36" i="21"/>
  <c r="E36" i="21"/>
  <c r="F33" i="21"/>
  <c r="E33" i="21"/>
  <c r="G31" i="21"/>
  <c r="F31" i="21"/>
  <c r="E31" i="21"/>
  <c r="I48" i="21" l="1"/>
  <c r="I38" i="21"/>
  <c r="G664" i="1"/>
  <c r="G662" i="1"/>
  <c r="G661" i="1"/>
  <c r="AC8" i="12"/>
  <c r="W8" i="12"/>
  <c r="V8" i="12"/>
  <c r="S8" i="12"/>
  <c r="R8" i="12"/>
  <c r="Q8" i="12"/>
  <c r="L8" i="12"/>
  <c r="K8" i="12"/>
  <c r="H540" i="6" l="1"/>
  <c r="H502" i="6"/>
  <c r="H426" i="6"/>
  <c r="O37" i="8"/>
  <c r="O39" i="8" s="1"/>
  <c r="N37" i="8"/>
  <c r="M37" i="8"/>
  <c r="L37" i="8"/>
  <c r="L39" i="8" s="1"/>
  <c r="K37" i="8"/>
  <c r="K39" i="8" s="1"/>
  <c r="J37" i="8"/>
  <c r="J39" i="8" s="1"/>
  <c r="O21" i="8"/>
  <c r="N21" i="8"/>
  <c r="M21" i="8"/>
  <c r="L21" i="8"/>
  <c r="K21" i="8"/>
  <c r="J21" i="8"/>
  <c r="I1475" i="1"/>
  <c r="I1476" i="1"/>
  <c r="I1474" i="1"/>
  <c r="H1476" i="1"/>
  <c r="H1474" i="1"/>
  <c r="G8" i="23"/>
  <c r="G19" i="23"/>
  <c r="G17" i="23"/>
  <c r="G15" i="23"/>
  <c r="G16" i="23"/>
  <c r="G14" i="23"/>
  <c r="E17" i="23"/>
  <c r="F17" i="23"/>
  <c r="D17" i="23"/>
  <c r="E6" i="23"/>
  <c r="F6" i="23"/>
  <c r="D6" i="23"/>
  <c r="G6" i="23" s="1"/>
  <c r="G5" i="23"/>
  <c r="I1472" i="1" s="1"/>
  <c r="G4" i="23"/>
  <c r="I1471" i="1" s="1"/>
  <c r="H1471" i="1"/>
  <c r="H1467" i="1"/>
  <c r="I1467" i="1" s="1"/>
  <c r="H1462" i="1"/>
  <c r="I1462" i="1" s="1"/>
  <c r="H1463" i="1"/>
  <c r="I1463" i="1" s="1"/>
  <c r="H1461" i="1"/>
  <c r="I1461" i="1" s="1"/>
  <c r="I1464" i="1"/>
  <c r="G30" i="14"/>
  <c r="G29" i="14"/>
  <c r="G28" i="14"/>
  <c r="E13" i="14"/>
  <c r="F13" i="14" s="1"/>
  <c r="G13" i="14" s="1"/>
  <c r="F12" i="14"/>
  <c r="G12" i="14" s="1"/>
  <c r="F11" i="14"/>
  <c r="G11" i="14" s="1"/>
  <c r="E10" i="14"/>
  <c r="F9" i="14"/>
  <c r="G9" i="14" s="1"/>
  <c r="E8" i="14"/>
  <c r="F8" i="14" s="1"/>
  <c r="E5" i="14"/>
  <c r="E4" i="14"/>
  <c r="I1473" i="1" l="1"/>
  <c r="I171" i="9" s="1"/>
  <c r="I1470" i="1"/>
  <c r="I1460" i="1"/>
  <c r="H9" i="14"/>
  <c r="I9" i="14" s="1"/>
  <c r="H22" i="14" s="1"/>
  <c r="G10" i="14"/>
  <c r="H11" i="14"/>
  <c r="I11" i="14" s="1"/>
  <c r="H24" i="14" s="1"/>
  <c r="H12" i="14"/>
  <c r="I12" i="14" s="1"/>
  <c r="H25" i="14" s="1"/>
  <c r="H13" i="14"/>
  <c r="I13" i="14" s="1"/>
  <c r="H26" i="14" s="1"/>
  <c r="G8" i="14"/>
  <c r="F4" i="14"/>
  <c r="G4" i="14" s="1"/>
  <c r="F5" i="14"/>
  <c r="G5" i="14" s="1"/>
  <c r="F10" i="14"/>
  <c r="I169" i="9" l="1"/>
  <c r="H5" i="14"/>
  <c r="I5" i="14" s="1"/>
  <c r="H20" i="14" s="1"/>
  <c r="H4" i="14"/>
  <c r="I4" i="14" s="1"/>
  <c r="H19" i="14" s="1"/>
  <c r="H10" i="14"/>
  <c r="I10" i="14" s="1"/>
  <c r="H23" i="14" s="1"/>
  <c r="H8" i="14"/>
  <c r="I8" i="14" s="1"/>
  <c r="H21" i="14" s="1"/>
  <c r="H8" i="6" l="1"/>
  <c r="I41" i="6"/>
  <c r="H46" i="6" s="1"/>
  <c r="I79" i="6" l="1"/>
  <c r="I117" i="6" l="1"/>
  <c r="H84" i="6"/>
  <c r="I155" i="6" l="1"/>
  <c r="H122" i="6"/>
  <c r="H160" i="6" l="1"/>
  <c r="I193" i="6"/>
  <c r="I231" i="6" s="1"/>
  <c r="H1166" i="1"/>
  <c r="F1166" i="1"/>
  <c r="E1166" i="1"/>
  <c r="H1128" i="1"/>
  <c r="F1128" i="1"/>
  <c r="E1128" i="1"/>
  <c r="H1091" i="1"/>
  <c r="F1091" i="1"/>
  <c r="E1091" i="1"/>
  <c r="H1053" i="1"/>
  <c r="F1053" i="1"/>
  <c r="E1053" i="1"/>
  <c r="H1015" i="1"/>
  <c r="F1015" i="1"/>
  <c r="E1015" i="1"/>
  <c r="H977" i="1"/>
  <c r="F977" i="1"/>
  <c r="E977" i="1"/>
  <c r="H940" i="1"/>
  <c r="F940" i="1"/>
  <c r="E940" i="1"/>
  <c r="H828" i="1"/>
  <c r="F828" i="1"/>
  <c r="E828" i="1"/>
  <c r="H865" i="1"/>
  <c r="F865" i="1"/>
  <c r="E865" i="1"/>
  <c r="H902" i="1"/>
  <c r="F902" i="1"/>
  <c r="E902" i="1"/>
  <c r="H481" i="1"/>
  <c r="F481" i="1"/>
  <c r="E481" i="1"/>
  <c r="H443" i="1"/>
  <c r="F443" i="1"/>
  <c r="E443" i="1"/>
  <c r="H406" i="1"/>
  <c r="F406" i="1"/>
  <c r="E406" i="1"/>
  <c r="H369" i="1"/>
  <c r="F369" i="1"/>
  <c r="E369" i="1"/>
  <c r="H332" i="1"/>
  <c r="F332" i="1"/>
  <c r="E332" i="1"/>
  <c r="H295" i="1"/>
  <c r="F295" i="1"/>
  <c r="E295" i="1"/>
  <c r="H257" i="1"/>
  <c r="F257" i="1"/>
  <c r="E257" i="1"/>
  <c r="H219" i="1"/>
  <c r="F219" i="1"/>
  <c r="E219" i="1"/>
  <c r="H181" i="1"/>
  <c r="F181" i="1"/>
  <c r="E181" i="1"/>
  <c r="H144" i="1"/>
  <c r="F144" i="1"/>
  <c r="E144" i="1"/>
  <c r="H107" i="1"/>
  <c r="F107" i="1"/>
  <c r="E107" i="1"/>
  <c r="H70" i="1"/>
  <c r="F70" i="1"/>
  <c r="E70" i="1"/>
  <c r="D997" i="6"/>
  <c r="D959" i="6"/>
  <c r="D921" i="6"/>
  <c r="D883" i="6"/>
  <c r="D845" i="6"/>
  <c r="D807" i="6"/>
  <c r="D769" i="6"/>
  <c r="D731" i="6"/>
  <c r="D693" i="6"/>
  <c r="D655" i="6"/>
  <c r="D617" i="6"/>
  <c r="D579" i="6"/>
  <c r="D541" i="6"/>
  <c r="D503" i="6"/>
  <c r="D427" i="6"/>
  <c r="D389" i="6"/>
  <c r="D351" i="6"/>
  <c r="D313" i="6"/>
  <c r="D237" i="6"/>
  <c r="D199" i="6"/>
  <c r="D161" i="6"/>
  <c r="D123" i="6"/>
  <c r="D85" i="6"/>
  <c r="D47" i="6"/>
  <c r="D9" i="6"/>
  <c r="F33" i="1"/>
  <c r="E33" i="1"/>
  <c r="E1354" i="1"/>
  <c r="E1378" i="1"/>
  <c r="G1390" i="1"/>
  <c r="E1370" i="1"/>
  <c r="E1362" i="1"/>
  <c r="E49" i="16"/>
  <c r="E39" i="16"/>
  <c r="E29" i="16"/>
  <c r="E19" i="16"/>
  <c r="E771" i="1"/>
  <c r="E9" i="16"/>
  <c r="G1420" i="1"/>
  <c r="F1420" i="1"/>
  <c r="E1420" i="1"/>
  <c r="G1410" i="1"/>
  <c r="F1410" i="1"/>
  <c r="E1410" i="1"/>
  <c r="G1400" i="1"/>
  <c r="F1400" i="1"/>
  <c r="E1400" i="1"/>
  <c r="F1390" i="1"/>
  <c r="E1390" i="1"/>
  <c r="G783" i="1"/>
  <c r="F783" i="1"/>
  <c r="E783" i="1"/>
  <c r="H91" i="17"/>
  <c r="H72" i="17"/>
  <c r="H54" i="17"/>
  <c r="H35" i="17"/>
  <c r="H16" i="17"/>
  <c r="G1237" i="1"/>
  <c r="F1237" i="1"/>
  <c r="E1237" i="1"/>
  <c r="G1221" i="1"/>
  <c r="F1221" i="1"/>
  <c r="E1221" i="1"/>
  <c r="G1205" i="1"/>
  <c r="F1205" i="1"/>
  <c r="E1205" i="1"/>
  <c r="G626" i="1"/>
  <c r="F626" i="1"/>
  <c r="E626" i="1"/>
  <c r="G611" i="1"/>
  <c r="F611" i="1"/>
  <c r="E611" i="1"/>
  <c r="G596" i="1"/>
  <c r="F596" i="1"/>
  <c r="E596" i="1"/>
  <c r="G581" i="1"/>
  <c r="F581" i="1"/>
  <c r="E581" i="1"/>
  <c r="G565" i="1"/>
  <c r="F565" i="1"/>
  <c r="E565" i="1"/>
  <c r="G550" i="1"/>
  <c r="F550" i="1"/>
  <c r="E550" i="1"/>
  <c r="G535" i="1"/>
  <c r="F535" i="1"/>
  <c r="E535" i="1"/>
  <c r="G520" i="1"/>
  <c r="F520" i="1"/>
  <c r="E520" i="1"/>
  <c r="I269" i="6" l="1"/>
  <c r="H236" i="6"/>
  <c r="I307" i="6" l="1"/>
  <c r="H274" i="6"/>
  <c r="H1037" i="6"/>
  <c r="J1037" i="6" s="1"/>
  <c r="H999" i="6"/>
  <c r="J999" i="6" s="1"/>
  <c r="G1168" i="1" s="1"/>
  <c r="H961" i="6"/>
  <c r="J961" i="6" s="1"/>
  <c r="G1130" i="1" s="1"/>
  <c r="H923" i="6"/>
  <c r="J923" i="6" s="1"/>
  <c r="G1093" i="1" s="1"/>
  <c r="H885" i="6"/>
  <c r="J885" i="6" s="1"/>
  <c r="G1055" i="1" s="1"/>
  <c r="H847" i="6"/>
  <c r="J847" i="6" s="1"/>
  <c r="H809" i="6"/>
  <c r="J809" i="6" s="1"/>
  <c r="G1017" i="1" s="1"/>
  <c r="H771" i="6"/>
  <c r="J771" i="6" s="1"/>
  <c r="G979" i="1" s="1"/>
  <c r="H733" i="6"/>
  <c r="J733" i="6" s="1"/>
  <c r="G942" i="1" s="1"/>
  <c r="H695" i="6"/>
  <c r="J695" i="6" s="1"/>
  <c r="G904" i="1" s="1"/>
  <c r="H657" i="6"/>
  <c r="J657" i="6" s="1"/>
  <c r="G867" i="1" s="1"/>
  <c r="H619" i="6"/>
  <c r="J619" i="6" s="1"/>
  <c r="G830" i="1" s="1"/>
  <c r="H581" i="6"/>
  <c r="J581" i="6" s="1"/>
  <c r="G483" i="1" s="1"/>
  <c r="H543" i="6"/>
  <c r="J543" i="6" s="1"/>
  <c r="G445" i="1" s="1"/>
  <c r="H505" i="6"/>
  <c r="J505" i="6" s="1"/>
  <c r="G408" i="1" s="1"/>
  <c r="H467" i="6"/>
  <c r="J467" i="6" s="1"/>
  <c r="H429" i="6"/>
  <c r="J429" i="6" s="1"/>
  <c r="G371" i="1" s="1"/>
  <c r="H391" i="6"/>
  <c r="J391" i="6" s="1"/>
  <c r="G334" i="1" s="1"/>
  <c r="H353" i="6"/>
  <c r="J353" i="6" s="1"/>
  <c r="G297" i="1" s="1"/>
  <c r="H315" i="6"/>
  <c r="J315" i="6" s="1"/>
  <c r="G259" i="1" s="1"/>
  <c r="J277" i="6"/>
  <c r="H239" i="6"/>
  <c r="J239" i="6" s="1"/>
  <c r="G221" i="1" s="1"/>
  <c r="H163" i="6"/>
  <c r="J163" i="6" s="1"/>
  <c r="G183" i="1" s="1"/>
  <c r="H125" i="6"/>
  <c r="J125" i="6" s="1"/>
  <c r="G146" i="1" s="1"/>
  <c r="H87" i="6"/>
  <c r="J87" i="6" s="1"/>
  <c r="G109" i="1" s="1"/>
  <c r="H49" i="6"/>
  <c r="J49" i="6" s="1"/>
  <c r="G72" i="1" s="1"/>
  <c r="I13" i="6"/>
  <c r="J13" i="6" s="1"/>
  <c r="G37" i="1" s="1"/>
  <c r="H11" i="6"/>
  <c r="J11" i="6" s="1"/>
  <c r="G35" i="1" s="1"/>
  <c r="F471" i="5"/>
  <c r="F424" i="5"/>
  <c r="F470" i="5"/>
  <c r="F481" i="5"/>
  <c r="F480" i="5"/>
  <c r="F479" i="5"/>
  <c r="F478" i="5"/>
  <c r="F477" i="5"/>
  <c r="F487" i="5" s="1"/>
  <c r="F474" i="5"/>
  <c r="F473" i="5"/>
  <c r="F472" i="5"/>
  <c r="F467" i="5"/>
  <c r="F466" i="5"/>
  <c r="F465" i="5"/>
  <c r="F464" i="5"/>
  <c r="F485" i="5" s="1"/>
  <c r="F461" i="5"/>
  <c r="F460" i="5"/>
  <c r="F459" i="5"/>
  <c r="F458" i="5"/>
  <c r="F457" i="5"/>
  <c r="F456" i="5"/>
  <c r="F455" i="5"/>
  <c r="F454" i="5"/>
  <c r="F484" i="5" s="1"/>
  <c r="F418" i="5"/>
  <c r="H312" i="6" l="1"/>
  <c r="I345" i="6"/>
  <c r="F486" i="5"/>
  <c r="F489" i="5" s="1"/>
  <c r="H350" i="6" l="1"/>
  <c r="I383" i="6"/>
  <c r="F490" i="5"/>
  <c r="F492" i="5" s="1"/>
  <c r="I421" i="6" l="1"/>
  <c r="H388" i="6"/>
  <c r="H1170" i="1"/>
  <c r="H1019" i="1"/>
  <c r="H869" i="1"/>
  <c r="H410" i="1"/>
  <c r="H299" i="1"/>
  <c r="H185" i="1"/>
  <c r="H1132" i="1"/>
  <c r="H981" i="1"/>
  <c r="H832" i="1"/>
  <c r="H261" i="1"/>
  <c r="H148" i="1"/>
  <c r="H1095" i="1"/>
  <c r="H944" i="1"/>
  <c r="H485" i="1"/>
  <c r="H373" i="1"/>
  <c r="H111" i="1"/>
  <c r="H37" i="1"/>
  <c r="I37" i="1" s="1"/>
  <c r="H1057" i="1"/>
  <c r="H906" i="1"/>
  <c r="H447" i="1"/>
  <c r="H336" i="1"/>
  <c r="H223" i="1"/>
  <c r="H74" i="1"/>
  <c r="F435" i="5"/>
  <c r="F434" i="5"/>
  <c r="F433" i="5"/>
  <c r="F432" i="5"/>
  <c r="F431" i="5"/>
  <c r="F428" i="5"/>
  <c r="F427" i="5"/>
  <c r="F426" i="5"/>
  <c r="F425" i="5"/>
  <c r="F421" i="5"/>
  <c r="F420" i="5"/>
  <c r="F439" i="5" s="1"/>
  <c r="F419" i="5"/>
  <c r="F415" i="5"/>
  <c r="F414" i="5"/>
  <c r="F413" i="5"/>
  <c r="F412" i="5"/>
  <c r="F411" i="5"/>
  <c r="F410" i="5"/>
  <c r="F409" i="5"/>
  <c r="F408" i="5"/>
  <c r="I806" i="1"/>
  <c r="I805" i="1" s="1"/>
  <c r="I459" i="6" l="1"/>
  <c r="F440" i="5"/>
  <c r="F441" i="5"/>
  <c r="F438" i="5"/>
  <c r="I1468" i="1"/>
  <c r="I1466" i="1" s="1"/>
  <c r="I1458" i="1"/>
  <c r="I1457" i="1" s="1"/>
  <c r="I1447" i="1"/>
  <c r="I1446" i="1"/>
  <c r="I1445" i="1"/>
  <c r="H40" i="20"/>
  <c r="H42" i="20" s="1"/>
  <c r="G40" i="20"/>
  <c r="G1346" i="1"/>
  <c r="G1345" i="1"/>
  <c r="G1344" i="1"/>
  <c r="G1343" i="1"/>
  <c r="G1342" i="1"/>
  <c r="G1341" i="1"/>
  <c r="G1340" i="1"/>
  <c r="G1339" i="1"/>
  <c r="G1337" i="1"/>
  <c r="G1336" i="1"/>
  <c r="G1335" i="1"/>
  <c r="G1334" i="1"/>
  <c r="G1333" i="1"/>
  <c r="G1332" i="1"/>
  <c r="G1331" i="1"/>
  <c r="G1330" i="1"/>
  <c r="G1328" i="1"/>
  <c r="G1327" i="1"/>
  <c r="G1326" i="1"/>
  <c r="G1325" i="1"/>
  <c r="G1324" i="1"/>
  <c r="G1323" i="1"/>
  <c r="G1322" i="1"/>
  <c r="G1321" i="1"/>
  <c r="G1319" i="1"/>
  <c r="G1318" i="1"/>
  <c r="G1317" i="1"/>
  <c r="G1316" i="1"/>
  <c r="G1315" i="1"/>
  <c r="G1314" i="1"/>
  <c r="G1313" i="1"/>
  <c r="G1312" i="1"/>
  <c r="F1346" i="1"/>
  <c r="E1346" i="1"/>
  <c r="F1345" i="1"/>
  <c r="E1345" i="1"/>
  <c r="F1344" i="1"/>
  <c r="E1344" i="1"/>
  <c r="F1343" i="1"/>
  <c r="E1343" i="1"/>
  <c r="F1342" i="1"/>
  <c r="E1342" i="1"/>
  <c r="F1341" i="1"/>
  <c r="E1341" i="1"/>
  <c r="F1340" i="1"/>
  <c r="E1340" i="1"/>
  <c r="F1339" i="1"/>
  <c r="E1339" i="1"/>
  <c r="F1337" i="1"/>
  <c r="E1337" i="1"/>
  <c r="F1336" i="1"/>
  <c r="E1336" i="1"/>
  <c r="F1335" i="1"/>
  <c r="E1335" i="1"/>
  <c r="F1334" i="1"/>
  <c r="E1334" i="1"/>
  <c r="F1333" i="1"/>
  <c r="E1333" i="1"/>
  <c r="F1332" i="1"/>
  <c r="E1332" i="1"/>
  <c r="F1331" i="1"/>
  <c r="E1331" i="1"/>
  <c r="F1330" i="1"/>
  <c r="E1330" i="1"/>
  <c r="F1328" i="1"/>
  <c r="E1328" i="1"/>
  <c r="F1327" i="1"/>
  <c r="E1327" i="1"/>
  <c r="F1326" i="1"/>
  <c r="E1326" i="1"/>
  <c r="F1325" i="1"/>
  <c r="E1325" i="1"/>
  <c r="F1324" i="1"/>
  <c r="E1324" i="1"/>
  <c r="F1323" i="1"/>
  <c r="E1323" i="1"/>
  <c r="F1322" i="1"/>
  <c r="E1322" i="1"/>
  <c r="F1321" i="1"/>
  <c r="E1321" i="1"/>
  <c r="I773" i="1"/>
  <c r="I772" i="1"/>
  <c r="I770" i="1"/>
  <c r="I769" i="1"/>
  <c r="I768" i="1"/>
  <c r="I767" i="1"/>
  <c r="I497" i="6" l="1"/>
  <c r="H464" i="6"/>
  <c r="F443" i="5"/>
  <c r="F444" i="5" s="1"/>
  <c r="F446" i="5" s="1"/>
  <c r="I163" i="9"/>
  <c r="I172" i="9" s="1"/>
  <c r="I83" i="9"/>
  <c r="I167" i="9"/>
  <c r="D5" i="21" s="1"/>
  <c r="I165" i="9"/>
  <c r="I1444" i="1"/>
  <c r="I535" i="6" l="1"/>
  <c r="H1093" i="1"/>
  <c r="I1093" i="1" s="1"/>
  <c r="H942" i="1"/>
  <c r="I942" i="1" s="1"/>
  <c r="H445" i="1"/>
  <c r="I445" i="1" s="1"/>
  <c r="H297" i="1"/>
  <c r="I297" i="1" s="1"/>
  <c r="H183" i="1"/>
  <c r="I183" i="1" s="1"/>
  <c r="H1130" i="1"/>
  <c r="I1130" i="1" s="1"/>
  <c r="H830" i="1"/>
  <c r="I830" i="1" s="1"/>
  <c r="H334" i="1"/>
  <c r="I334" i="1" s="1"/>
  <c r="H72" i="1"/>
  <c r="I72" i="1" s="1"/>
  <c r="H1055" i="1"/>
  <c r="I1055" i="1" s="1"/>
  <c r="H904" i="1"/>
  <c r="I904" i="1" s="1"/>
  <c r="H259" i="1"/>
  <c r="I259" i="1" s="1"/>
  <c r="H146" i="1"/>
  <c r="I146" i="1" s="1"/>
  <c r="H979" i="1"/>
  <c r="I979" i="1" s="1"/>
  <c r="H408" i="1"/>
  <c r="I408" i="1" s="1"/>
  <c r="H221" i="1"/>
  <c r="I221" i="1" s="1"/>
  <c r="H35" i="1"/>
  <c r="I35" i="1" s="1"/>
  <c r="H1168" i="1"/>
  <c r="I1168" i="1" s="1"/>
  <c r="H1017" i="1"/>
  <c r="I1017" i="1" s="1"/>
  <c r="H867" i="1"/>
  <c r="I867" i="1" s="1"/>
  <c r="H483" i="1"/>
  <c r="I483" i="1" s="1"/>
  <c r="H371" i="1"/>
  <c r="I371" i="1" s="1"/>
  <c r="H109" i="1"/>
  <c r="I109" i="1" s="1"/>
  <c r="I154" i="9"/>
  <c r="G763" i="1"/>
  <c r="G762" i="1"/>
  <c r="G761" i="1"/>
  <c r="G760" i="1"/>
  <c r="G759" i="1"/>
  <c r="G758" i="1"/>
  <c r="G757" i="1"/>
  <c r="G756" i="1"/>
  <c r="G754" i="1"/>
  <c r="G753" i="1"/>
  <c r="G752" i="1"/>
  <c r="G751" i="1"/>
  <c r="G750" i="1"/>
  <c r="G749" i="1"/>
  <c r="G748" i="1"/>
  <c r="G747" i="1"/>
  <c r="G745" i="1"/>
  <c r="G744" i="1"/>
  <c r="G743" i="1"/>
  <c r="G742" i="1"/>
  <c r="G741" i="1"/>
  <c r="G740" i="1"/>
  <c r="G739" i="1"/>
  <c r="G738" i="1"/>
  <c r="G736" i="1"/>
  <c r="G735" i="1"/>
  <c r="G734" i="1"/>
  <c r="G733" i="1"/>
  <c r="G732" i="1"/>
  <c r="G731" i="1"/>
  <c r="G730" i="1"/>
  <c r="G729" i="1"/>
  <c r="G727" i="1"/>
  <c r="G726" i="1"/>
  <c r="G725" i="1"/>
  <c r="G724" i="1"/>
  <c r="G723" i="1"/>
  <c r="G722" i="1"/>
  <c r="G721" i="1"/>
  <c r="G720" i="1"/>
  <c r="G718" i="1"/>
  <c r="G717" i="1"/>
  <c r="G716" i="1"/>
  <c r="G715" i="1"/>
  <c r="G714" i="1"/>
  <c r="G713" i="1"/>
  <c r="G712" i="1"/>
  <c r="G711" i="1"/>
  <c r="F763" i="1"/>
  <c r="E763" i="1"/>
  <c r="F762" i="1"/>
  <c r="E762" i="1"/>
  <c r="F761" i="1"/>
  <c r="E761" i="1"/>
  <c r="F760" i="1"/>
  <c r="E760" i="1"/>
  <c r="F759" i="1"/>
  <c r="E759" i="1"/>
  <c r="F758" i="1"/>
  <c r="E758" i="1"/>
  <c r="F757" i="1"/>
  <c r="E757" i="1"/>
  <c r="F756" i="1"/>
  <c r="E756" i="1"/>
  <c r="F754" i="1"/>
  <c r="E754" i="1"/>
  <c r="F753" i="1"/>
  <c r="E753" i="1"/>
  <c r="F752" i="1"/>
  <c r="E752" i="1"/>
  <c r="F751" i="1"/>
  <c r="E751" i="1"/>
  <c r="F750" i="1"/>
  <c r="E750" i="1"/>
  <c r="F749" i="1"/>
  <c r="E749" i="1"/>
  <c r="F748" i="1"/>
  <c r="E748" i="1"/>
  <c r="F747" i="1"/>
  <c r="E747" i="1"/>
  <c r="F745" i="1"/>
  <c r="E745" i="1"/>
  <c r="F744" i="1"/>
  <c r="E744" i="1"/>
  <c r="F743" i="1"/>
  <c r="E743" i="1"/>
  <c r="F742" i="1"/>
  <c r="E742" i="1"/>
  <c r="F741" i="1"/>
  <c r="E741" i="1"/>
  <c r="F740" i="1"/>
  <c r="E740" i="1"/>
  <c r="F739" i="1"/>
  <c r="E739" i="1"/>
  <c r="F738" i="1"/>
  <c r="E738" i="1"/>
  <c r="F736" i="1"/>
  <c r="E736" i="1"/>
  <c r="F735" i="1"/>
  <c r="E735" i="1"/>
  <c r="F734" i="1"/>
  <c r="E734" i="1"/>
  <c r="F733" i="1"/>
  <c r="E733" i="1"/>
  <c r="F732" i="1"/>
  <c r="E732" i="1"/>
  <c r="F731" i="1"/>
  <c r="E731" i="1"/>
  <c r="F730" i="1"/>
  <c r="E730" i="1"/>
  <c r="F729" i="1"/>
  <c r="E729" i="1"/>
  <c r="F727" i="1"/>
  <c r="E727" i="1"/>
  <c r="F726" i="1"/>
  <c r="E726" i="1"/>
  <c r="F725" i="1"/>
  <c r="E725" i="1"/>
  <c r="F724" i="1"/>
  <c r="E724" i="1"/>
  <c r="F723" i="1"/>
  <c r="E723" i="1"/>
  <c r="F722" i="1"/>
  <c r="E722" i="1"/>
  <c r="F721" i="1"/>
  <c r="E721" i="1"/>
  <c r="F720" i="1"/>
  <c r="E720" i="1"/>
  <c r="H287" i="19"/>
  <c r="H291" i="19" s="1"/>
  <c r="H290" i="19" s="1"/>
  <c r="Q18" i="19" s="1"/>
  <c r="Q23" i="19"/>
  <c r="Q22" i="19"/>
  <c r="Q21" i="19"/>
  <c r="Q20" i="19"/>
  <c r="Q19" i="19"/>
  <c r="H292" i="19"/>
  <c r="P23" i="19"/>
  <c r="P22" i="19"/>
  <c r="P21" i="19"/>
  <c r="P20" i="19"/>
  <c r="P19" i="19"/>
  <c r="P18" i="19"/>
  <c r="P17" i="19"/>
  <c r="P16" i="19"/>
  <c r="W12" i="19"/>
  <c r="W10" i="19"/>
  <c r="W11" i="19"/>
  <c r="W9" i="19"/>
  <c r="W8" i="19"/>
  <c r="W7" i="19"/>
  <c r="W6" i="19"/>
  <c r="W5" i="19"/>
  <c r="T12" i="19"/>
  <c r="T11" i="19"/>
  <c r="T10" i="19"/>
  <c r="T9" i="19"/>
  <c r="T8" i="19"/>
  <c r="T7" i="19"/>
  <c r="T6" i="19"/>
  <c r="T5" i="19"/>
  <c r="K307" i="19"/>
  <c r="F307" i="19"/>
  <c r="H327" i="19"/>
  <c r="H323" i="19"/>
  <c r="H321" i="19"/>
  <c r="H319" i="19" s="1"/>
  <c r="H325" i="19" s="1"/>
  <c r="H320" i="19"/>
  <c r="I315" i="19"/>
  <c r="H315" i="19"/>
  <c r="I314" i="19"/>
  <c r="I313" i="19"/>
  <c r="H311" i="19"/>
  <c r="H310" i="19"/>
  <c r="H314" i="19" s="1"/>
  <c r="H313" i="19" s="1"/>
  <c r="H309" i="19"/>
  <c r="H317" i="19" s="1"/>
  <c r="H304" i="19"/>
  <c r="H300" i="19"/>
  <c r="H298" i="19"/>
  <c r="H296" i="19" s="1"/>
  <c r="H302" i="19" s="1"/>
  <c r="H297" i="19"/>
  <c r="I292" i="19"/>
  <c r="K284" i="19"/>
  <c r="F284" i="19"/>
  <c r="H288" i="19"/>
  <c r="H281" i="19"/>
  <c r="H277" i="19"/>
  <c r="H275" i="19"/>
  <c r="H274" i="19"/>
  <c r="I269" i="19"/>
  <c r="H269" i="19"/>
  <c r="H265" i="19"/>
  <c r="H264" i="19"/>
  <c r="K261" i="19"/>
  <c r="F261" i="19"/>
  <c r="H258" i="19"/>
  <c r="H254" i="19"/>
  <c r="H252" i="19"/>
  <c r="H250" i="19" s="1"/>
  <c r="H256" i="19" s="1"/>
  <c r="H251" i="19"/>
  <c r="I246" i="19"/>
  <c r="H246" i="19"/>
  <c r="H242" i="19"/>
  <c r="H240" i="19" s="1"/>
  <c r="H241" i="19"/>
  <c r="I245" i="19" s="1"/>
  <c r="I244" i="19" s="1"/>
  <c r="K238" i="19"/>
  <c r="F238" i="19"/>
  <c r="H235" i="19"/>
  <c r="H231" i="19"/>
  <c r="H229" i="19"/>
  <c r="H228" i="19"/>
  <c r="H227" i="19" s="1"/>
  <c r="H233" i="19" s="1"/>
  <c r="I223" i="19"/>
  <c r="H223" i="19"/>
  <c r="H219" i="19"/>
  <c r="H218" i="19"/>
  <c r="I222" i="19" s="1"/>
  <c r="I221" i="19" s="1"/>
  <c r="H217" i="19"/>
  <c r="K215" i="19"/>
  <c r="F215" i="19"/>
  <c r="H208" i="19"/>
  <c r="H206" i="19"/>
  <c r="H205" i="19"/>
  <c r="I200" i="19"/>
  <c r="H200" i="19"/>
  <c r="H196" i="19"/>
  <c r="H195" i="19"/>
  <c r="K192" i="19"/>
  <c r="F192" i="19"/>
  <c r="H185" i="19"/>
  <c r="H183" i="19"/>
  <c r="H182" i="19"/>
  <c r="I177" i="19"/>
  <c r="H177" i="19"/>
  <c r="H173" i="19"/>
  <c r="H172" i="19"/>
  <c r="H176" i="19" s="1"/>
  <c r="K169" i="19"/>
  <c r="H189" i="19" s="1"/>
  <c r="F169" i="19"/>
  <c r="R15" i="19"/>
  <c r="Q15" i="19"/>
  <c r="P15" i="19"/>
  <c r="O15" i="19"/>
  <c r="W4" i="19"/>
  <c r="V4" i="19"/>
  <c r="U4" i="19"/>
  <c r="T4" i="19"/>
  <c r="H268" i="19"/>
  <c r="I199" i="19"/>
  <c r="H212" i="19"/>
  <c r="S4" i="19"/>
  <c r="R4" i="19"/>
  <c r="Q4" i="19"/>
  <c r="P4" i="19"/>
  <c r="O4" i="19"/>
  <c r="F717" i="1"/>
  <c r="E717" i="1"/>
  <c r="F1318" i="1"/>
  <c r="E1318" i="1"/>
  <c r="H146" i="19"/>
  <c r="O21" i="19" s="1"/>
  <c r="H144" i="19"/>
  <c r="H143" i="19"/>
  <c r="I138" i="19"/>
  <c r="H138" i="19"/>
  <c r="H134" i="19"/>
  <c r="H133" i="19"/>
  <c r="H137" i="19" s="1"/>
  <c r="S10" i="19"/>
  <c r="H97" i="19"/>
  <c r="H87" i="19"/>
  <c r="H91" i="19" s="1"/>
  <c r="H28" i="19"/>
  <c r="H45" i="19"/>
  <c r="H18" i="19"/>
  <c r="K130" i="19"/>
  <c r="H150" i="19" s="1"/>
  <c r="O23" i="19" s="1"/>
  <c r="F130" i="19"/>
  <c r="H100" i="19"/>
  <c r="R10" i="19" s="1"/>
  <c r="H98" i="19"/>
  <c r="H29" i="19"/>
  <c r="S12" i="19"/>
  <c r="I92" i="19"/>
  <c r="H92" i="19"/>
  <c r="H88" i="19"/>
  <c r="K84" i="19"/>
  <c r="H104" i="19" s="1"/>
  <c r="R12" i="19" s="1"/>
  <c r="F84" i="19"/>
  <c r="Q10" i="19"/>
  <c r="Q12" i="19"/>
  <c r="P10" i="19"/>
  <c r="P12" i="19"/>
  <c r="H31" i="19"/>
  <c r="O10" i="19" s="1"/>
  <c r="I23" i="19"/>
  <c r="H23" i="19"/>
  <c r="H19" i="19"/>
  <c r="K15" i="19"/>
  <c r="H35" i="19" s="1"/>
  <c r="O12" i="19" s="1"/>
  <c r="F15" i="19"/>
  <c r="I39" i="8"/>
  <c r="I37" i="8"/>
  <c r="I21" i="8"/>
  <c r="H37" i="8"/>
  <c r="G37" i="8"/>
  <c r="H21" i="8"/>
  <c r="G21" i="8"/>
  <c r="H14" i="6"/>
  <c r="I573" i="6" l="1"/>
  <c r="I291" i="19"/>
  <c r="I290" i="19" s="1"/>
  <c r="H286" i="19"/>
  <c r="H248" i="19"/>
  <c r="H245" i="19"/>
  <c r="H244" i="19" s="1"/>
  <c r="H225" i="19"/>
  <c r="H222" i="19"/>
  <c r="H221" i="19" s="1"/>
  <c r="I198" i="19"/>
  <c r="H273" i="19"/>
  <c r="H279" i="19" s="1"/>
  <c r="H267" i="19"/>
  <c r="H263" i="19"/>
  <c r="I268" i="19"/>
  <c r="I267" i="19" s="1"/>
  <c r="H204" i="19"/>
  <c r="H210" i="19" s="1"/>
  <c r="H181" i="19"/>
  <c r="H187" i="19" s="1"/>
  <c r="H171" i="19"/>
  <c r="I176" i="19"/>
  <c r="I175" i="19" s="1"/>
  <c r="H175" i="19"/>
  <c r="H194" i="19"/>
  <c r="H199" i="19"/>
  <c r="H198" i="19" s="1"/>
  <c r="H109" i="19"/>
  <c r="S5" i="19" s="1"/>
  <c r="H119" i="19"/>
  <c r="H132" i="19"/>
  <c r="O16" i="19" s="1"/>
  <c r="H142" i="19"/>
  <c r="H136" i="19"/>
  <c r="O18" i="19" s="1"/>
  <c r="I137" i="19"/>
  <c r="I136" i="19" s="1"/>
  <c r="I114" i="19"/>
  <c r="I113" i="19" s="1"/>
  <c r="H90" i="19"/>
  <c r="R7" i="19" s="1"/>
  <c r="H114" i="19"/>
  <c r="H113" i="19" s="1"/>
  <c r="S7" i="19" s="1"/>
  <c r="H96" i="19"/>
  <c r="H40" i="19"/>
  <c r="P5" i="19" s="1"/>
  <c r="H63" i="19"/>
  <c r="Q5" i="19" s="1"/>
  <c r="I91" i="19"/>
  <c r="I90" i="19" s="1"/>
  <c r="H86" i="19"/>
  <c r="R5" i="19" s="1"/>
  <c r="H27" i="19"/>
  <c r="H73" i="19"/>
  <c r="I68" i="19"/>
  <c r="I67" i="19" s="1"/>
  <c r="I45" i="19"/>
  <c r="I44" i="19" s="1"/>
  <c r="H68" i="19"/>
  <c r="H67" i="19" s="1"/>
  <c r="Q7" i="19" s="1"/>
  <c r="H17" i="19"/>
  <c r="O5" i="19" s="1"/>
  <c r="H50" i="19"/>
  <c r="H44" i="19"/>
  <c r="P7" i="19" s="1"/>
  <c r="H22" i="19"/>
  <c r="H21" i="19" s="1"/>
  <c r="O7" i="19" s="1"/>
  <c r="I22" i="19"/>
  <c r="I21" i="19" s="1"/>
  <c r="I611" i="6" l="1"/>
  <c r="H578" i="6"/>
  <c r="H294" i="19"/>
  <c r="Q17" i="19" s="1"/>
  <c r="Q16" i="19"/>
  <c r="H202" i="19"/>
  <c r="H102" i="19"/>
  <c r="R11" i="19" s="1"/>
  <c r="R8" i="19"/>
  <c r="R9" i="19" s="1"/>
  <c r="H56" i="19"/>
  <c r="P11" i="19" s="1"/>
  <c r="P8" i="19"/>
  <c r="P9" i="19" s="1"/>
  <c r="H125" i="19"/>
  <c r="S11" i="19" s="1"/>
  <c r="S8" i="19"/>
  <c r="H79" i="19"/>
  <c r="Q11" i="19" s="1"/>
  <c r="Q8" i="19"/>
  <c r="H148" i="19"/>
  <c r="O22" i="19" s="1"/>
  <c r="O19" i="19"/>
  <c r="O20" i="19" s="1"/>
  <c r="H271" i="19"/>
  <c r="H33" i="19"/>
  <c r="O11" i="19" s="1"/>
  <c r="O8" i="19"/>
  <c r="O9" i="19" s="1"/>
  <c r="H179" i="19"/>
  <c r="H117" i="19"/>
  <c r="S6" i="19" s="1"/>
  <c r="H94" i="19"/>
  <c r="R6" i="19" s="1"/>
  <c r="H140" i="19"/>
  <c r="O17" i="19" s="1"/>
  <c r="H48" i="19"/>
  <c r="P6" i="19" s="1"/>
  <c r="H25" i="19"/>
  <c r="O6" i="19" s="1"/>
  <c r="H71" i="19"/>
  <c r="Q6" i="19" s="1"/>
  <c r="S9" i="19" l="1"/>
  <c r="Q9" i="19"/>
  <c r="H616" i="6"/>
  <c r="I649" i="6"/>
  <c r="F1319" i="1"/>
  <c r="E1319" i="1"/>
  <c r="F1317" i="1"/>
  <c r="E1317" i="1"/>
  <c r="F1316" i="1"/>
  <c r="E1316" i="1"/>
  <c r="F1315" i="1"/>
  <c r="E1315" i="1"/>
  <c r="F1314" i="1"/>
  <c r="E1314" i="1"/>
  <c r="F1313" i="1"/>
  <c r="E1313" i="1"/>
  <c r="F1312" i="1"/>
  <c r="E1312" i="1"/>
  <c r="F718" i="1"/>
  <c r="E718" i="1"/>
  <c r="F716" i="1"/>
  <c r="E716" i="1"/>
  <c r="F715" i="1"/>
  <c r="E715" i="1"/>
  <c r="F714" i="1"/>
  <c r="E714" i="1"/>
  <c r="F713" i="1"/>
  <c r="E713" i="1"/>
  <c r="F712" i="1"/>
  <c r="E712" i="1"/>
  <c r="F711" i="1"/>
  <c r="E711" i="1"/>
  <c r="H654" i="6" l="1"/>
  <c r="I687" i="6"/>
  <c r="H74" i="17"/>
  <c r="G1412" i="1" s="1"/>
  <c r="I1412" i="1" s="1"/>
  <c r="D62" i="17"/>
  <c r="D63" i="17" s="1"/>
  <c r="G1406" i="1" s="1"/>
  <c r="D61" i="17"/>
  <c r="G1404" i="1" s="1"/>
  <c r="H70" i="17"/>
  <c r="H69" i="17"/>
  <c r="H68" i="17"/>
  <c r="H67" i="17"/>
  <c r="H66" i="17"/>
  <c r="H64" i="17" s="1"/>
  <c r="H65" i="17"/>
  <c r="H52" i="17"/>
  <c r="H51" i="17"/>
  <c r="H50" i="17"/>
  <c r="H46" i="17" s="1"/>
  <c r="H49" i="17"/>
  <c r="H48" i="17"/>
  <c r="H47" i="17"/>
  <c r="D44" i="17"/>
  <c r="D45" i="17" s="1"/>
  <c r="G1396" i="1" s="1"/>
  <c r="D43" i="17"/>
  <c r="I752" i="6"/>
  <c r="J752" i="6" s="1"/>
  <c r="G961" i="1" s="1"/>
  <c r="I676" i="6"/>
  <c r="J676" i="6" s="1"/>
  <c r="G886" i="1" s="1"/>
  <c r="I638" i="6"/>
  <c r="J638" i="6" s="1"/>
  <c r="G849" i="1" s="1"/>
  <c r="I410" i="6"/>
  <c r="J410" i="6" s="1"/>
  <c r="G353" i="1" s="1"/>
  <c r="I182" i="6"/>
  <c r="J182" i="6" s="1"/>
  <c r="G202" i="1" s="1"/>
  <c r="I68" i="6"/>
  <c r="J68" i="6" s="1"/>
  <c r="G91" i="1" s="1"/>
  <c r="G1299" i="1"/>
  <c r="G1297" i="1"/>
  <c r="G1296" i="1"/>
  <c r="G1298" i="1" s="1"/>
  <c r="F1299" i="1"/>
  <c r="E1299" i="1"/>
  <c r="F1298" i="1"/>
  <c r="E1298" i="1"/>
  <c r="F1297" i="1"/>
  <c r="E1297" i="1"/>
  <c r="F1296" i="1"/>
  <c r="E1296" i="1"/>
  <c r="G1294" i="1"/>
  <c r="G1292" i="1"/>
  <c r="G1291" i="1"/>
  <c r="F1294" i="1"/>
  <c r="E1294" i="1"/>
  <c r="F1293" i="1"/>
  <c r="E1293" i="1"/>
  <c r="F1292" i="1"/>
  <c r="E1292" i="1"/>
  <c r="F1291" i="1"/>
  <c r="E1291" i="1"/>
  <c r="G1288" i="1"/>
  <c r="G1286" i="1"/>
  <c r="G1285" i="1"/>
  <c r="F1288" i="1"/>
  <c r="E1288" i="1"/>
  <c r="F1287" i="1"/>
  <c r="E1287" i="1"/>
  <c r="F1286" i="1"/>
  <c r="E1286" i="1"/>
  <c r="F1285" i="1"/>
  <c r="E1285" i="1"/>
  <c r="G1282" i="1"/>
  <c r="G1280" i="1"/>
  <c r="G1279" i="1"/>
  <c r="G1281" i="1" s="1"/>
  <c r="F1282" i="1"/>
  <c r="E1282" i="1"/>
  <c r="F1281" i="1"/>
  <c r="E1281" i="1"/>
  <c r="F1280" i="1"/>
  <c r="E1280" i="1"/>
  <c r="F1279" i="1"/>
  <c r="E1279" i="1"/>
  <c r="G1276" i="1"/>
  <c r="G1274" i="1"/>
  <c r="G1273" i="1"/>
  <c r="G1275" i="1" s="1"/>
  <c r="F1276" i="1"/>
  <c r="E1276" i="1"/>
  <c r="F1275" i="1"/>
  <c r="E1275" i="1"/>
  <c r="F1274" i="1"/>
  <c r="E1274" i="1"/>
  <c r="F1273" i="1"/>
  <c r="E1273" i="1"/>
  <c r="G1270" i="1"/>
  <c r="G1268" i="1"/>
  <c r="G1267" i="1"/>
  <c r="G1269" i="1" s="1"/>
  <c r="F1270" i="1"/>
  <c r="E1270" i="1"/>
  <c r="F1269" i="1"/>
  <c r="E1269" i="1"/>
  <c r="F1268" i="1"/>
  <c r="E1268" i="1"/>
  <c r="F1267" i="1"/>
  <c r="E1267" i="1"/>
  <c r="G1265" i="1"/>
  <c r="G1263" i="1"/>
  <c r="G1262" i="1"/>
  <c r="G1264" i="1" s="1"/>
  <c r="F1265" i="1"/>
  <c r="E1265" i="1"/>
  <c r="F1264" i="1"/>
  <c r="E1264" i="1"/>
  <c r="F1263" i="1"/>
  <c r="E1263" i="1"/>
  <c r="F1262" i="1"/>
  <c r="E1262" i="1"/>
  <c r="G1259" i="1"/>
  <c r="G1257" i="1"/>
  <c r="G1256" i="1"/>
  <c r="G1258" i="1" s="1"/>
  <c r="F1259" i="1"/>
  <c r="E1259" i="1"/>
  <c r="F1258" i="1"/>
  <c r="E1258" i="1"/>
  <c r="F1257" i="1"/>
  <c r="E1257" i="1"/>
  <c r="F1256" i="1"/>
  <c r="E1256" i="1"/>
  <c r="G1254" i="1"/>
  <c r="G1252" i="1"/>
  <c r="G1251" i="1"/>
  <c r="G1253" i="1" s="1"/>
  <c r="F1254" i="1"/>
  <c r="E1254" i="1"/>
  <c r="F1253" i="1"/>
  <c r="E1253" i="1"/>
  <c r="F1252" i="1"/>
  <c r="E1252" i="1"/>
  <c r="F1251" i="1"/>
  <c r="E1251" i="1"/>
  <c r="G697" i="1"/>
  <c r="G695" i="1"/>
  <c r="G694" i="1"/>
  <c r="G696" i="1" s="1"/>
  <c r="F697" i="1"/>
  <c r="E697" i="1"/>
  <c r="F696" i="1"/>
  <c r="E696" i="1"/>
  <c r="F695" i="1"/>
  <c r="E695" i="1"/>
  <c r="F694" i="1"/>
  <c r="E694" i="1"/>
  <c r="G691" i="1"/>
  <c r="G689" i="1"/>
  <c r="G688" i="1"/>
  <c r="G690" i="1" s="1"/>
  <c r="F691" i="1"/>
  <c r="E691" i="1"/>
  <c r="F690" i="1"/>
  <c r="E690" i="1"/>
  <c r="F689" i="1"/>
  <c r="E689" i="1"/>
  <c r="F688" i="1"/>
  <c r="E688" i="1"/>
  <c r="G686" i="1"/>
  <c r="G684" i="1"/>
  <c r="G683" i="1"/>
  <c r="G685" i="1" s="1"/>
  <c r="F686" i="1"/>
  <c r="E686" i="1"/>
  <c r="F685" i="1"/>
  <c r="E685" i="1"/>
  <c r="F684" i="1"/>
  <c r="E684" i="1"/>
  <c r="F683" i="1"/>
  <c r="E683" i="1"/>
  <c r="G681" i="1"/>
  <c r="G679" i="1"/>
  <c r="G678" i="1"/>
  <c r="G680" i="1" s="1"/>
  <c r="F681" i="1"/>
  <c r="E681" i="1"/>
  <c r="F680" i="1"/>
  <c r="E680" i="1"/>
  <c r="F679" i="1"/>
  <c r="E679" i="1"/>
  <c r="F678" i="1"/>
  <c r="E678" i="1"/>
  <c r="G676" i="1"/>
  <c r="G674" i="1"/>
  <c r="G673" i="1"/>
  <c r="F676" i="1"/>
  <c r="E676" i="1"/>
  <c r="F675" i="1"/>
  <c r="E675" i="1"/>
  <c r="F674" i="1"/>
  <c r="E674" i="1"/>
  <c r="F673" i="1"/>
  <c r="E673" i="1"/>
  <c r="G670" i="1"/>
  <c r="G668" i="1"/>
  <c r="G667" i="1"/>
  <c r="F670" i="1"/>
  <c r="E670" i="1"/>
  <c r="F669" i="1"/>
  <c r="E669" i="1"/>
  <c r="F668" i="1"/>
  <c r="E668" i="1"/>
  <c r="F667" i="1"/>
  <c r="E667" i="1"/>
  <c r="G663" i="1"/>
  <c r="F664" i="1"/>
  <c r="E664" i="1"/>
  <c r="F663" i="1"/>
  <c r="E663" i="1"/>
  <c r="F662" i="1"/>
  <c r="E662" i="1"/>
  <c r="F661" i="1"/>
  <c r="E661" i="1"/>
  <c r="G658" i="1"/>
  <c r="G656" i="1"/>
  <c r="G655" i="1"/>
  <c r="G657" i="1" s="1"/>
  <c r="F658" i="1"/>
  <c r="E658" i="1"/>
  <c r="F657" i="1"/>
  <c r="E657" i="1"/>
  <c r="F656" i="1"/>
  <c r="E656" i="1"/>
  <c r="F655" i="1"/>
  <c r="E655" i="1"/>
  <c r="G653" i="1"/>
  <c r="G651" i="1"/>
  <c r="G650" i="1"/>
  <c r="G652" i="1" s="1"/>
  <c r="F653" i="1"/>
  <c r="E653" i="1"/>
  <c r="F652" i="1"/>
  <c r="E652" i="1"/>
  <c r="F651" i="1"/>
  <c r="E651" i="1"/>
  <c r="F650" i="1"/>
  <c r="E650" i="1"/>
  <c r="G648" i="1"/>
  <c r="G646" i="1"/>
  <c r="G645" i="1"/>
  <c r="G647" i="1" s="1"/>
  <c r="F648" i="1"/>
  <c r="E648" i="1"/>
  <c r="F647" i="1"/>
  <c r="E647" i="1"/>
  <c r="F646" i="1"/>
  <c r="E646" i="1"/>
  <c r="F645" i="1"/>
  <c r="E645" i="1"/>
  <c r="G643" i="1"/>
  <c r="G641" i="1"/>
  <c r="G640" i="1"/>
  <c r="G642" i="1" s="1"/>
  <c r="E640" i="1"/>
  <c r="Y25" i="12"/>
  <c r="AA25" i="12"/>
  <c r="X25" i="12"/>
  <c r="S25" i="12"/>
  <c r="W25" i="12"/>
  <c r="R25" i="12"/>
  <c r="Q25" i="12"/>
  <c r="L25" i="12"/>
  <c r="K25" i="12"/>
  <c r="J25" i="12"/>
  <c r="I25" i="12"/>
  <c r="AA24" i="12"/>
  <c r="Y24" i="12"/>
  <c r="X24" i="12"/>
  <c r="AC24" i="12"/>
  <c r="S24" i="12"/>
  <c r="W24" i="12"/>
  <c r="R24" i="12"/>
  <c r="Q24" i="12"/>
  <c r="L24" i="12"/>
  <c r="K24" i="12"/>
  <c r="J24" i="12"/>
  <c r="I24" i="12"/>
  <c r="X23" i="12"/>
  <c r="Y23" i="12"/>
  <c r="S23" i="12"/>
  <c r="V23" i="12"/>
  <c r="R23" i="12"/>
  <c r="Q23" i="12"/>
  <c r="L23" i="12"/>
  <c r="J23" i="12"/>
  <c r="I23" i="12"/>
  <c r="K23" i="12"/>
  <c r="X22" i="12"/>
  <c r="S22" i="12"/>
  <c r="W22" i="12"/>
  <c r="R22" i="12"/>
  <c r="Q22" i="12"/>
  <c r="L22" i="12"/>
  <c r="K22" i="12"/>
  <c r="J22" i="12"/>
  <c r="I22" i="12"/>
  <c r="AA21" i="12"/>
  <c r="AC21" i="12"/>
  <c r="Y21" i="12"/>
  <c r="X21" i="12"/>
  <c r="V21" i="12"/>
  <c r="S21" i="12"/>
  <c r="W21" i="12"/>
  <c r="R21" i="12"/>
  <c r="Q21" i="12"/>
  <c r="L21" i="12"/>
  <c r="J21" i="12"/>
  <c r="I21" i="12"/>
  <c r="K21" i="12"/>
  <c r="X20" i="12"/>
  <c r="Y20" i="12"/>
  <c r="W20" i="12"/>
  <c r="S20" i="12"/>
  <c r="R20" i="12"/>
  <c r="Q20" i="12"/>
  <c r="L20" i="12"/>
  <c r="J20" i="12"/>
  <c r="I20" i="12"/>
  <c r="K20" i="12"/>
  <c r="X19" i="12"/>
  <c r="Y19" i="12"/>
  <c r="AA19" i="12"/>
  <c r="S19" i="12"/>
  <c r="V19" i="12"/>
  <c r="R19" i="12"/>
  <c r="Q19" i="12"/>
  <c r="L19" i="12"/>
  <c r="K19" i="12"/>
  <c r="J19" i="12"/>
  <c r="I19" i="12"/>
  <c r="Y18" i="12"/>
  <c r="AA18" i="12"/>
  <c r="X18" i="12"/>
  <c r="S18" i="12"/>
  <c r="W18" i="12"/>
  <c r="R18" i="12"/>
  <c r="Q18" i="12"/>
  <c r="L18" i="12"/>
  <c r="K18" i="12"/>
  <c r="J18" i="12"/>
  <c r="I18" i="12"/>
  <c r="AA17" i="12"/>
  <c r="AC17" i="12"/>
  <c r="Y17" i="12"/>
  <c r="X17" i="12"/>
  <c r="V17" i="12"/>
  <c r="S17" i="12"/>
  <c r="R17" i="12"/>
  <c r="Q17" i="12"/>
  <c r="L17" i="12"/>
  <c r="J17" i="12"/>
  <c r="I17" i="12"/>
  <c r="K17" i="12"/>
  <c r="X16" i="12"/>
  <c r="Y16" i="12"/>
  <c r="W16" i="12"/>
  <c r="S16" i="12"/>
  <c r="R16" i="12"/>
  <c r="Q16" i="12"/>
  <c r="L16" i="12"/>
  <c r="J16" i="12"/>
  <c r="I16" i="12"/>
  <c r="K16" i="12"/>
  <c r="X15" i="12"/>
  <c r="Y15" i="12" s="1"/>
  <c r="AA15" i="12" s="1"/>
  <c r="J15" i="12"/>
  <c r="I15" i="12"/>
  <c r="Y14" i="12"/>
  <c r="AA14" i="12"/>
  <c r="X14" i="12"/>
  <c r="S14" i="12"/>
  <c r="W14" i="12"/>
  <c r="R14" i="12"/>
  <c r="Q14" i="12"/>
  <c r="L14" i="12"/>
  <c r="K14" i="12"/>
  <c r="J14" i="12"/>
  <c r="I14" i="12"/>
  <c r="AA13" i="12"/>
  <c r="AC13" i="12"/>
  <c r="Y13" i="12"/>
  <c r="X13" i="12"/>
  <c r="V13" i="12"/>
  <c r="S13" i="12"/>
  <c r="R13" i="12"/>
  <c r="Q13" i="12"/>
  <c r="L13" i="12"/>
  <c r="J13" i="12"/>
  <c r="I13" i="12"/>
  <c r="K13" i="12"/>
  <c r="X12" i="12"/>
  <c r="Y12" i="12"/>
  <c r="W12" i="12"/>
  <c r="S12" i="12"/>
  <c r="R12" i="12"/>
  <c r="Q12" i="12"/>
  <c r="L12" i="12"/>
  <c r="J12" i="12"/>
  <c r="I12" i="12"/>
  <c r="K12" i="12"/>
  <c r="X11" i="12"/>
  <c r="Y11" i="12"/>
  <c r="AA11" i="12"/>
  <c r="S11" i="12"/>
  <c r="V11" i="12"/>
  <c r="R11" i="12"/>
  <c r="Q11" i="12"/>
  <c r="L11" i="12"/>
  <c r="K11" i="12"/>
  <c r="J11" i="12"/>
  <c r="I11" i="12"/>
  <c r="Y10" i="12"/>
  <c r="AA10" i="12"/>
  <c r="X10" i="12"/>
  <c r="AC10" i="12"/>
  <c r="S10" i="12"/>
  <c r="W10" i="12"/>
  <c r="R10" i="12"/>
  <c r="Q10" i="12"/>
  <c r="L10" i="12"/>
  <c r="K10" i="12"/>
  <c r="J10" i="12"/>
  <c r="I10" i="12"/>
  <c r="X9" i="12"/>
  <c r="Y9" i="12" s="1"/>
  <c r="AA9" i="12" s="1"/>
  <c r="J9" i="12"/>
  <c r="I9" i="12"/>
  <c r="X8" i="12"/>
  <c r="Y8" i="12" s="1"/>
  <c r="W26" i="12"/>
  <c r="J8" i="12"/>
  <c r="I8" i="12"/>
  <c r="X7" i="12"/>
  <c r="Y7" i="12"/>
  <c r="AA7" i="12"/>
  <c r="S7" i="12"/>
  <c r="V7" i="12"/>
  <c r="R7" i="12"/>
  <c r="Q7" i="12"/>
  <c r="L7" i="12"/>
  <c r="K7" i="12"/>
  <c r="J7" i="12"/>
  <c r="I7" i="12"/>
  <c r="Y6" i="12"/>
  <c r="AA6" i="12"/>
  <c r="X6" i="12"/>
  <c r="AC6" i="12"/>
  <c r="S6" i="12"/>
  <c r="W6" i="12"/>
  <c r="R6" i="12"/>
  <c r="Q6" i="12"/>
  <c r="L6" i="12"/>
  <c r="K6" i="12"/>
  <c r="J6" i="12"/>
  <c r="I6" i="12"/>
  <c r="AA5" i="12"/>
  <c r="AC5" i="12"/>
  <c r="Y5" i="12"/>
  <c r="X5" i="12"/>
  <c r="V5" i="12"/>
  <c r="S5" i="12"/>
  <c r="R5" i="12"/>
  <c r="Q5" i="12"/>
  <c r="L5" i="12"/>
  <c r="J5" i="12"/>
  <c r="I5" i="12"/>
  <c r="K5" i="12"/>
  <c r="X4" i="12"/>
  <c r="Y4" i="12"/>
  <c r="U4" i="12"/>
  <c r="T4" i="12"/>
  <c r="W17" i="12"/>
  <c r="S4" i="12"/>
  <c r="W4" i="12"/>
  <c r="R4" i="12"/>
  <c r="R26" i="12"/>
  <c r="Q4" i="12"/>
  <c r="Q26" i="12"/>
  <c r="L4" i="12"/>
  <c r="L26" i="12"/>
  <c r="K4" i="12"/>
  <c r="K26" i="12"/>
  <c r="J4" i="12"/>
  <c r="I4" i="12"/>
  <c r="G1293" i="1"/>
  <c r="AA12" i="12"/>
  <c r="AC12" i="12"/>
  <c r="AC22" i="12"/>
  <c r="AA23" i="12"/>
  <c r="AC23" i="12"/>
  <c r="AC18" i="12"/>
  <c r="AC25" i="12"/>
  <c r="AA16" i="12"/>
  <c r="AC16" i="12"/>
  <c r="AA4" i="12"/>
  <c r="AC4" i="12"/>
  <c r="AC14" i="12"/>
  <c r="AA20" i="12"/>
  <c r="AC20" i="12"/>
  <c r="V4" i="12"/>
  <c r="W7" i="12"/>
  <c r="AC7" i="12"/>
  <c r="W11" i="12"/>
  <c r="AC11" i="12"/>
  <c r="V12" i="12"/>
  <c r="V16" i="12"/>
  <c r="W19" i="12"/>
  <c r="AC19" i="12"/>
  <c r="V20" i="12"/>
  <c r="W23" i="12"/>
  <c r="V24" i="12"/>
  <c r="Y22" i="12"/>
  <c r="AA22" i="12"/>
  <c r="V25" i="12"/>
  <c r="W5" i="12"/>
  <c r="V6" i="12"/>
  <c r="V10" i="12"/>
  <c r="W13" i="12"/>
  <c r="V14" i="12"/>
  <c r="V18" i="12"/>
  <c r="V22" i="12"/>
  <c r="H93" i="17"/>
  <c r="G1422" i="1" s="1"/>
  <c r="I1422" i="1" s="1"/>
  <c r="H89" i="17"/>
  <c r="H88" i="17"/>
  <c r="H87" i="17"/>
  <c r="H86" i="17"/>
  <c r="H85" i="17"/>
  <c r="H84" i="17"/>
  <c r="D81" i="17"/>
  <c r="G1415" i="1" s="1"/>
  <c r="D80" i="17"/>
  <c r="G1414" i="1" s="1"/>
  <c r="G1402" i="1"/>
  <c r="I1402" i="1" s="1"/>
  <c r="G1395" i="1"/>
  <c r="G1394" i="1"/>
  <c r="H37" i="17"/>
  <c r="G1392" i="1" s="1"/>
  <c r="I1392" i="1" s="1"/>
  <c r="H33" i="17"/>
  <c r="H32" i="17"/>
  <c r="H31" i="17"/>
  <c r="H30" i="17"/>
  <c r="H29" i="17"/>
  <c r="H28" i="17"/>
  <c r="H27" i="17" s="1"/>
  <c r="G1387" i="1" s="1"/>
  <c r="D25" i="17"/>
  <c r="G1385" i="1" s="1"/>
  <c r="D24" i="17"/>
  <c r="G1384" i="1" s="1"/>
  <c r="F1421" i="1"/>
  <c r="E1421" i="1"/>
  <c r="F1419" i="1"/>
  <c r="E1419" i="1"/>
  <c r="F1418" i="1"/>
  <c r="E1418" i="1"/>
  <c r="F1417" i="1"/>
  <c r="E1417" i="1"/>
  <c r="F1416" i="1"/>
  <c r="E1416" i="1"/>
  <c r="F1415" i="1"/>
  <c r="E1415" i="1"/>
  <c r="F1414" i="1"/>
  <c r="E1414" i="1"/>
  <c r="F1411" i="1"/>
  <c r="E1411" i="1"/>
  <c r="F1409" i="1"/>
  <c r="E1409" i="1"/>
  <c r="F1408" i="1"/>
  <c r="E1408" i="1"/>
  <c r="F1407" i="1"/>
  <c r="E1407" i="1"/>
  <c r="F1406" i="1"/>
  <c r="E1406" i="1"/>
  <c r="F1405" i="1"/>
  <c r="E1405" i="1"/>
  <c r="F1404" i="1"/>
  <c r="E1404" i="1"/>
  <c r="F1401" i="1"/>
  <c r="E1401" i="1"/>
  <c r="F1399" i="1"/>
  <c r="E1399" i="1"/>
  <c r="F1398" i="1"/>
  <c r="E1398" i="1"/>
  <c r="F1397" i="1"/>
  <c r="E1397" i="1"/>
  <c r="F1396" i="1"/>
  <c r="E1396" i="1"/>
  <c r="F1395" i="1"/>
  <c r="E1395" i="1"/>
  <c r="F1394" i="1"/>
  <c r="E1394" i="1"/>
  <c r="F1391" i="1"/>
  <c r="E1391" i="1"/>
  <c r="F1389" i="1"/>
  <c r="E1389" i="1"/>
  <c r="F1388" i="1"/>
  <c r="E1388" i="1"/>
  <c r="F1387" i="1"/>
  <c r="E1387" i="1"/>
  <c r="F1386" i="1"/>
  <c r="E1386" i="1"/>
  <c r="F1385" i="1"/>
  <c r="E1385" i="1"/>
  <c r="F1384" i="1"/>
  <c r="E1384" i="1"/>
  <c r="H13" i="17"/>
  <c r="F784" i="1"/>
  <c r="E784" i="1"/>
  <c r="F782" i="1"/>
  <c r="E782" i="1"/>
  <c r="F781" i="1"/>
  <c r="E781" i="1"/>
  <c r="F780" i="1"/>
  <c r="E780" i="1"/>
  <c r="F779" i="1"/>
  <c r="E779" i="1"/>
  <c r="F778" i="1"/>
  <c r="E778" i="1"/>
  <c r="F777" i="1"/>
  <c r="E777" i="1"/>
  <c r="H18" i="17"/>
  <c r="G785" i="1" s="1"/>
  <c r="I785" i="1" s="1"/>
  <c r="H14" i="17"/>
  <c r="H12" i="17"/>
  <c r="H11" i="17"/>
  <c r="H10" i="17"/>
  <c r="H9" i="17"/>
  <c r="D6" i="17"/>
  <c r="G778" i="1" s="1"/>
  <c r="D5" i="17"/>
  <c r="G777" i="1" s="1"/>
  <c r="H1356" i="1"/>
  <c r="H1380" i="1"/>
  <c r="G1380" i="1"/>
  <c r="F1379" i="1"/>
  <c r="E1379" i="1"/>
  <c r="F1377" i="1"/>
  <c r="E1377" i="1"/>
  <c r="F1376" i="1"/>
  <c r="E1376" i="1"/>
  <c r="F1375" i="1"/>
  <c r="E1375" i="1"/>
  <c r="F1374" i="1"/>
  <c r="E1374" i="1"/>
  <c r="H1372" i="1"/>
  <c r="B35" i="15"/>
  <c r="D31" i="15"/>
  <c r="D32" i="15"/>
  <c r="G1372" i="1"/>
  <c r="F1371" i="1"/>
  <c r="E1371" i="1"/>
  <c r="F1369" i="1"/>
  <c r="E1369" i="1"/>
  <c r="F1368" i="1"/>
  <c r="E1368" i="1"/>
  <c r="F1367" i="1"/>
  <c r="E1367" i="1"/>
  <c r="F1366" i="1"/>
  <c r="E1366" i="1"/>
  <c r="H1364" i="1"/>
  <c r="G1364" i="1"/>
  <c r="F1363" i="1"/>
  <c r="E1363" i="1"/>
  <c r="F1361" i="1"/>
  <c r="E1361" i="1"/>
  <c r="F1360" i="1"/>
  <c r="E1360" i="1"/>
  <c r="F1359" i="1"/>
  <c r="E1359" i="1"/>
  <c r="F1358" i="1"/>
  <c r="E1358" i="1"/>
  <c r="G1356" i="1"/>
  <c r="E50" i="16"/>
  <c r="G1379" i="1" s="1"/>
  <c r="E48" i="16"/>
  <c r="G1377" i="1" s="1"/>
  <c r="E46" i="16"/>
  <c r="G1375" i="1" s="1"/>
  <c r="E45" i="16"/>
  <c r="G1374" i="1" s="1"/>
  <c r="E40" i="16"/>
  <c r="G1371" i="1" s="1"/>
  <c r="E38" i="16"/>
  <c r="G1369" i="1" s="1"/>
  <c r="E36" i="16"/>
  <c r="G1367" i="1" s="1"/>
  <c r="E35" i="16"/>
  <c r="E37" i="16" s="1"/>
  <c r="G1368" i="1" s="1"/>
  <c r="E30" i="16"/>
  <c r="G1363" i="1" s="1"/>
  <c r="E28" i="16"/>
  <c r="G1361" i="1" s="1"/>
  <c r="E26" i="16"/>
  <c r="G1359" i="1" s="1"/>
  <c r="E25" i="16"/>
  <c r="G1358" i="1" s="1"/>
  <c r="E20" i="16"/>
  <c r="G1355" i="1" s="1"/>
  <c r="E18" i="16"/>
  <c r="G1353" i="1" s="1"/>
  <c r="E16" i="16"/>
  <c r="G1351" i="1" s="1"/>
  <c r="E15" i="16"/>
  <c r="E17" i="16" s="1"/>
  <c r="G1352" i="1" s="1"/>
  <c r="J1" i="15"/>
  <c r="D7" i="17"/>
  <c r="G779" i="1" s="1"/>
  <c r="D33" i="15"/>
  <c r="D34" i="15"/>
  <c r="D35" i="15"/>
  <c r="D36" i="15"/>
  <c r="F1355" i="1"/>
  <c r="E1355" i="1"/>
  <c r="F1353" i="1"/>
  <c r="E1353" i="1"/>
  <c r="F1352" i="1"/>
  <c r="E1352" i="1"/>
  <c r="F1351" i="1"/>
  <c r="E1351" i="1"/>
  <c r="F1350" i="1"/>
  <c r="E1350" i="1"/>
  <c r="E6" i="16"/>
  <c r="E10" i="16"/>
  <c r="E8" i="16"/>
  <c r="E5" i="16"/>
  <c r="E7" i="16" s="1"/>
  <c r="Q25" i="15"/>
  <c r="S21" i="15"/>
  <c r="S22" i="15"/>
  <c r="L25" i="15"/>
  <c r="N21" i="15"/>
  <c r="N22" i="15"/>
  <c r="G25" i="15"/>
  <c r="I21" i="15"/>
  <c r="I22" i="15"/>
  <c r="B25" i="15"/>
  <c r="D21" i="15"/>
  <c r="D22" i="15"/>
  <c r="Q15" i="15"/>
  <c r="S11" i="15"/>
  <c r="S12" i="15"/>
  <c r="L15" i="15"/>
  <c r="N11" i="15"/>
  <c r="N12" i="15"/>
  <c r="G15" i="15"/>
  <c r="I11" i="15"/>
  <c r="I12" i="15"/>
  <c r="D11" i="15"/>
  <c r="D12" i="15"/>
  <c r="D13" i="15"/>
  <c r="D14" i="15"/>
  <c r="B15" i="15"/>
  <c r="H1432" i="1"/>
  <c r="I1432" i="1" s="1"/>
  <c r="H1431" i="1"/>
  <c r="I1431" i="1" s="1"/>
  <c r="H1430" i="1"/>
  <c r="I1430" i="1" s="1"/>
  <c r="H1429" i="1"/>
  <c r="I1429" i="1" s="1"/>
  <c r="H1428" i="1"/>
  <c r="I1428" i="1" s="1"/>
  <c r="H1427" i="1"/>
  <c r="I1427" i="1" s="1"/>
  <c r="H791" i="1"/>
  <c r="I791" i="1" s="1"/>
  <c r="H790" i="1"/>
  <c r="I790" i="1" s="1"/>
  <c r="H1040" i="6"/>
  <c r="J1040" i="6" s="1"/>
  <c r="H1002" i="6"/>
  <c r="J1002" i="6" s="1"/>
  <c r="G1171" i="1" s="1"/>
  <c r="H964" i="6"/>
  <c r="J964" i="6" s="1"/>
  <c r="G1133" i="1" s="1"/>
  <c r="H926" i="6"/>
  <c r="H888" i="6"/>
  <c r="H889" i="6" s="1"/>
  <c r="J889" i="6" s="1"/>
  <c r="G1059" i="1" s="1"/>
  <c r="H850" i="6"/>
  <c r="H851" i="6" s="1"/>
  <c r="J851" i="6" s="1"/>
  <c r="H812" i="6"/>
  <c r="J812" i="6" s="1"/>
  <c r="G1020" i="1" s="1"/>
  <c r="H774" i="6"/>
  <c r="J774" i="6" s="1"/>
  <c r="G982" i="1" s="1"/>
  <c r="H736" i="6"/>
  <c r="J736" i="6" s="1"/>
  <c r="G945" i="1" s="1"/>
  <c r="H698" i="6"/>
  <c r="H699" i="6" s="1"/>
  <c r="J699" i="6" s="1"/>
  <c r="G908" i="1" s="1"/>
  <c r="H660" i="6"/>
  <c r="H661" i="6" s="1"/>
  <c r="J661" i="6" s="1"/>
  <c r="G871" i="1" s="1"/>
  <c r="H622" i="6"/>
  <c r="H584" i="6"/>
  <c r="J584" i="6" s="1"/>
  <c r="G486" i="1" s="1"/>
  <c r="H546" i="6"/>
  <c r="J546" i="6" s="1"/>
  <c r="G448" i="1" s="1"/>
  <c r="H508" i="6"/>
  <c r="J508" i="6" s="1"/>
  <c r="G411" i="1" s="1"/>
  <c r="H470" i="6"/>
  <c r="J470" i="6" s="1"/>
  <c r="H432" i="6"/>
  <c r="J432" i="6" s="1"/>
  <c r="G374" i="1" s="1"/>
  <c r="H394" i="6"/>
  <c r="H395" i="6" s="1"/>
  <c r="J395" i="6" s="1"/>
  <c r="G338" i="1" s="1"/>
  <c r="H356" i="6"/>
  <c r="J356" i="6" s="1"/>
  <c r="G300" i="1" s="1"/>
  <c r="H318" i="6"/>
  <c r="H280" i="6"/>
  <c r="H281" i="6" s="1"/>
  <c r="J281" i="6" s="1"/>
  <c r="H242" i="6"/>
  <c r="H243" i="6" s="1"/>
  <c r="J243" i="6" s="1"/>
  <c r="G225" i="1" s="1"/>
  <c r="H166" i="6"/>
  <c r="J166" i="6" s="1"/>
  <c r="G186" i="1" s="1"/>
  <c r="H128" i="6"/>
  <c r="H90" i="6"/>
  <c r="J90" i="6" s="1"/>
  <c r="G112" i="1" s="1"/>
  <c r="H52" i="6"/>
  <c r="H53" i="6" s="1"/>
  <c r="J53" i="6" s="1"/>
  <c r="G76" i="1" s="1"/>
  <c r="J14" i="6"/>
  <c r="G38" i="1" s="1"/>
  <c r="J1034" i="6"/>
  <c r="J654" i="6"/>
  <c r="G864" i="1" s="1"/>
  <c r="J578" i="6"/>
  <c r="G480" i="1" s="1"/>
  <c r="J540" i="6"/>
  <c r="G442" i="1" s="1"/>
  <c r="J464" i="6"/>
  <c r="J426" i="6"/>
  <c r="G368" i="1" s="1"/>
  <c r="J312" i="6"/>
  <c r="G256" i="1" s="1"/>
  <c r="J236" i="6"/>
  <c r="G218" i="1" s="1"/>
  <c r="J198" i="6"/>
  <c r="J160" i="6"/>
  <c r="G180" i="1" s="1"/>
  <c r="J84" i="6"/>
  <c r="G106" i="1" s="1"/>
  <c r="J46" i="6"/>
  <c r="G69" i="1" s="1"/>
  <c r="J844" i="6"/>
  <c r="J616" i="6"/>
  <c r="G827" i="1" s="1"/>
  <c r="J388" i="6"/>
  <c r="G331" i="1" s="1"/>
  <c r="J350" i="6"/>
  <c r="G294" i="1" s="1"/>
  <c r="J8" i="6"/>
  <c r="G32" i="1" s="1"/>
  <c r="G1308" i="1"/>
  <c r="G1307" i="1"/>
  <c r="G1306" i="1"/>
  <c r="G1305" i="1"/>
  <c r="G1304" i="1"/>
  <c r="G1303" i="1"/>
  <c r="F1308" i="1"/>
  <c r="E1308" i="1"/>
  <c r="F1307" i="1"/>
  <c r="E1307" i="1"/>
  <c r="F1306" i="1"/>
  <c r="E1306" i="1"/>
  <c r="F1305" i="1"/>
  <c r="E1305" i="1"/>
  <c r="F1304" i="1"/>
  <c r="E1304" i="1"/>
  <c r="F1303" i="1"/>
  <c r="E1303" i="1"/>
  <c r="E25" i="13"/>
  <c r="E23" i="13"/>
  <c r="E22" i="13"/>
  <c r="E26" i="13"/>
  <c r="G705" i="1"/>
  <c r="G704" i="1"/>
  <c r="F707" i="1"/>
  <c r="E707" i="1"/>
  <c r="F706" i="1"/>
  <c r="E706" i="1"/>
  <c r="F705" i="1"/>
  <c r="E705" i="1"/>
  <c r="F704" i="1"/>
  <c r="E704" i="1"/>
  <c r="F703" i="1"/>
  <c r="E703" i="1"/>
  <c r="F702" i="1"/>
  <c r="E702" i="1"/>
  <c r="F701" i="1"/>
  <c r="E701" i="1"/>
  <c r="E10" i="13"/>
  <c r="G707" i="1"/>
  <c r="E9" i="13"/>
  <c r="G706" i="1"/>
  <c r="E8" i="13"/>
  <c r="E6" i="13"/>
  <c r="G703" i="1"/>
  <c r="E5" i="13"/>
  <c r="E7" i="13"/>
  <c r="G702" i="1"/>
  <c r="I1443" i="1"/>
  <c r="I1442" i="1"/>
  <c r="I1441" i="1"/>
  <c r="I804" i="1"/>
  <c r="I803" i="1"/>
  <c r="I802" i="1"/>
  <c r="I801" i="1"/>
  <c r="I800" i="1"/>
  <c r="I799" i="1"/>
  <c r="I798" i="1"/>
  <c r="I797" i="1"/>
  <c r="I796" i="1"/>
  <c r="I19" i="10"/>
  <c r="J19" i="10"/>
  <c r="I18" i="10"/>
  <c r="J18" i="10"/>
  <c r="I17" i="10"/>
  <c r="J17" i="10"/>
  <c r="I13" i="10"/>
  <c r="J13" i="10"/>
  <c r="I12" i="10"/>
  <c r="J12" i="10"/>
  <c r="I11" i="10"/>
  <c r="J11" i="10"/>
  <c r="I10" i="10"/>
  <c r="J10" i="10"/>
  <c r="I8" i="10"/>
  <c r="J8" i="10"/>
  <c r="I7" i="10"/>
  <c r="J7" i="10"/>
  <c r="I6" i="10"/>
  <c r="J6" i="10"/>
  <c r="K2" i="10"/>
  <c r="I5" i="10"/>
  <c r="J5" i="10"/>
  <c r="F1242" i="1"/>
  <c r="E1242" i="1"/>
  <c r="F1241" i="1"/>
  <c r="E1241" i="1"/>
  <c r="F1240" i="1"/>
  <c r="E1240" i="1"/>
  <c r="F1239" i="1"/>
  <c r="E1239" i="1"/>
  <c r="F1238" i="1"/>
  <c r="E1238" i="1"/>
  <c r="F1236" i="1"/>
  <c r="E1236" i="1"/>
  <c r="F1235" i="1"/>
  <c r="E1235" i="1"/>
  <c r="F1234" i="1"/>
  <c r="E1234" i="1"/>
  <c r="F1233" i="1"/>
  <c r="E1233" i="1"/>
  <c r="F1226" i="1"/>
  <c r="E1226" i="1"/>
  <c r="F1225" i="1"/>
  <c r="E1225" i="1"/>
  <c r="F1224" i="1"/>
  <c r="E1224" i="1"/>
  <c r="F1223" i="1"/>
  <c r="E1223" i="1"/>
  <c r="F1222" i="1"/>
  <c r="E1222" i="1"/>
  <c r="F1220" i="1"/>
  <c r="E1220" i="1"/>
  <c r="F1219" i="1"/>
  <c r="E1219" i="1"/>
  <c r="F1218" i="1"/>
  <c r="E1218" i="1"/>
  <c r="F1217" i="1"/>
  <c r="E1217" i="1"/>
  <c r="F1210" i="1"/>
  <c r="E1210" i="1"/>
  <c r="F1209" i="1"/>
  <c r="E1209" i="1"/>
  <c r="F1208" i="1"/>
  <c r="E1208" i="1"/>
  <c r="F1207" i="1"/>
  <c r="E1207" i="1"/>
  <c r="F1206" i="1"/>
  <c r="E1206" i="1"/>
  <c r="F1204" i="1"/>
  <c r="E1204" i="1"/>
  <c r="F1203" i="1"/>
  <c r="E1203" i="1"/>
  <c r="F1202" i="1"/>
  <c r="E1202" i="1"/>
  <c r="F1201" i="1"/>
  <c r="E1201" i="1"/>
  <c r="F631" i="1"/>
  <c r="E631" i="1"/>
  <c r="F630" i="1"/>
  <c r="E630" i="1"/>
  <c r="F629" i="1"/>
  <c r="E629" i="1"/>
  <c r="F628" i="1"/>
  <c r="E628" i="1"/>
  <c r="F627" i="1"/>
  <c r="E627" i="1"/>
  <c r="F625" i="1"/>
  <c r="E625" i="1"/>
  <c r="F624" i="1"/>
  <c r="E624" i="1"/>
  <c r="F623" i="1"/>
  <c r="E623" i="1"/>
  <c r="F622" i="1"/>
  <c r="E622" i="1"/>
  <c r="F616" i="1"/>
  <c r="E616" i="1"/>
  <c r="F615" i="1"/>
  <c r="E615" i="1"/>
  <c r="F614" i="1"/>
  <c r="E614" i="1"/>
  <c r="F613" i="1"/>
  <c r="E613" i="1"/>
  <c r="F612" i="1"/>
  <c r="E612" i="1"/>
  <c r="F610" i="1"/>
  <c r="E610" i="1"/>
  <c r="F609" i="1"/>
  <c r="E609" i="1"/>
  <c r="F608" i="1"/>
  <c r="E608" i="1"/>
  <c r="F607" i="1"/>
  <c r="E607" i="1"/>
  <c r="F601" i="1"/>
  <c r="E601" i="1"/>
  <c r="F600" i="1"/>
  <c r="E600" i="1"/>
  <c r="F599" i="1"/>
  <c r="E599" i="1"/>
  <c r="F598" i="1"/>
  <c r="E598" i="1"/>
  <c r="F597" i="1"/>
  <c r="E597" i="1"/>
  <c r="F595" i="1"/>
  <c r="E595" i="1"/>
  <c r="F594" i="1"/>
  <c r="E594" i="1"/>
  <c r="F593" i="1"/>
  <c r="E593" i="1"/>
  <c r="F592" i="1"/>
  <c r="E592" i="1"/>
  <c r="F586" i="1"/>
  <c r="E586" i="1"/>
  <c r="F585" i="1"/>
  <c r="E585" i="1"/>
  <c r="F584" i="1"/>
  <c r="E584" i="1"/>
  <c r="F583" i="1"/>
  <c r="E583" i="1"/>
  <c r="F582" i="1"/>
  <c r="E582" i="1"/>
  <c r="F580" i="1"/>
  <c r="E580" i="1"/>
  <c r="F579" i="1"/>
  <c r="E579" i="1"/>
  <c r="F578" i="1"/>
  <c r="E578" i="1"/>
  <c r="F577" i="1"/>
  <c r="E577" i="1"/>
  <c r="F570" i="1"/>
  <c r="E570" i="1"/>
  <c r="F569" i="1"/>
  <c r="E569" i="1"/>
  <c r="F568" i="1"/>
  <c r="E568" i="1"/>
  <c r="F567" i="1"/>
  <c r="E567" i="1"/>
  <c r="F566" i="1"/>
  <c r="E566" i="1"/>
  <c r="F564" i="1"/>
  <c r="E564" i="1"/>
  <c r="F563" i="1"/>
  <c r="E563" i="1"/>
  <c r="F562" i="1"/>
  <c r="E562" i="1"/>
  <c r="F561" i="1"/>
  <c r="E561" i="1"/>
  <c r="F555" i="1"/>
  <c r="E555" i="1"/>
  <c r="F554" i="1"/>
  <c r="E554" i="1"/>
  <c r="F553" i="1"/>
  <c r="E553" i="1"/>
  <c r="F552" i="1"/>
  <c r="E552" i="1"/>
  <c r="F551" i="1"/>
  <c r="E551" i="1"/>
  <c r="F549" i="1"/>
  <c r="E549" i="1"/>
  <c r="F548" i="1"/>
  <c r="E548" i="1"/>
  <c r="F547" i="1"/>
  <c r="E547" i="1"/>
  <c r="F546" i="1"/>
  <c r="E546" i="1"/>
  <c r="F540" i="1"/>
  <c r="E540" i="1"/>
  <c r="F539" i="1"/>
  <c r="E539" i="1"/>
  <c r="F538" i="1"/>
  <c r="E538" i="1"/>
  <c r="F537" i="1"/>
  <c r="E537" i="1"/>
  <c r="F536" i="1"/>
  <c r="E536" i="1"/>
  <c r="F534" i="1"/>
  <c r="E534" i="1"/>
  <c r="F533" i="1"/>
  <c r="E533" i="1"/>
  <c r="F532" i="1"/>
  <c r="E532" i="1"/>
  <c r="F531" i="1"/>
  <c r="E531" i="1"/>
  <c r="D159" i="11"/>
  <c r="C159" i="11"/>
  <c r="C160" i="11" s="1"/>
  <c r="E157" i="11"/>
  <c r="B157" i="11"/>
  <c r="D160" i="11"/>
  <c r="D161" i="11"/>
  <c r="D164" i="11" s="1"/>
  <c r="D166" i="11" s="1"/>
  <c r="D145" i="11"/>
  <c r="D146" i="11" s="1"/>
  <c r="D147" i="11" s="1"/>
  <c r="D150" i="11" s="1"/>
  <c r="D152" i="11" s="1"/>
  <c r="C145" i="11"/>
  <c r="C146" i="11" s="1"/>
  <c r="E143" i="11"/>
  <c r="B143" i="11"/>
  <c r="D131" i="11"/>
  <c r="D132" i="11" s="1"/>
  <c r="D133" i="11" s="1"/>
  <c r="D136" i="11" s="1"/>
  <c r="C131" i="11"/>
  <c r="C132" i="11" s="1"/>
  <c r="E129" i="11"/>
  <c r="B129" i="11"/>
  <c r="D117" i="11"/>
  <c r="D118" i="11" s="1"/>
  <c r="D119" i="11" s="1"/>
  <c r="D122" i="11" s="1"/>
  <c r="C117" i="11"/>
  <c r="C118" i="11" s="1"/>
  <c r="E115" i="11"/>
  <c r="B115" i="11"/>
  <c r="D103" i="11"/>
  <c r="D104" i="11" s="1"/>
  <c r="D105" i="11" s="1"/>
  <c r="D108" i="11" s="1"/>
  <c r="D110" i="11" s="1"/>
  <c r="C103" i="11"/>
  <c r="C104" i="11" s="1"/>
  <c r="E101" i="11"/>
  <c r="B101" i="11"/>
  <c r="D89" i="11"/>
  <c r="D90" i="11" s="1"/>
  <c r="D91" i="11" s="1"/>
  <c r="D94" i="11" s="1"/>
  <c r="C89" i="11"/>
  <c r="C90" i="11" s="1"/>
  <c r="C93" i="11" s="1"/>
  <c r="E87" i="11"/>
  <c r="B87" i="11"/>
  <c r="B91" i="11"/>
  <c r="B96" i="11"/>
  <c r="D75" i="11"/>
  <c r="D76" i="11" s="1"/>
  <c r="D77" i="11" s="1"/>
  <c r="D80" i="11" s="1"/>
  <c r="C75" i="11"/>
  <c r="C76" i="11" s="1"/>
  <c r="E73" i="11"/>
  <c r="B73" i="11"/>
  <c r="D61" i="11"/>
  <c r="D62" i="11" s="1"/>
  <c r="D63" i="11" s="1"/>
  <c r="D66" i="11" s="1"/>
  <c r="D68" i="11" s="1"/>
  <c r="C61" i="11"/>
  <c r="C62" i="11" s="1"/>
  <c r="B59" i="11"/>
  <c r="D47" i="11"/>
  <c r="D48" i="11" s="1"/>
  <c r="C47" i="11"/>
  <c r="C48" i="11" s="1"/>
  <c r="E45" i="11"/>
  <c r="B45" i="11"/>
  <c r="D33" i="11"/>
  <c r="D34" i="11" s="1"/>
  <c r="D35" i="11" s="1"/>
  <c r="D38" i="11" s="1"/>
  <c r="C33" i="11"/>
  <c r="C34" i="11" s="1"/>
  <c r="C37" i="11" s="1"/>
  <c r="E31" i="11"/>
  <c r="B40" i="11" s="1"/>
  <c r="B31" i="11"/>
  <c r="D19" i="11"/>
  <c r="D20" i="11" s="1"/>
  <c r="D21" i="11" s="1"/>
  <c r="D24" i="11" s="1"/>
  <c r="D26" i="11" s="1"/>
  <c r="C19" i="11"/>
  <c r="C20" i="11" s="1"/>
  <c r="E17" i="11"/>
  <c r="B17" i="11"/>
  <c r="G1195" i="1"/>
  <c r="G1189" i="1"/>
  <c r="G1184" i="1"/>
  <c r="G1176" i="1"/>
  <c r="G1157" i="1"/>
  <c r="G1151" i="1"/>
  <c r="G1146" i="1"/>
  <c r="G1138" i="1"/>
  <c r="G1120" i="1"/>
  <c r="G1114" i="1"/>
  <c r="G1109" i="1"/>
  <c r="G1101" i="1"/>
  <c r="G1082" i="1"/>
  <c r="G1076" i="1"/>
  <c r="G1071" i="1"/>
  <c r="G1063" i="1"/>
  <c r="G1044" i="1"/>
  <c r="G1038" i="1"/>
  <c r="G1033" i="1"/>
  <c r="G1025" i="1"/>
  <c r="G1006" i="1"/>
  <c r="G1000" i="1"/>
  <c r="G995" i="1"/>
  <c r="G987" i="1"/>
  <c r="G969" i="1"/>
  <c r="G963" i="1"/>
  <c r="G958" i="1"/>
  <c r="G950" i="1"/>
  <c r="G931" i="1"/>
  <c r="G925" i="1"/>
  <c r="G920" i="1"/>
  <c r="G912" i="1"/>
  <c r="G894" i="1"/>
  <c r="G888" i="1"/>
  <c r="G883" i="1"/>
  <c r="G875" i="1"/>
  <c r="G857" i="1"/>
  <c r="G851" i="1"/>
  <c r="G846" i="1"/>
  <c r="G838" i="1"/>
  <c r="F1029" i="6"/>
  <c r="B1029" i="6"/>
  <c r="J1057" i="6"/>
  <c r="J1056" i="6"/>
  <c r="F1042" i="6"/>
  <c r="J1033" i="6"/>
  <c r="J1032" i="6"/>
  <c r="F991" i="6"/>
  <c r="B991" i="6"/>
  <c r="J1019" i="6"/>
  <c r="G1188" i="1" s="1"/>
  <c r="J1018" i="6"/>
  <c r="G1187" i="1" s="1"/>
  <c r="F998" i="6"/>
  <c r="F1004" i="6" s="1"/>
  <c r="J995" i="6"/>
  <c r="G1164" i="1" s="1"/>
  <c r="J994" i="6"/>
  <c r="G1163" i="1" s="1"/>
  <c r="F953" i="6"/>
  <c r="B953" i="6"/>
  <c r="J981" i="6"/>
  <c r="G1150" i="1" s="1"/>
  <c r="J980" i="6"/>
  <c r="G1149" i="1" s="1"/>
  <c r="F960" i="6"/>
  <c r="F966" i="6" s="1"/>
  <c r="J957" i="6"/>
  <c r="G1126" i="1" s="1"/>
  <c r="J956" i="6"/>
  <c r="G1125" i="1" s="1"/>
  <c r="F915" i="6"/>
  <c r="B915" i="6"/>
  <c r="J943" i="6"/>
  <c r="G1113" i="1" s="1"/>
  <c r="J942" i="6"/>
  <c r="G1112" i="1" s="1"/>
  <c r="F922" i="6"/>
  <c r="F928" i="6" s="1"/>
  <c r="J919" i="6"/>
  <c r="G1089" i="1" s="1"/>
  <c r="J918" i="6"/>
  <c r="G1088" i="1" s="1"/>
  <c r="F877" i="6"/>
  <c r="B877" i="6"/>
  <c r="J905" i="6"/>
  <c r="G1075" i="1" s="1"/>
  <c r="J904" i="6"/>
  <c r="G1074" i="1" s="1"/>
  <c r="F884" i="6"/>
  <c r="F890" i="6" s="1"/>
  <c r="J881" i="6"/>
  <c r="G1051" i="1" s="1"/>
  <c r="J880" i="6"/>
  <c r="G1050" i="1" s="1"/>
  <c r="F839" i="6"/>
  <c r="B839" i="6"/>
  <c r="J867" i="6"/>
  <c r="J866" i="6"/>
  <c r="J843" i="6"/>
  <c r="J842" i="6"/>
  <c r="F801" i="6"/>
  <c r="B801" i="6"/>
  <c r="J829" i="6"/>
  <c r="G1037" i="1" s="1"/>
  <c r="J828" i="6"/>
  <c r="G1036" i="1" s="1"/>
  <c r="F808" i="6"/>
  <c r="F814" i="6" s="1"/>
  <c r="J805" i="6"/>
  <c r="G1013" i="1" s="1"/>
  <c r="J804" i="6"/>
  <c r="G1012" i="1" s="1"/>
  <c r="F763" i="6"/>
  <c r="B763" i="6"/>
  <c r="J791" i="6"/>
  <c r="G999" i="1" s="1"/>
  <c r="J790" i="6"/>
  <c r="G998" i="1" s="1"/>
  <c r="F770" i="6"/>
  <c r="F776" i="6" s="1"/>
  <c r="J767" i="6"/>
  <c r="G975" i="1" s="1"/>
  <c r="J766" i="6"/>
  <c r="G974" i="1" s="1"/>
  <c r="F725" i="6"/>
  <c r="B725" i="6"/>
  <c r="J753" i="6"/>
  <c r="G962" i="1" s="1"/>
  <c r="F732" i="6"/>
  <c r="F738" i="6" s="1"/>
  <c r="J729" i="6"/>
  <c r="G938" i="1" s="1"/>
  <c r="J728" i="6"/>
  <c r="G937" i="1" s="1"/>
  <c r="F687" i="6"/>
  <c r="B687" i="6"/>
  <c r="J715" i="6"/>
  <c r="G924" i="1" s="1"/>
  <c r="J714" i="6"/>
  <c r="G923" i="1" s="1"/>
  <c r="F694" i="6"/>
  <c r="F700" i="6" s="1"/>
  <c r="J691" i="6"/>
  <c r="G900" i="1" s="1"/>
  <c r="J690" i="6"/>
  <c r="G899" i="1" s="1"/>
  <c r="F649" i="6"/>
  <c r="B649" i="6"/>
  <c r="J677" i="6"/>
  <c r="G887" i="1" s="1"/>
  <c r="F656" i="6"/>
  <c r="F662" i="6" s="1"/>
  <c r="J653" i="6"/>
  <c r="G863" i="1" s="1"/>
  <c r="J652" i="6"/>
  <c r="G862" i="1" s="1"/>
  <c r="F611" i="6"/>
  <c r="B611" i="6"/>
  <c r="J639" i="6"/>
  <c r="G850" i="1" s="1"/>
  <c r="F618" i="6"/>
  <c r="F624" i="6" s="1"/>
  <c r="J615" i="6"/>
  <c r="G826" i="1" s="1"/>
  <c r="J614" i="6"/>
  <c r="G825" i="1" s="1"/>
  <c r="G510" i="1"/>
  <c r="G504" i="1"/>
  <c r="G499" i="1"/>
  <c r="G491" i="1"/>
  <c r="G472" i="1"/>
  <c r="G466" i="1"/>
  <c r="G461" i="1"/>
  <c r="G453" i="1"/>
  <c r="G435" i="1"/>
  <c r="G429" i="1"/>
  <c r="G424" i="1"/>
  <c r="G416" i="1"/>
  <c r="G398" i="1"/>
  <c r="G392" i="1"/>
  <c r="G387" i="1"/>
  <c r="G379" i="1"/>
  <c r="G361" i="1"/>
  <c r="G355" i="1"/>
  <c r="G350" i="1"/>
  <c r="G342" i="1"/>
  <c r="G324" i="1"/>
  <c r="G318" i="1"/>
  <c r="G313" i="1"/>
  <c r="G305" i="1"/>
  <c r="G286" i="1"/>
  <c r="G280" i="1"/>
  <c r="G275" i="1"/>
  <c r="G267" i="1"/>
  <c r="G248" i="1"/>
  <c r="G242" i="1"/>
  <c r="G237" i="1"/>
  <c r="G229" i="1"/>
  <c r="G210" i="1"/>
  <c r="G204" i="1"/>
  <c r="G199" i="1"/>
  <c r="G191" i="1"/>
  <c r="G173" i="1"/>
  <c r="G167" i="1"/>
  <c r="G162" i="1"/>
  <c r="G154" i="1"/>
  <c r="G136" i="1"/>
  <c r="G130" i="1"/>
  <c r="G125" i="1"/>
  <c r="G117" i="1"/>
  <c r="G99" i="1"/>
  <c r="G93" i="1"/>
  <c r="G88" i="1"/>
  <c r="G80" i="1"/>
  <c r="F542" i="6"/>
  <c r="F548" i="6" s="1"/>
  <c r="F573" i="6"/>
  <c r="B573" i="6"/>
  <c r="J601" i="6"/>
  <c r="G503" i="1" s="1"/>
  <c r="J600" i="6"/>
  <c r="G502" i="1" s="1"/>
  <c r="F580" i="6"/>
  <c r="F586" i="6" s="1"/>
  <c r="J577" i="6"/>
  <c r="G479" i="1" s="1"/>
  <c r="J576" i="6"/>
  <c r="G478" i="1" s="1"/>
  <c r="B535" i="6"/>
  <c r="J563" i="6"/>
  <c r="G465" i="1" s="1"/>
  <c r="J562" i="6"/>
  <c r="G464" i="1" s="1"/>
  <c r="J539" i="6"/>
  <c r="G441" i="1" s="1"/>
  <c r="J538" i="6"/>
  <c r="G440" i="1" s="1"/>
  <c r="B497" i="6"/>
  <c r="J525" i="6"/>
  <c r="G428" i="1" s="1"/>
  <c r="J524" i="6"/>
  <c r="G427" i="1" s="1"/>
  <c r="F504" i="6"/>
  <c r="F510" i="6" s="1"/>
  <c r="J502" i="6"/>
  <c r="G405" i="1" s="1"/>
  <c r="J501" i="6"/>
  <c r="G404" i="1" s="1"/>
  <c r="J500" i="6"/>
  <c r="G403" i="1" s="1"/>
  <c r="B459" i="6"/>
  <c r="J487" i="6"/>
  <c r="J486" i="6"/>
  <c r="F472" i="6"/>
  <c r="J463" i="6"/>
  <c r="J462" i="6"/>
  <c r="B421" i="6"/>
  <c r="J449" i="6"/>
  <c r="G391" i="1" s="1"/>
  <c r="J448" i="6"/>
  <c r="G390" i="1" s="1"/>
  <c r="F428" i="6"/>
  <c r="F434" i="6" s="1"/>
  <c r="J425" i="6"/>
  <c r="G367" i="1" s="1"/>
  <c r="J424" i="6"/>
  <c r="G366" i="1" s="1"/>
  <c r="F383" i="6"/>
  <c r="B383" i="6"/>
  <c r="J411" i="6"/>
  <c r="G354" i="1" s="1"/>
  <c r="F390" i="6"/>
  <c r="F396" i="6" s="1"/>
  <c r="J387" i="6"/>
  <c r="G330" i="1" s="1"/>
  <c r="J386" i="6"/>
  <c r="G329" i="1" s="1"/>
  <c r="F345" i="6"/>
  <c r="B345" i="6"/>
  <c r="J373" i="6"/>
  <c r="G317" i="1" s="1"/>
  <c r="J372" i="6"/>
  <c r="G316" i="1" s="1"/>
  <c r="F352" i="6"/>
  <c r="F358" i="6" s="1"/>
  <c r="J349" i="6"/>
  <c r="G293" i="1" s="1"/>
  <c r="J348" i="6"/>
  <c r="G292" i="1" s="1"/>
  <c r="F307" i="6"/>
  <c r="B307" i="6"/>
  <c r="J335" i="6"/>
  <c r="G279" i="1" s="1"/>
  <c r="J334" i="6"/>
  <c r="G278" i="1" s="1"/>
  <c r="F314" i="6"/>
  <c r="F320" i="6" s="1"/>
  <c r="J311" i="6"/>
  <c r="G255" i="1" s="1"/>
  <c r="J310" i="6"/>
  <c r="G254" i="1" s="1"/>
  <c r="B269" i="6"/>
  <c r="J297" i="6"/>
  <c r="J296" i="6"/>
  <c r="F282" i="6"/>
  <c r="J274" i="6"/>
  <c r="J273" i="6"/>
  <c r="J272" i="6"/>
  <c r="B231" i="6"/>
  <c r="J259" i="6"/>
  <c r="G241" i="1" s="1"/>
  <c r="J258" i="6"/>
  <c r="G240" i="1" s="1"/>
  <c r="F238" i="6"/>
  <c r="F244" i="6" s="1"/>
  <c r="J235" i="6"/>
  <c r="G217" i="1" s="1"/>
  <c r="J234" i="6"/>
  <c r="G216" i="1" s="1"/>
  <c r="F193" i="6"/>
  <c r="B193" i="6"/>
  <c r="J221" i="6"/>
  <c r="J220" i="6"/>
  <c r="F206" i="6"/>
  <c r="J197" i="6"/>
  <c r="J196" i="6"/>
  <c r="F155" i="6"/>
  <c r="B155" i="6"/>
  <c r="J183" i="6"/>
  <c r="G203" i="1" s="1"/>
  <c r="F162" i="6"/>
  <c r="F168" i="6" s="1"/>
  <c r="J159" i="6"/>
  <c r="G179" i="1" s="1"/>
  <c r="J158" i="6"/>
  <c r="G178" i="1" s="1"/>
  <c r="F117" i="6"/>
  <c r="B117" i="6"/>
  <c r="J145" i="6"/>
  <c r="G166" i="1" s="1"/>
  <c r="J144" i="6"/>
  <c r="G165" i="1" s="1"/>
  <c r="F124" i="6"/>
  <c r="F130" i="6" s="1"/>
  <c r="J122" i="6"/>
  <c r="G143" i="1" s="1"/>
  <c r="J121" i="6"/>
  <c r="G142" i="1" s="1"/>
  <c r="J120" i="6"/>
  <c r="G141" i="1" s="1"/>
  <c r="F79" i="6"/>
  <c r="B79" i="6"/>
  <c r="J107" i="6"/>
  <c r="G129" i="1" s="1"/>
  <c r="J106" i="6"/>
  <c r="G128" i="1" s="1"/>
  <c r="F86" i="6"/>
  <c r="F92" i="6" s="1"/>
  <c r="J83" i="6"/>
  <c r="G105" i="1" s="1"/>
  <c r="J82" i="6"/>
  <c r="G104" i="1" s="1"/>
  <c r="F41" i="6"/>
  <c r="B41" i="6"/>
  <c r="F3" i="6"/>
  <c r="B3" i="6"/>
  <c r="J69" i="6"/>
  <c r="G92" i="1" s="1"/>
  <c r="F48" i="6"/>
  <c r="F54" i="6" s="1"/>
  <c r="J45" i="6"/>
  <c r="G68" i="1" s="1"/>
  <c r="J44" i="6"/>
  <c r="G67" i="1" s="1"/>
  <c r="F1196" i="1"/>
  <c r="E1196" i="1"/>
  <c r="F1193" i="1"/>
  <c r="E1193" i="1"/>
  <c r="F1192" i="1"/>
  <c r="E1192" i="1"/>
  <c r="F1191" i="1"/>
  <c r="E1191" i="1"/>
  <c r="F1190" i="1"/>
  <c r="E1190" i="1"/>
  <c r="F1188" i="1"/>
  <c r="E1188" i="1"/>
  <c r="F1187" i="1"/>
  <c r="E1187" i="1"/>
  <c r="F1186" i="1"/>
  <c r="E1186" i="1"/>
  <c r="F1185" i="1"/>
  <c r="E1185" i="1"/>
  <c r="F1183" i="1"/>
  <c r="E1183" i="1"/>
  <c r="F1182" i="1"/>
  <c r="E1182" i="1"/>
  <c r="F1181" i="1"/>
  <c r="E1181" i="1"/>
  <c r="F1179" i="1"/>
  <c r="E1179" i="1"/>
  <c r="F1178" i="1"/>
  <c r="E1178" i="1"/>
  <c r="F1177" i="1"/>
  <c r="E1177" i="1"/>
  <c r="F1175" i="1"/>
  <c r="E1175" i="1"/>
  <c r="F1173" i="1"/>
  <c r="E1173" i="1"/>
  <c r="F1172" i="1"/>
  <c r="E1172" i="1"/>
  <c r="F1171" i="1"/>
  <c r="E1171" i="1"/>
  <c r="F1165" i="1"/>
  <c r="E1165" i="1"/>
  <c r="F1164" i="1"/>
  <c r="E1164" i="1"/>
  <c r="F1163" i="1"/>
  <c r="E1163" i="1"/>
  <c r="F1162" i="1"/>
  <c r="E1162" i="1"/>
  <c r="F1158" i="1"/>
  <c r="E1158" i="1"/>
  <c r="F1155" i="1"/>
  <c r="E1155" i="1"/>
  <c r="F1154" i="1"/>
  <c r="E1154" i="1"/>
  <c r="F1153" i="1"/>
  <c r="E1153" i="1"/>
  <c r="F1152" i="1"/>
  <c r="E1152" i="1"/>
  <c r="F1150" i="1"/>
  <c r="E1150" i="1"/>
  <c r="F1149" i="1"/>
  <c r="E1149" i="1"/>
  <c r="F1148" i="1"/>
  <c r="E1148" i="1"/>
  <c r="F1147" i="1"/>
  <c r="E1147" i="1"/>
  <c r="F1145" i="1"/>
  <c r="E1145" i="1"/>
  <c r="F1144" i="1"/>
  <c r="E1144" i="1"/>
  <c r="F1143" i="1"/>
  <c r="E1143" i="1"/>
  <c r="F1141" i="1"/>
  <c r="E1141" i="1"/>
  <c r="F1140" i="1"/>
  <c r="E1140" i="1"/>
  <c r="F1139" i="1"/>
  <c r="E1139" i="1"/>
  <c r="F1137" i="1"/>
  <c r="E1137" i="1"/>
  <c r="F1135" i="1"/>
  <c r="E1135" i="1"/>
  <c r="F1134" i="1"/>
  <c r="E1134" i="1"/>
  <c r="F1133" i="1"/>
  <c r="E1133" i="1"/>
  <c r="F1127" i="1"/>
  <c r="E1127" i="1"/>
  <c r="F1126" i="1"/>
  <c r="E1126" i="1"/>
  <c r="F1125" i="1"/>
  <c r="E1125" i="1"/>
  <c r="F1124" i="1"/>
  <c r="E1124" i="1"/>
  <c r="F1121" i="1"/>
  <c r="E1121" i="1"/>
  <c r="F1118" i="1"/>
  <c r="E1118" i="1"/>
  <c r="F1117" i="1"/>
  <c r="E1117" i="1"/>
  <c r="F1116" i="1"/>
  <c r="E1116" i="1"/>
  <c r="F1115" i="1"/>
  <c r="E1115" i="1"/>
  <c r="F1113" i="1"/>
  <c r="E1113" i="1"/>
  <c r="F1112" i="1"/>
  <c r="E1112" i="1"/>
  <c r="F1111" i="1"/>
  <c r="E1111" i="1"/>
  <c r="F1110" i="1"/>
  <c r="E1110" i="1"/>
  <c r="F1108" i="1"/>
  <c r="E1108" i="1"/>
  <c r="F1107" i="1"/>
  <c r="E1107" i="1"/>
  <c r="F1106" i="1"/>
  <c r="E1106" i="1"/>
  <c r="F1104" i="1"/>
  <c r="E1104" i="1"/>
  <c r="F1103" i="1"/>
  <c r="E1103" i="1"/>
  <c r="F1102" i="1"/>
  <c r="E1102" i="1"/>
  <c r="F1100" i="1"/>
  <c r="E1100" i="1"/>
  <c r="F1098" i="1"/>
  <c r="E1098" i="1"/>
  <c r="F1097" i="1"/>
  <c r="E1097" i="1"/>
  <c r="F1096" i="1"/>
  <c r="E1096" i="1"/>
  <c r="F1090" i="1"/>
  <c r="E1090" i="1"/>
  <c r="F1089" i="1"/>
  <c r="E1089" i="1"/>
  <c r="F1088" i="1"/>
  <c r="E1088" i="1"/>
  <c r="F1087" i="1"/>
  <c r="E1087" i="1"/>
  <c r="F1083" i="1"/>
  <c r="E1083" i="1"/>
  <c r="F1080" i="1"/>
  <c r="E1080" i="1"/>
  <c r="F1079" i="1"/>
  <c r="E1079" i="1"/>
  <c r="F1078" i="1"/>
  <c r="E1078" i="1"/>
  <c r="F1077" i="1"/>
  <c r="E1077" i="1"/>
  <c r="F1075" i="1"/>
  <c r="E1075" i="1"/>
  <c r="F1074" i="1"/>
  <c r="E1074" i="1"/>
  <c r="F1073" i="1"/>
  <c r="E1073" i="1"/>
  <c r="F1072" i="1"/>
  <c r="E1072" i="1"/>
  <c r="F1070" i="1"/>
  <c r="E1070" i="1"/>
  <c r="F1069" i="1"/>
  <c r="E1069" i="1"/>
  <c r="F1068" i="1"/>
  <c r="E1068" i="1"/>
  <c r="F1066" i="1"/>
  <c r="E1066" i="1"/>
  <c r="F1065" i="1"/>
  <c r="E1065" i="1"/>
  <c r="F1064" i="1"/>
  <c r="E1064" i="1"/>
  <c r="F1062" i="1"/>
  <c r="E1062" i="1"/>
  <c r="F1060" i="1"/>
  <c r="E1060" i="1"/>
  <c r="F1059" i="1"/>
  <c r="E1059" i="1"/>
  <c r="F1058" i="1"/>
  <c r="E1058" i="1"/>
  <c r="F1052" i="1"/>
  <c r="E1052" i="1"/>
  <c r="F1051" i="1"/>
  <c r="E1051" i="1"/>
  <c r="F1050" i="1"/>
  <c r="E1050" i="1"/>
  <c r="F1049" i="1"/>
  <c r="E1049" i="1"/>
  <c r="F1045" i="1"/>
  <c r="E1045" i="1"/>
  <c r="F1042" i="1"/>
  <c r="E1042" i="1"/>
  <c r="F1041" i="1"/>
  <c r="E1041" i="1"/>
  <c r="F1040" i="1"/>
  <c r="E1040" i="1"/>
  <c r="F1039" i="1"/>
  <c r="E1039" i="1"/>
  <c r="F1037" i="1"/>
  <c r="E1037" i="1"/>
  <c r="F1036" i="1"/>
  <c r="E1036" i="1"/>
  <c r="F1035" i="1"/>
  <c r="E1035" i="1"/>
  <c r="F1034" i="1"/>
  <c r="E1034" i="1"/>
  <c r="F1032" i="1"/>
  <c r="E1032" i="1"/>
  <c r="F1031" i="1"/>
  <c r="E1031" i="1"/>
  <c r="F1030" i="1"/>
  <c r="E1030" i="1"/>
  <c r="F1028" i="1"/>
  <c r="E1028" i="1"/>
  <c r="F1027" i="1"/>
  <c r="E1027" i="1"/>
  <c r="F1026" i="1"/>
  <c r="E1026" i="1"/>
  <c r="F1024" i="1"/>
  <c r="E1024" i="1"/>
  <c r="F1022" i="1"/>
  <c r="E1022" i="1"/>
  <c r="F1021" i="1"/>
  <c r="E1021" i="1"/>
  <c r="F1020" i="1"/>
  <c r="E1020" i="1"/>
  <c r="F1014" i="1"/>
  <c r="E1014" i="1"/>
  <c r="F1013" i="1"/>
  <c r="E1013" i="1"/>
  <c r="F1012" i="1"/>
  <c r="E1012" i="1"/>
  <c r="F1011" i="1"/>
  <c r="E1011" i="1"/>
  <c r="F1007" i="1"/>
  <c r="E1007" i="1"/>
  <c r="F1004" i="1"/>
  <c r="E1004" i="1"/>
  <c r="F1003" i="1"/>
  <c r="E1003" i="1"/>
  <c r="F1002" i="1"/>
  <c r="E1002" i="1"/>
  <c r="F1001" i="1"/>
  <c r="E1001" i="1"/>
  <c r="F999" i="1"/>
  <c r="E999" i="1"/>
  <c r="F998" i="1"/>
  <c r="E998" i="1"/>
  <c r="F997" i="1"/>
  <c r="E997" i="1"/>
  <c r="F996" i="1"/>
  <c r="E996" i="1"/>
  <c r="F994" i="1"/>
  <c r="E994" i="1"/>
  <c r="F993" i="1"/>
  <c r="E993" i="1"/>
  <c r="F992" i="1"/>
  <c r="E992" i="1"/>
  <c r="F990" i="1"/>
  <c r="E990" i="1"/>
  <c r="F989" i="1"/>
  <c r="E989" i="1"/>
  <c r="F988" i="1"/>
  <c r="E988" i="1"/>
  <c r="F986" i="1"/>
  <c r="E986" i="1"/>
  <c r="F984" i="1"/>
  <c r="E984" i="1"/>
  <c r="F983" i="1"/>
  <c r="E983" i="1"/>
  <c r="F982" i="1"/>
  <c r="E982" i="1"/>
  <c r="F976" i="1"/>
  <c r="E976" i="1"/>
  <c r="F975" i="1"/>
  <c r="E975" i="1"/>
  <c r="F974" i="1"/>
  <c r="E974" i="1"/>
  <c r="F973" i="1"/>
  <c r="E973" i="1"/>
  <c r="F970" i="1"/>
  <c r="E970" i="1"/>
  <c r="F967" i="1"/>
  <c r="E967" i="1"/>
  <c r="F966" i="1"/>
  <c r="E966" i="1"/>
  <c r="F965" i="1"/>
  <c r="E965" i="1"/>
  <c r="F964" i="1"/>
  <c r="E964" i="1"/>
  <c r="F962" i="1"/>
  <c r="E962" i="1"/>
  <c r="F961" i="1"/>
  <c r="E961" i="1"/>
  <c r="F960" i="1"/>
  <c r="E960" i="1"/>
  <c r="F959" i="1"/>
  <c r="E959" i="1"/>
  <c r="F957" i="1"/>
  <c r="E957" i="1"/>
  <c r="F956" i="1"/>
  <c r="E956" i="1"/>
  <c r="F955" i="1"/>
  <c r="E955" i="1"/>
  <c r="F953" i="1"/>
  <c r="E953" i="1"/>
  <c r="F952" i="1"/>
  <c r="E952" i="1"/>
  <c r="F951" i="1"/>
  <c r="E951" i="1"/>
  <c r="F949" i="1"/>
  <c r="E949" i="1"/>
  <c r="F947" i="1"/>
  <c r="E947" i="1"/>
  <c r="F946" i="1"/>
  <c r="E946" i="1"/>
  <c r="F945" i="1"/>
  <c r="E945" i="1"/>
  <c r="F939" i="1"/>
  <c r="E939" i="1"/>
  <c r="F938" i="1"/>
  <c r="E938" i="1"/>
  <c r="F937" i="1"/>
  <c r="E937" i="1"/>
  <c r="F936" i="1"/>
  <c r="E936" i="1"/>
  <c r="F932" i="1"/>
  <c r="E932" i="1"/>
  <c r="F929" i="1"/>
  <c r="E929" i="1"/>
  <c r="F928" i="1"/>
  <c r="E928" i="1"/>
  <c r="F927" i="1"/>
  <c r="E927" i="1"/>
  <c r="F926" i="1"/>
  <c r="E926" i="1"/>
  <c r="F924" i="1"/>
  <c r="E924" i="1"/>
  <c r="F923" i="1"/>
  <c r="E923" i="1"/>
  <c r="F922" i="1"/>
  <c r="E922" i="1"/>
  <c r="F921" i="1"/>
  <c r="E921" i="1"/>
  <c r="F919" i="1"/>
  <c r="E919" i="1"/>
  <c r="F918" i="1"/>
  <c r="E918" i="1"/>
  <c r="F917" i="1"/>
  <c r="E917" i="1"/>
  <c r="F915" i="1"/>
  <c r="E915" i="1"/>
  <c r="F914" i="1"/>
  <c r="E914" i="1"/>
  <c r="F913" i="1"/>
  <c r="E913" i="1"/>
  <c r="F911" i="1"/>
  <c r="E911" i="1"/>
  <c r="F909" i="1"/>
  <c r="E909" i="1"/>
  <c r="F908" i="1"/>
  <c r="E908" i="1"/>
  <c r="F907" i="1"/>
  <c r="E907" i="1"/>
  <c r="F901" i="1"/>
  <c r="E901" i="1"/>
  <c r="F900" i="1"/>
  <c r="E900" i="1"/>
  <c r="F899" i="1"/>
  <c r="E899" i="1"/>
  <c r="F898" i="1"/>
  <c r="E898" i="1"/>
  <c r="F895" i="1"/>
  <c r="E895" i="1"/>
  <c r="F892" i="1"/>
  <c r="E892" i="1"/>
  <c r="F891" i="1"/>
  <c r="E891" i="1"/>
  <c r="F890" i="1"/>
  <c r="E890" i="1"/>
  <c r="F889" i="1"/>
  <c r="E889" i="1"/>
  <c r="F887" i="1"/>
  <c r="E887" i="1"/>
  <c r="F886" i="1"/>
  <c r="E886" i="1"/>
  <c r="F885" i="1"/>
  <c r="E885" i="1"/>
  <c r="F884" i="1"/>
  <c r="E884" i="1"/>
  <c r="F882" i="1"/>
  <c r="E882" i="1"/>
  <c r="F881" i="1"/>
  <c r="E881" i="1"/>
  <c r="F880" i="1"/>
  <c r="E880" i="1"/>
  <c r="F878" i="1"/>
  <c r="E878" i="1"/>
  <c r="F877" i="1"/>
  <c r="E877" i="1"/>
  <c r="F876" i="1"/>
  <c r="E876" i="1"/>
  <c r="F874" i="1"/>
  <c r="E874" i="1"/>
  <c r="F872" i="1"/>
  <c r="E872" i="1"/>
  <c r="F871" i="1"/>
  <c r="E871" i="1"/>
  <c r="F870" i="1"/>
  <c r="E870" i="1"/>
  <c r="F864" i="1"/>
  <c r="E864" i="1"/>
  <c r="F863" i="1"/>
  <c r="E863" i="1"/>
  <c r="F862" i="1"/>
  <c r="E862" i="1"/>
  <c r="F861" i="1"/>
  <c r="E861" i="1"/>
  <c r="F858" i="1"/>
  <c r="E858" i="1"/>
  <c r="F855" i="1"/>
  <c r="E855" i="1"/>
  <c r="F854" i="1"/>
  <c r="E854" i="1"/>
  <c r="F853" i="1"/>
  <c r="E853" i="1"/>
  <c r="F852" i="1"/>
  <c r="E852" i="1"/>
  <c r="F850" i="1"/>
  <c r="E850" i="1"/>
  <c r="F849" i="1"/>
  <c r="E849" i="1"/>
  <c r="F848" i="1"/>
  <c r="E848" i="1"/>
  <c r="F847" i="1"/>
  <c r="E847" i="1"/>
  <c r="F845" i="1"/>
  <c r="E845" i="1"/>
  <c r="F844" i="1"/>
  <c r="E844" i="1"/>
  <c r="F843" i="1"/>
  <c r="E843" i="1"/>
  <c r="F841" i="1"/>
  <c r="E841" i="1"/>
  <c r="F840" i="1"/>
  <c r="E840" i="1"/>
  <c r="F839" i="1"/>
  <c r="E839" i="1"/>
  <c r="F837" i="1"/>
  <c r="E837" i="1"/>
  <c r="F835" i="1"/>
  <c r="E835" i="1"/>
  <c r="F834" i="1"/>
  <c r="E834" i="1"/>
  <c r="F833" i="1"/>
  <c r="E833" i="1"/>
  <c r="F827" i="1"/>
  <c r="E827" i="1"/>
  <c r="F826" i="1"/>
  <c r="E826" i="1"/>
  <c r="F825" i="1"/>
  <c r="E825" i="1"/>
  <c r="F824" i="1"/>
  <c r="E824" i="1"/>
  <c r="F511" i="1"/>
  <c r="E511" i="1"/>
  <c r="F508" i="1"/>
  <c r="E508" i="1"/>
  <c r="F507" i="1"/>
  <c r="E507" i="1"/>
  <c r="F506" i="1"/>
  <c r="E506" i="1"/>
  <c r="F505" i="1"/>
  <c r="E505" i="1"/>
  <c r="F503" i="1"/>
  <c r="E503" i="1"/>
  <c r="F502" i="1"/>
  <c r="E502" i="1"/>
  <c r="F501" i="1"/>
  <c r="E501" i="1"/>
  <c r="F500" i="1"/>
  <c r="E500" i="1"/>
  <c r="F498" i="1"/>
  <c r="E498" i="1"/>
  <c r="F497" i="1"/>
  <c r="E497" i="1"/>
  <c r="F496" i="1"/>
  <c r="E496" i="1"/>
  <c r="F494" i="1"/>
  <c r="E494" i="1"/>
  <c r="F493" i="1"/>
  <c r="E493" i="1"/>
  <c r="F492" i="1"/>
  <c r="E492" i="1"/>
  <c r="F490" i="1"/>
  <c r="E490" i="1"/>
  <c r="F488" i="1"/>
  <c r="E488" i="1"/>
  <c r="F487" i="1"/>
  <c r="E487" i="1"/>
  <c r="F486" i="1"/>
  <c r="E486" i="1"/>
  <c r="F480" i="1"/>
  <c r="E480" i="1"/>
  <c r="F479" i="1"/>
  <c r="E479" i="1"/>
  <c r="F478" i="1"/>
  <c r="E478" i="1"/>
  <c r="F477" i="1"/>
  <c r="E477" i="1"/>
  <c r="F473" i="1"/>
  <c r="E473" i="1"/>
  <c r="F470" i="1"/>
  <c r="E470" i="1"/>
  <c r="F469" i="1"/>
  <c r="E469" i="1"/>
  <c r="F468" i="1"/>
  <c r="E468" i="1"/>
  <c r="F467" i="1"/>
  <c r="E467" i="1"/>
  <c r="F465" i="1"/>
  <c r="E465" i="1"/>
  <c r="F464" i="1"/>
  <c r="E464" i="1"/>
  <c r="F463" i="1"/>
  <c r="E463" i="1"/>
  <c r="F462" i="1"/>
  <c r="E462" i="1"/>
  <c r="F460" i="1"/>
  <c r="E460" i="1"/>
  <c r="F459" i="1"/>
  <c r="E459" i="1"/>
  <c r="F458" i="1"/>
  <c r="E458" i="1"/>
  <c r="F456" i="1"/>
  <c r="E456" i="1"/>
  <c r="F455" i="1"/>
  <c r="E455" i="1"/>
  <c r="F454" i="1"/>
  <c r="E454" i="1"/>
  <c r="F452" i="1"/>
  <c r="E452" i="1"/>
  <c r="F450" i="1"/>
  <c r="E450" i="1"/>
  <c r="F449" i="1"/>
  <c r="E449" i="1"/>
  <c r="F448" i="1"/>
  <c r="E448" i="1"/>
  <c r="F442" i="1"/>
  <c r="E442" i="1"/>
  <c r="F441" i="1"/>
  <c r="E441" i="1"/>
  <c r="F440" i="1"/>
  <c r="E440" i="1"/>
  <c r="F439" i="1"/>
  <c r="E439" i="1"/>
  <c r="F436" i="1"/>
  <c r="E436" i="1"/>
  <c r="F433" i="1"/>
  <c r="E433" i="1"/>
  <c r="F432" i="1"/>
  <c r="E432" i="1"/>
  <c r="F431" i="1"/>
  <c r="E431" i="1"/>
  <c r="F430" i="1"/>
  <c r="E430" i="1"/>
  <c r="F428" i="1"/>
  <c r="E428" i="1"/>
  <c r="F427" i="1"/>
  <c r="E427" i="1"/>
  <c r="F426" i="1"/>
  <c r="E426" i="1"/>
  <c r="F425" i="1"/>
  <c r="E425" i="1"/>
  <c r="F423" i="1"/>
  <c r="E423" i="1"/>
  <c r="F422" i="1"/>
  <c r="E422" i="1"/>
  <c r="F421" i="1"/>
  <c r="E421" i="1"/>
  <c r="F419" i="1"/>
  <c r="E419" i="1"/>
  <c r="F418" i="1"/>
  <c r="E418" i="1"/>
  <c r="F417" i="1"/>
  <c r="E417" i="1"/>
  <c r="F415" i="1"/>
  <c r="E415" i="1"/>
  <c r="F413" i="1"/>
  <c r="E413" i="1"/>
  <c r="F412" i="1"/>
  <c r="E412" i="1"/>
  <c r="F411" i="1"/>
  <c r="E411" i="1"/>
  <c r="F405" i="1"/>
  <c r="E405" i="1"/>
  <c r="F404" i="1"/>
  <c r="E404" i="1"/>
  <c r="F403" i="1"/>
  <c r="E403" i="1"/>
  <c r="F402" i="1"/>
  <c r="E402" i="1"/>
  <c r="F399" i="1"/>
  <c r="E399" i="1"/>
  <c r="F396" i="1"/>
  <c r="E396" i="1"/>
  <c r="F395" i="1"/>
  <c r="E395" i="1"/>
  <c r="F394" i="1"/>
  <c r="E394" i="1"/>
  <c r="F393" i="1"/>
  <c r="E393" i="1"/>
  <c r="F391" i="1"/>
  <c r="E391" i="1"/>
  <c r="F390" i="1"/>
  <c r="E390" i="1"/>
  <c r="F389" i="1"/>
  <c r="E389" i="1"/>
  <c r="F388" i="1"/>
  <c r="E388" i="1"/>
  <c r="F386" i="1"/>
  <c r="E386" i="1"/>
  <c r="F385" i="1"/>
  <c r="E385" i="1"/>
  <c r="F384" i="1"/>
  <c r="E384" i="1"/>
  <c r="F382" i="1"/>
  <c r="E382" i="1"/>
  <c r="F381" i="1"/>
  <c r="E381" i="1"/>
  <c r="F380" i="1"/>
  <c r="E380" i="1"/>
  <c r="F378" i="1"/>
  <c r="E378" i="1"/>
  <c r="F376" i="1"/>
  <c r="E376" i="1"/>
  <c r="F375" i="1"/>
  <c r="E375" i="1"/>
  <c r="F374" i="1"/>
  <c r="E374" i="1"/>
  <c r="F368" i="1"/>
  <c r="E368" i="1"/>
  <c r="F367" i="1"/>
  <c r="E367" i="1"/>
  <c r="F366" i="1"/>
  <c r="E366" i="1"/>
  <c r="F365" i="1"/>
  <c r="E365" i="1"/>
  <c r="F362" i="1"/>
  <c r="E362" i="1"/>
  <c r="F359" i="1"/>
  <c r="E359" i="1"/>
  <c r="F358" i="1"/>
  <c r="E358" i="1"/>
  <c r="F357" i="1"/>
  <c r="E357" i="1"/>
  <c r="F356" i="1"/>
  <c r="E356" i="1"/>
  <c r="F354" i="1"/>
  <c r="E354" i="1"/>
  <c r="F353" i="1"/>
  <c r="E353" i="1"/>
  <c r="F352" i="1"/>
  <c r="E352" i="1"/>
  <c r="F351" i="1"/>
  <c r="E351" i="1"/>
  <c r="F349" i="1"/>
  <c r="E349" i="1"/>
  <c r="F348" i="1"/>
  <c r="E348" i="1"/>
  <c r="F347" i="1"/>
  <c r="E347" i="1"/>
  <c r="F345" i="1"/>
  <c r="E345" i="1"/>
  <c r="F344" i="1"/>
  <c r="E344" i="1"/>
  <c r="F343" i="1"/>
  <c r="E343" i="1"/>
  <c r="F341" i="1"/>
  <c r="E341" i="1"/>
  <c r="F339" i="1"/>
  <c r="E339" i="1"/>
  <c r="F338" i="1"/>
  <c r="E338" i="1"/>
  <c r="F337" i="1"/>
  <c r="E337" i="1"/>
  <c r="F331" i="1"/>
  <c r="E331" i="1"/>
  <c r="F330" i="1"/>
  <c r="E330" i="1"/>
  <c r="F329" i="1"/>
  <c r="E329" i="1"/>
  <c r="F328" i="1"/>
  <c r="E328" i="1"/>
  <c r="F325" i="1"/>
  <c r="E325" i="1"/>
  <c r="F322" i="1"/>
  <c r="E322" i="1"/>
  <c r="F321" i="1"/>
  <c r="E321" i="1"/>
  <c r="F320" i="1"/>
  <c r="E320" i="1"/>
  <c r="F319" i="1"/>
  <c r="E319" i="1"/>
  <c r="F317" i="1"/>
  <c r="E317" i="1"/>
  <c r="F316" i="1"/>
  <c r="E316" i="1"/>
  <c r="F315" i="1"/>
  <c r="E315" i="1"/>
  <c r="F314" i="1"/>
  <c r="E314" i="1"/>
  <c r="F312" i="1"/>
  <c r="E312" i="1"/>
  <c r="F311" i="1"/>
  <c r="E311" i="1"/>
  <c r="F310" i="1"/>
  <c r="E310" i="1"/>
  <c r="F308" i="1"/>
  <c r="E308" i="1"/>
  <c r="F307" i="1"/>
  <c r="E307" i="1"/>
  <c r="F306" i="1"/>
  <c r="E306" i="1"/>
  <c r="F304" i="1"/>
  <c r="E304" i="1"/>
  <c r="F302" i="1"/>
  <c r="E302" i="1"/>
  <c r="F301" i="1"/>
  <c r="E301" i="1"/>
  <c r="F300" i="1"/>
  <c r="E300" i="1"/>
  <c r="F294" i="1"/>
  <c r="E294" i="1"/>
  <c r="F293" i="1"/>
  <c r="E293" i="1"/>
  <c r="F292" i="1"/>
  <c r="E292" i="1"/>
  <c r="F291" i="1"/>
  <c r="E291" i="1"/>
  <c r="F287" i="1"/>
  <c r="E287" i="1"/>
  <c r="F284" i="1"/>
  <c r="E284" i="1"/>
  <c r="F283" i="1"/>
  <c r="E283" i="1"/>
  <c r="F282" i="1"/>
  <c r="E282" i="1"/>
  <c r="F281" i="1"/>
  <c r="E281" i="1"/>
  <c r="F279" i="1"/>
  <c r="E279" i="1"/>
  <c r="F278" i="1"/>
  <c r="E278" i="1"/>
  <c r="F277" i="1"/>
  <c r="E277" i="1"/>
  <c r="F276" i="1"/>
  <c r="E276" i="1"/>
  <c r="F274" i="1"/>
  <c r="E274" i="1"/>
  <c r="F273" i="1"/>
  <c r="E273" i="1"/>
  <c r="F272" i="1"/>
  <c r="E272" i="1"/>
  <c r="F270" i="1"/>
  <c r="E270" i="1"/>
  <c r="F269" i="1"/>
  <c r="E269" i="1"/>
  <c r="F268" i="1"/>
  <c r="E268" i="1"/>
  <c r="F266" i="1"/>
  <c r="E266" i="1"/>
  <c r="F264" i="1"/>
  <c r="E264" i="1"/>
  <c r="F263" i="1"/>
  <c r="E263" i="1"/>
  <c r="F262" i="1"/>
  <c r="E262" i="1"/>
  <c r="F256" i="1"/>
  <c r="E256" i="1"/>
  <c r="F255" i="1"/>
  <c r="E255" i="1"/>
  <c r="F254" i="1"/>
  <c r="E254" i="1"/>
  <c r="F253" i="1"/>
  <c r="E253" i="1"/>
  <c r="F249" i="1"/>
  <c r="E249" i="1"/>
  <c r="F246" i="1"/>
  <c r="E246" i="1"/>
  <c r="F245" i="1"/>
  <c r="E245" i="1"/>
  <c r="F244" i="1"/>
  <c r="E244" i="1"/>
  <c r="F243" i="1"/>
  <c r="E243" i="1"/>
  <c r="F241" i="1"/>
  <c r="E241" i="1"/>
  <c r="F240" i="1"/>
  <c r="E240" i="1"/>
  <c r="F239" i="1"/>
  <c r="E239" i="1"/>
  <c r="F238" i="1"/>
  <c r="E238" i="1"/>
  <c r="F236" i="1"/>
  <c r="E236" i="1"/>
  <c r="F235" i="1"/>
  <c r="E235" i="1"/>
  <c r="F234" i="1"/>
  <c r="E234" i="1"/>
  <c r="F232" i="1"/>
  <c r="E232" i="1"/>
  <c r="F231" i="1"/>
  <c r="E231" i="1"/>
  <c r="F230" i="1"/>
  <c r="E230" i="1"/>
  <c r="F228" i="1"/>
  <c r="E228" i="1"/>
  <c r="F226" i="1"/>
  <c r="E226" i="1"/>
  <c r="F225" i="1"/>
  <c r="E225" i="1"/>
  <c r="F224" i="1"/>
  <c r="E224" i="1"/>
  <c r="F218" i="1"/>
  <c r="E218" i="1"/>
  <c r="F217" i="1"/>
  <c r="E217" i="1"/>
  <c r="F216" i="1"/>
  <c r="E216" i="1"/>
  <c r="F215" i="1"/>
  <c r="E215" i="1"/>
  <c r="F211" i="1"/>
  <c r="E211" i="1"/>
  <c r="F208" i="1"/>
  <c r="E208" i="1"/>
  <c r="F207" i="1"/>
  <c r="E207" i="1"/>
  <c r="F206" i="1"/>
  <c r="E206" i="1"/>
  <c r="F205" i="1"/>
  <c r="E205" i="1"/>
  <c r="F203" i="1"/>
  <c r="E203" i="1"/>
  <c r="F202" i="1"/>
  <c r="E202" i="1"/>
  <c r="F201" i="1"/>
  <c r="E201" i="1"/>
  <c r="F200" i="1"/>
  <c r="E200" i="1"/>
  <c r="F198" i="1"/>
  <c r="E198" i="1"/>
  <c r="F197" i="1"/>
  <c r="E197" i="1"/>
  <c r="F196" i="1"/>
  <c r="E196" i="1"/>
  <c r="F194" i="1"/>
  <c r="E194" i="1"/>
  <c r="F193" i="1"/>
  <c r="E193" i="1"/>
  <c r="F192" i="1"/>
  <c r="E192" i="1"/>
  <c r="F190" i="1"/>
  <c r="E190" i="1"/>
  <c r="F188" i="1"/>
  <c r="E188" i="1"/>
  <c r="F187" i="1"/>
  <c r="E187" i="1"/>
  <c r="F186" i="1"/>
  <c r="E186" i="1"/>
  <c r="F180" i="1"/>
  <c r="E180" i="1"/>
  <c r="F179" i="1"/>
  <c r="E179" i="1"/>
  <c r="F178" i="1"/>
  <c r="E178" i="1"/>
  <c r="F177" i="1"/>
  <c r="E177" i="1"/>
  <c r="F174" i="1"/>
  <c r="E174" i="1"/>
  <c r="F171" i="1"/>
  <c r="E171" i="1"/>
  <c r="F170" i="1"/>
  <c r="E170" i="1"/>
  <c r="F169" i="1"/>
  <c r="E169" i="1"/>
  <c r="F168" i="1"/>
  <c r="E168" i="1"/>
  <c r="F166" i="1"/>
  <c r="E166" i="1"/>
  <c r="F165" i="1"/>
  <c r="E165" i="1"/>
  <c r="F164" i="1"/>
  <c r="E164" i="1"/>
  <c r="F163" i="1"/>
  <c r="E163" i="1"/>
  <c r="F161" i="1"/>
  <c r="E161" i="1"/>
  <c r="F160" i="1"/>
  <c r="E160" i="1"/>
  <c r="F159" i="1"/>
  <c r="E159" i="1"/>
  <c r="F157" i="1"/>
  <c r="E157" i="1"/>
  <c r="F156" i="1"/>
  <c r="E156" i="1"/>
  <c r="F155" i="1"/>
  <c r="E155" i="1"/>
  <c r="F153" i="1"/>
  <c r="E153" i="1"/>
  <c r="F151" i="1"/>
  <c r="E151" i="1"/>
  <c r="F150" i="1"/>
  <c r="E150" i="1"/>
  <c r="F149" i="1"/>
  <c r="E149" i="1"/>
  <c r="F143" i="1"/>
  <c r="E143" i="1"/>
  <c r="F142" i="1"/>
  <c r="E142" i="1"/>
  <c r="F141" i="1"/>
  <c r="E141" i="1"/>
  <c r="F140" i="1"/>
  <c r="E140" i="1"/>
  <c r="F137" i="1"/>
  <c r="E137" i="1"/>
  <c r="F134" i="1"/>
  <c r="E134" i="1"/>
  <c r="F133" i="1"/>
  <c r="E133" i="1"/>
  <c r="F132" i="1"/>
  <c r="E132" i="1"/>
  <c r="F131" i="1"/>
  <c r="E131" i="1"/>
  <c r="F129" i="1"/>
  <c r="E129" i="1"/>
  <c r="F128" i="1"/>
  <c r="E128" i="1"/>
  <c r="F127" i="1"/>
  <c r="E127" i="1"/>
  <c r="F126" i="1"/>
  <c r="E126" i="1"/>
  <c r="F124" i="1"/>
  <c r="E124" i="1"/>
  <c r="F123" i="1"/>
  <c r="E123" i="1"/>
  <c r="F122" i="1"/>
  <c r="E122" i="1"/>
  <c r="F120" i="1"/>
  <c r="E120" i="1"/>
  <c r="F119" i="1"/>
  <c r="E119" i="1"/>
  <c r="F118" i="1"/>
  <c r="E118" i="1"/>
  <c r="F116" i="1"/>
  <c r="E116" i="1"/>
  <c r="F114" i="1"/>
  <c r="E114" i="1"/>
  <c r="F113" i="1"/>
  <c r="E113" i="1"/>
  <c r="F112" i="1"/>
  <c r="E112" i="1"/>
  <c r="F106" i="1"/>
  <c r="E106" i="1"/>
  <c r="F105" i="1"/>
  <c r="E105" i="1"/>
  <c r="F104" i="1"/>
  <c r="E104" i="1"/>
  <c r="F103" i="1"/>
  <c r="E103" i="1"/>
  <c r="F100" i="1"/>
  <c r="E100" i="1"/>
  <c r="F97" i="1"/>
  <c r="E97" i="1"/>
  <c r="F96" i="1"/>
  <c r="E96" i="1"/>
  <c r="F95" i="1"/>
  <c r="E95" i="1"/>
  <c r="F94" i="1"/>
  <c r="E94" i="1"/>
  <c r="F92" i="1"/>
  <c r="E92" i="1"/>
  <c r="F91" i="1"/>
  <c r="E91" i="1"/>
  <c r="F90" i="1"/>
  <c r="E90" i="1"/>
  <c r="F89" i="1"/>
  <c r="E89" i="1"/>
  <c r="F87" i="1"/>
  <c r="E87" i="1"/>
  <c r="F86" i="1"/>
  <c r="E86" i="1"/>
  <c r="F85" i="1"/>
  <c r="E85" i="1"/>
  <c r="F83" i="1"/>
  <c r="E83" i="1"/>
  <c r="F82" i="1"/>
  <c r="E82" i="1"/>
  <c r="F81" i="1"/>
  <c r="E81" i="1"/>
  <c r="F79" i="1"/>
  <c r="E79" i="1"/>
  <c r="F77" i="1"/>
  <c r="E77" i="1"/>
  <c r="F76" i="1"/>
  <c r="E76" i="1"/>
  <c r="F75" i="1"/>
  <c r="E75" i="1"/>
  <c r="F69" i="1"/>
  <c r="E69" i="1"/>
  <c r="F68" i="1"/>
  <c r="E68" i="1"/>
  <c r="F67" i="1"/>
  <c r="E67" i="1"/>
  <c r="F66" i="1"/>
  <c r="E66" i="1"/>
  <c r="S23" i="15"/>
  <c r="S24" i="15"/>
  <c r="N23" i="15"/>
  <c r="N24" i="15"/>
  <c r="I23" i="15"/>
  <c r="I24" i="15"/>
  <c r="D23" i="15"/>
  <c r="D24" i="15"/>
  <c r="S13" i="15"/>
  <c r="S14" i="15"/>
  <c r="N13" i="15"/>
  <c r="N14" i="15"/>
  <c r="I13" i="15"/>
  <c r="I14" i="15"/>
  <c r="D15" i="15"/>
  <c r="D16" i="15"/>
  <c r="H793" i="1"/>
  <c r="I793" i="1" s="1"/>
  <c r="G701" i="1"/>
  <c r="B133" i="11"/>
  <c r="B34" i="11"/>
  <c r="B63" i="11"/>
  <c r="B80" i="11"/>
  <c r="B119" i="11"/>
  <c r="B136" i="11"/>
  <c r="B166" i="11"/>
  <c r="B164" i="11"/>
  <c r="B77" i="11"/>
  <c r="B66" i="11"/>
  <c r="B105" i="11"/>
  <c r="B122" i="11"/>
  <c r="B169" i="11"/>
  <c r="E169" i="11" s="1"/>
  <c r="I169" i="11" s="1"/>
  <c r="G1243" i="1" s="1"/>
  <c r="K17" i="10"/>
  <c r="L17" i="10"/>
  <c r="K18" i="10"/>
  <c r="L18" i="10"/>
  <c r="K19" i="10"/>
  <c r="L19" i="10"/>
  <c r="K10" i="10"/>
  <c r="L10" i="10"/>
  <c r="K7" i="10"/>
  <c r="L7" i="10"/>
  <c r="K8" i="10"/>
  <c r="L8" i="10"/>
  <c r="K12" i="10"/>
  <c r="L12" i="10"/>
  <c r="K6" i="10"/>
  <c r="L6" i="10"/>
  <c r="K11" i="10"/>
  <c r="L11" i="10"/>
  <c r="K13" i="10"/>
  <c r="L13" i="10"/>
  <c r="K5" i="10"/>
  <c r="L5" i="10"/>
  <c r="B159" i="11"/>
  <c r="E159" i="11" s="1"/>
  <c r="I159" i="11" s="1"/>
  <c r="G1233" i="1" s="1"/>
  <c r="B155" i="11"/>
  <c r="E155" i="11" s="1"/>
  <c r="I155" i="11" s="1"/>
  <c r="G1227" i="1" s="1"/>
  <c r="B145" i="11"/>
  <c r="E145" i="11" s="1"/>
  <c r="I145" i="11" s="1"/>
  <c r="G1217" i="1" s="1"/>
  <c r="B141" i="11"/>
  <c r="E141" i="11" s="1"/>
  <c r="I141" i="11" s="1"/>
  <c r="G1211" i="1" s="1"/>
  <c r="B131" i="11"/>
  <c r="E131" i="11" s="1"/>
  <c r="I131" i="11" s="1"/>
  <c r="G1201" i="1" s="1"/>
  <c r="B127" i="11"/>
  <c r="E127" i="11" s="1"/>
  <c r="I127" i="11" s="1"/>
  <c r="G632" i="1" s="1"/>
  <c r="B117" i="11"/>
  <c r="E117" i="11"/>
  <c r="I117" i="11" s="1"/>
  <c r="G622" i="1" s="1"/>
  <c r="B113" i="11"/>
  <c r="E113" i="11" s="1"/>
  <c r="I113" i="11" s="1"/>
  <c r="G617" i="1" s="1"/>
  <c r="B103" i="11"/>
  <c r="E103" i="11" s="1"/>
  <c r="I103" i="11" s="1"/>
  <c r="G607" i="1" s="1"/>
  <c r="B94" i="11"/>
  <c r="B99" i="11"/>
  <c r="E99" i="11" s="1"/>
  <c r="I99" i="11" s="1"/>
  <c r="G602" i="1" s="1"/>
  <c r="B89" i="11"/>
  <c r="E89" i="11" s="1"/>
  <c r="I89" i="11" s="1"/>
  <c r="G592" i="1" s="1"/>
  <c r="B85" i="11"/>
  <c r="E85" i="11" s="1"/>
  <c r="I85" i="11" s="1"/>
  <c r="G587" i="1" s="1"/>
  <c r="B75" i="11"/>
  <c r="E75" i="11" s="1"/>
  <c r="I75" i="11" s="1"/>
  <c r="G577" i="1" s="1"/>
  <c r="B71" i="11"/>
  <c r="E71" i="11" s="1"/>
  <c r="I71" i="11" s="1"/>
  <c r="B61" i="11"/>
  <c r="E61" i="11" s="1"/>
  <c r="I61" i="11" s="1"/>
  <c r="B54" i="11"/>
  <c r="B49" i="11"/>
  <c r="B57" i="11"/>
  <c r="E57" i="11" s="1"/>
  <c r="I57" i="11" s="1"/>
  <c r="G571" i="1" s="1"/>
  <c r="B47" i="11"/>
  <c r="E47" i="11" s="1"/>
  <c r="I47" i="11" s="1"/>
  <c r="G561" i="1" s="1"/>
  <c r="B35" i="11"/>
  <c r="B43" i="11"/>
  <c r="E43" i="11"/>
  <c r="I43" i="11" s="1"/>
  <c r="G556" i="1" s="1"/>
  <c r="B33" i="11"/>
  <c r="E33" i="11" s="1"/>
  <c r="I33" i="11" s="1"/>
  <c r="G546" i="1" s="1"/>
  <c r="B29" i="11"/>
  <c r="E29" i="11" s="1"/>
  <c r="I29" i="11" s="1"/>
  <c r="G541" i="1" s="1"/>
  <c r="B24" i="11"/>
  <c r="B19" i="11"/>
  <c r="E19" i="11" s="1"/>
  <c r="I19" i="11" s="1"/>
  <c r="G531" i="1" s="1"/>
  <c r="B21" i="11"/>
  <c r="B20" i="11"/>
  <c r="F852" i="6"/>
  <c r="D5" i="11"/>
  <c r="D6" i="11" s="1"/>
  <c r="D7" i="11" s="1"/>
  <c r="D10" i="11" s="1"/>
  <c r="D12" i="11" s="1"/>
  <c r="C5" i="11"/>
  <c r="C6" i="11" s="1"/>
  <c r="K15" i="11"/>
  <c r="E3" i="11"/>
  <c r="B5" i="11" s="1"/>
  <c r="E5" i="11" s="1"/>
  <c r="I5" i="11" s="1"/>
  <c r="G516" i="1" s="1"/>
  <c r="B3" i="11"/>
  <c r="F19" i="10"/>
  <c r="F18" i="10"/>
  <c r="F17" i="10"/>
  <c r="F13" i="10"/>
  <c r="F12" i="10"/>
  <c r="F11" i="10"/>
  <c r="F10" i="10"/>
  <c r="F8" i="10"/>
  <c r="F7" i="10"/>
  <c r="F6" i="10"/>
  <c r="F5" i="10"/>
  <c r="G62" i="1"/>
  <c r="G56" i="1"/>
  <c r="G51" i="1"/>
  <c r="G43" i="1"/>
  <c r="I9" i="9"/>
  <c r="L37" i="6"/>
  <c r="F59" i="1"/>
  <c r="E59" i="1"/>
  <c r="L35" i="6" s="1"/>
  <c r="J31" i="6"/>
  <c r="G55" i="1" s="1"/>
  <c r="J30" i="6"/>
  <c r="G54" i="1" s="1"/>
  <c r="F46" i="1"/>
  <c r="E46" i="1"/>
  <c r="L22" i="6" s="1"/>
  <c r="J7" i="6"/>
  <c r="G31" i="1" s="1"/>
  <c r="J6" i="6"/>
  <c r="G30" i="1" s="1"/>
  <c r="F49" i="1"/>
  <c r="E49" i="1"/>
  <c r="L25" i="6" s="1"/>
  <c r="F10" i="6"/>
  <c r="F16" i="6" s="1"/>
  <c r="F21" i="8"/>
  <c r="E21" i="8"/>
  <c r="F37" i="8"/>
  <c r="E37" i="8"/>
  <c r="B37" i="8"/>
  <c r="B21" i="8"/>
  <c r="L38" i="6"/>
  <c r="L32" i="6"/>
  <c r="L27" i="6"/>
  <c r="L23" i="6"/>
  <c r="L19" i="6"/>
  <c r="L17" i="6"/>
  <c r="L12" i="6"/>
  <c r="L10" i="6"/>
  <c r="L4" i="6"/>
  <c r="F643" i="1"/>
  <c r="E643" i="1"/>
  <c r="F642" i="1"/>
  <c r="E642" i="1"/>
  <c r="F641" i="1"/>
  <c r="E641" i="1"/>
  <c r="F640" i="1"/>
  <c r="F385" i="5"/>
  <c r="F339" i="5"/>
  <c r="F389" i="5"/>
  <c r="F388" i="5"/>
  <c r="F387" i="5"/>
  <c r="F386" i="5"/>
  <c r="F382" i="5"/>
  <c r="F381" i="5"/>
  <c r="F380" i="5"/>
  <c r="F394" i="5" s="1"/>
  <c r="F379" i="5"/>
  <c r="F378" i="5"/>
  <c r="F375" i="5"/>
  <c r="F374" i="5"/>
  <c r="F393" i="5" s="1"/>
  <c r="F373" i="5"/>
  <c r="F372" i="5"/>
  <c r="F369" i="5"/>
  <c r="F368" i="5"/>
  <c r="F367" i="5"/>
  <c r="F366" i="5"/>
  <c r="F365" i="5"/>
  <c r="F364" i="5"/>
  <c r="F363" i="5"/>
  <c r="F362" i="5"/>
  <c r="F343" i="5"/>
  <c r="F342" i="5"/>
  <c r="F341" i="5"/>
  <c r="F340" i="5"/>
  <c r="F336" i="5"/>
  <c r="F335" i="5"/>
  <c r="F334" i="5"/>
  <c r="F333" i="5"/>
  <c r="F332" i="5"/>
  <c r="F329" i="5"/>
  <c r="F328" i="5"/>
  <c r="F327" i="5"/>
  <c r="F326" i="5"/>
  <c r="F323" i="5"/>
  <c r="F322" i="5"/>
  <c r="F321" i="5"/>
  <c r="F320" i="5"/>
  <c r="F319" i="5"/>
  <c r="F318" i="5"/>
  <c r="F317" i="5"/>
  <c r="F316" i="5"/>
  <c r="F293" i="5"/>
  <c r="F297" i="5"/>
  <c r="F296" i="5"/>
  <c r="F295" i="5"/>
  <c r="F294" i="5"/>
  <c r="F290" i="5"/>
  <c r="F289" i="5"/>
  <c r="F288" i="5"/>
  <c r="F287" i="5"/>
  <c r="F286" i="5"/>
  <c r="F283" i="5"/>
  <c r="F282" i="5"/>
  <c r="F301" i="5" s="1"/>
  <c r="F281" i="5"/>
  <c r="F280" i="5"/>
  <c r="F277" i="5"/>
  <c r="F276" i="5"/>
  <c r="F275" i="5"/>
  <c r="F274" i="5"/>
  <c r="F273" i="5"/>
  <c r="F272" i="5"/>
  <c r="F271" i="5"/>
  <c r="F270" i="5"/>
  <c r="E235" i="5"/>
  <c r="F235" i="5"/>
  <c r="E234" i="5"/>
  <c r="F234" i="5" s="1"/>
  <c r="E231" i="5"/>
  <c r="F231" i="5"/>
  <c r="E230" i="5"/>
  <c r="F230" i="5" s="1"/>
  <c r="F228" i="5"/>
  <c r="F224" i="5"/>
  <c r="F229" i="5"/>
  <c r="F227" i="5"/>
  <c r="F226" i="5"/>
  <c r="F225" i="5"/>
  <c r="F251" i="5"/>
  <c r="F250" i="5"/>
  <c r="F257" i="5" s="1"/>
  <c r="F249" i="5"/>
  <c r="F248" i="5"/>
  <c r="F244" i="5"/>
  <c r="F243" i="5"/>
  <c r="F242" i="5"/>
  <c r="F241" i="5"/>
  <c r="F240" i="5"/>
  <c r="F237" i="5"/>
  <c r="F236" i="5"/>
  <c r="F525" i="1"/>
  <c r="E525" i="1"/>
  <c r="K14" i="11" s="1"/>
  <c r="F524" i="1"/>
  <c r="E524" i="1"/>
  <c r="K13" i="11" s="1"/>
  <c r="F523" i="1"/>
  <c r="E523" i="1"/>
  <c r="K12" i="11" s="1"/>
  <c r="F522" i="1"/>
  <c r="E522" i="1"/>
  <c r="K11" i="11" s="1"/>
  <c r="F521" i="1"/>
  <c r="E521" i="1"/>
  <c r="K10" i="11" s="1"/>
  <c r="F519" i="1"/>
  <c r="E519" i="1"/>
  <c r="K8" i="11" s="1"/>
  <c r="F518" i="1"/>
  <c r="E518" i="1"/>
  <c r="K7" i="11" s="1"/>
  <c r="F517" i="1"/>
  <c r="E517" i="1"/>
  <c r="K6" i="11" s="1"/>
  <c r="F516" i="1"/>
  <c r="E516" i="1"/>
  <c r="K5" i="11" s="1"/>
  <c r="F63" i="1"/>
  <c r="E63" i="1"/>
  <c r="L39" i="6" s="1"/>
  <c r="E195" i="5"/>
  <c r="F195" i="5"/>
  <c r="E194" i="5"/>
  <c r="F194" i="5" s="1"/>
  <c r="E188" i="5"/>
  <c r="F188" i="5"/>
  <c r="F205" i="5"/>
  <c r="F204" i="5"/>
  <c r="F203" i="5"/>
  <c r="F202" i="5"/>
  <c r="F198" i="5"/>
  <c r="F197" i="5"/>
  <c r="F196" i="5"/>
  <c r="F191" i="5"/>
  <c r="F190" i="5"/>
  <c r="F189" i="5"/>
  <c r="F185" i="5"/>
  <c r="F184" i="5"/>
  <c r="F183" i="5"/>
  <c r="F182" i="5"/>
  <c r="F181" i="5"/>
  <c r="F60" i="1"/>
  <c r="E60" i="1"/>
  <c r="L36" i="6" s="1"/>
  <c r="F58" i="1"/>
  <c r="E58" i="1"/>
  <c r="L34" i="6" s="1"/>
  <c r="F57" i="1"/>
  <c r="E57" i="1"/>
  <c r="L33" i="6" s="1"/>
  <c r="F55" i="1"/>
  <c r="E55" i="1"/>
  <c r="L31" i="6" s="1"/>
  <c r="F54" i="1"/>
  <c r="E54" i="1"/>
  <c r="L30" i="6" s="1"/>
  <c r="F53" i="1"/>
  <c r="E53" i="1"/>
  <c r="L29" i="6" s="1"/>
  <c r="F52" i="1"/>
  <c r="E52" i="1"/>
  <c r="L28" i="6" s="1"/>
  <c r="E145" i="5"/>
  <c r="F145" i="5" s="1"/>
  <c r="F138" i="5"/>
  <c r="F162" i="5"/>
  <c r="F161" i="5"/>
  <c r="F160" i="5"/>
  <c r="F159" i="5"/>
  <c r="F155" i="5"/>
  <c r="F154" i="5"/>
  <c r="F153" i="5"/>
  <c r="F152" i="5"/>
  <c r="F151" i="5"/>
  <c r="F148" i="5"/>
  <c r="F147" i="5"/>
  <c r="F146" i="5"/>
  <c r="F142" i="5"/>
  <c r="F141" i="5"/>
  <c r="F140" i="5"/>
  <c r="F139" i="5"/>
  <c r="F50" i="1"/>
  <c r="E50" i="1"/>
  <c r="L26" i="6" s="1"/>
  <c r="F48" i="1"/>
  <c r="E48" i="1"/>
  <c r="L24" i="6" s="1"/>
  <c r="F45" i="1"/>
  <c r="E45" i="1"/>
  <c r="L21" i="6" s="1"/>
  <c r="F44" i="1"/>
  <c r="E44" i="1"/>
  <c r="L20" i="6" s="1"/>
  <c r="E110" i="5"/>
  <c r="F110" i="5"/>
  <c r="E109" i="5"/>
  <c r="F109" i="5"/>
  <c r="E108" i="5"/>
  <c r="F108" i="5"/>
  <c r="E103" i="5"/>
  <c r="F103" i="5"/>
  <c r="E102" i="5"/>
  <c r="F102" i="5"/>
  <c r="E96" i="5"/>
  <c r="F96" i="5"/>
  <c r="E95" i="5"/>
  <c r="F95" i="5"/>
  <c r="F119" i="5"/>
  <c r="F118" i="5"/>
  <c r="F117" i="5"/>
  <c r="F116" i="5"/>
  <c r="F112" i="5"/>
  <c r="F111" i="5"/>
  <c r="F105" i="5"/>
  <c r="F104" i="5"/>
  <c r="F99" i="5"/>
  <c r="F98" i="5"/>
  <c r="F97" i="5"/>
  <c r="F39" i="1"/>
  <c r="E39" i="1"/>
  <c r="L15" i="6" s="1"/>
  <c r="E59" i="5"/>
  <c r="F59" i="5" s="1"/>
  <c r="F76" i="5"/>
  <c r="F75" i="5"/>
  <c r="F74" i="5"/>
  <c r="F73" i="5"/>
  <c r="F69" i="5"/>
  <c r="F68" i="5"/>
  <c r="F67" i="5"/>
  <c r="F66" i="5"/>
  <c r="F62" i="5"/>
  <c r="F61" i="5"/>
  <c r="F80" i="5" s="1"/>
  <c r="F60" i="5"/>
  <c r="F56" i="5"/>
  <c r="F55" i="5"/>
  <c r="F54" i="5"/>
  <c r="F53" i="5"/>
  <c r="F52" i="5"/>
  <c r="F16" i="5"/>
  <c r="F13" i="5"/>
  <c r="F12" i="5"/>
  <c r="F11" i="5"/>
  <c r="F10" i="5"/>
  <c r="F9" i="5"/>
  <c r="F33" i="5"/>
  <c r="F32" i="5"/>
  <c r="F31" i="5"/>
  <c r="F30" i="5"/>
  <c r="F39" i="5" s="1"/>
  <c r="F26" i="5"/>
  <c r="F25" i="5"/>
  <c r="F24" i="5"/>
  <c r="F23" i="5"/>
  <c r="F19" i="5"/>
  <c r="F18" i="5"/>
  <c r="F17" i="5"/>
  <c r="S25" i="15"/>
  <c r="S26" i="15"/>
  <c r="H1439" i="1"/>
  <c r="I1439" i="1" s="1"/>
  <c r="N25" i="15"/>
  <c r="N26" i="15"/>
  <c r="H1438" i="1"/>
  <c r="I1438" i="1" s="1"/>
  <c r="I25" i="15"/>
  <c r="I26" i="15"/>
  <c r="D25" i="15"/>
  <c r="D26" i="15"/>
  <c r="H1436" i="1"/>
  <c r="I1436" i="1" s="1"/>
  <c r="S15" i="15"/>
  <c r="S16" i="15"/>
  <c r="H1435" i="1"/>
  <c r="I1435" i="1" s="1"/>
  <c r="N15" i="15"/>
  <c r="N16" i="15"/>
  <c r="H1434" i="1"/>
  <c r="I1434" i="1" s="1"/>
  <c r="I15" i="15"/>
  <c r="I16" i="15"/>
  <c r="H794" i="1"/>
  <c r="I794" i="1" s="1"/>
  <c r="J998" i="6"/>
  <c r="G1167" i="1" s="1"/>
  <c r="J960" i="6"/>
  <c r="G1129" i="1" s="1"/>
  <c r="J922" i="6"/>
  <c r="G1092" i="1" s="1"/>
  <c r="J884" i="6"/>
  <c r="G1054" i="1" s="1"/>
  <c r="J846" i="6"/>
  <c r="J770" i="6"/>
  <c r="G978" i="1" s="1"/>
  <c r="J732" i="6"/>
  <c r="G941" i="1" s="1"/>
  <c r="J694" i="6"/>
  <c r="G903" i="1" s="1"/>
  <c r="J656" i="6"/>
  <c r="G866" i="1" s="1"/>
  <c r="J618" i="6"/>
  <c r="G829" i="1" s="1"/>
  <c r="J580" i="6"/>
  <c r="G482" i="1" s="1"/>
  <c r="J542" i="6"/>
  <c r="G444" i="1" s="1"/>
  <c r="J504" i="6"/>
  <c r="G407" i="1" s="1"/>
  <c r="J466" i="6"/>
  <c r="J428" i="6"/>
  <c r="G370" i="1" s="1"/>
  <c r="J390" i="6"/>
  <c r="G333" i="1" s="1"/>
  <c r="J352" i="6"/>
  <c r="G296" i="1" s="1"/>
  <c r="J314" i="6"/>
  <c r="G258" i="1" s="1"/>
  <c r="J276" i="6"/>
  <c r="J238" i="6"/>
  <c r="G220" i="1" s="1"/>
  <c r="J162" i="6"/>
  <c r="G182" i="1" s="1"/>
  <c r="J124" i="6"/>
  <c r="G145" i="1" s="1"/>
  <c r="J86" i="6"/>
  <c r="G108" i="1" s="1"/>
  <c r="J48" i="6"/>
  <c r="G71" i="1" s="1"/>
  <c r="B12" i="11"/>
  <c r="F346" i="5"/>
  <c r="H1437" i="1"/>
  <c r="I1437" i="1" s="1"/>
  <c r="J1038" i="6"/>
  <c r="J1000" i="6"/>
  <c r="G1169" i="1" s="1"/>
  <c r="J962" i="6"/>
  <c r="G1131" i="1" s="1"/>
  <c r="J924" i="6"/>
  <c r="G1094" i="1" s="1"/>
  <c r="J886" i="6"/>
  <c r="G1056" i="1" s="1"/>
  <c r="J848" i="6"/>
  <c r="J810" i="6"/>
  <c r="G1018" i="1" s="1"/>
  <c r="J772" i="6"/>
  <c r="G980" i="1" s="1"/>
  <c r="J734" i="6"/>
  <c r="G943" i="1" s="1"/>
  <c r="J696" i="6"/>
  <c r="G905" i="1" s="1"/>
  <c r="J658" i="6"/>
  <c r="G868" i="1" s="1"/>
  <c r="J620" i="6"/>
  <c r="G831" i="1" s="1"/>
  <c r="J582" i="6"/>
  <c r="G484" i="1" s="1"/>
  <c r="J544" i="6"/>
  <c r="G446" i="1" s="1"/>
  <c r="J506" i="6"/>
  <c r="G409" i="1" s="1"/>
  <c r="J468" i="6"/>
  <c r="J430" i="6"/>
  <c r="G372" i="1" s="1"/>
  <c r="J392" i="6"/>
  <c r="G335" i="1" s="1"/>
  <c r="J354" i="6"/>
  <c r="G298" i="1" s="1"/>
  <c r="J316" i="6"/>
  <c r="G260" i="1" s="1"/>
  <c r="J278" i="6"/>
  <c r="J240" i="6"/>
  <c r="G222" i="1" s="1"/>
  <c r="J164" i="6"/>
  <c r="G184" i="1" s="1"/>
  <c r="J126" i="6"/>
  <c r="G147" i="1" s="1"/>
  <c r="J88" i="6"/>
  <c r="G110" i="1" s="1"/>
  <c r="J50" i="6"/>
  <c r="G73" i="1" s="1"/>
  <c r="J10" i="6"/>
  <c r="G34" i="1" s="1"/>
  <c r="H927" i="6"/>
  <c r="J927" i="6" s="1"/>
  <c r="G1097" i="1" s="1"/>
  <c r="J926" i="6"/>
  <c r="G1096" i="1" s="1"/>
  <c r="H775" i="6"/>
  <c r="J775" i="6" s="1"/>
  <c r="G983" i="1" s="1"/>
  <c r="H623" i="6"/>
  <c r="J623" i="6" s="1"/>
  <c r="G834" i="1" s="1"/>
  <c r="J622" i="6"/>
  <c r="G833" i="1" s="1"/>
  <c r="H471" i="6"/>
  <c r="J471" i="6" s="1"/>
  <c r="H319" i="6"/>
  <c r="J319" i="6" s="1"/>
  <c r="G263" i="1" s="1"/>
  <c r="J318" i="6"/>
  <c r="G262" i="1" s="1"/>
  <c r="H129" i="6"/>
  <c r="J129" i="6" s="1"/>
  <c r="G150" i="1" s="1"/>
  <c r="J128" i="6"/>
  <c r="G149" i="1" s="1"/>
  <c r="J12" i="6"/>
  <c r="G36" i="1" s="1"/>
  <c r="F42" i="1"/>
  <c r="E42" i="1"/>
  <c r="L18" i="6" s="1"/>
  <c r="F40" i="1"/>
  <c r="E40" i="1"/>
  <c r="L16" i="6" s="1"/>
  <c r="F38" i="1"/>
  <c r="E38" i="1"/>
  <c r="L14" i="6" s="1"/>
  <c r="F32" i="1"/>
  <c r="E32" i="1"/>
  <c r="L8" i="6" s="1"/>
  <c r="F31" i="1"/>
  <c r="E31" i="1"/>
  <c r="L7" i="6" s="1"/>
  <c r="F30" i="1"/>
  <c r="E30" i="1"/>
  <c r="L6" i="6" s="1"/>
  <c r="F29" i="1"/>
  <c r="E29" i="1"/>
  <c r="L5" i="6" s="1"/>
  <c r="I9" i="1"/>
  <c r="F6498" i="2"/>
  <c r="G6498" i="2" s="1"/>
  <c r="F6497" i="2"/>
  <c r="G6497" i="2" s="1"/>
  <c r="F6496" i="2"/>
  <c r="G6496" i="2" s="1"/>
  <c r="F6495" i="2"/>
  <c r="G6495" i="2" s="1"/>
  <c r="F6494" i="2"/>
  <c r="G6494" i="2" s="1"/>
  <c r="F6493" i="2"/>
  <c r="G6493" i="2" s="1"/>
  <c r="F6492" i="2"/>
  <c r="G6492" i="2" s="1"/>
  <c r="F6491" i="2"/>
  <c r="G6491" i="2" s="1"/>
  <c r="F6490" i="2"/>
  <c r="G6490" i="2" s="1"/>
  <c r="F6489" i="2"/>
  <c r="G6489" i="2" s="1"/>
  <c r="F6488" i="2"/>
  <c r="G6488" i="2" s="1"/>
  <c r="F6487" i="2"/>
  <c r="G6487" i="2" s="1"/>
  <c r="F6486" i="2"/>
  <c r="G6486" i="2" s="1"/>
  <c r="F6485" i="2"/>
  <c r="G6485" i="2" s="1"/>
  <c r="F6484" i="2"/>
  <c r="G6484" i="2" s="1"/>
  <c r="F6483" i="2"/>
  <c r="G6483" i="2" s="1"/>
  <c r="F6482" i="2"/>
  <c r="G6482" i="2" s="1"/>
  <c r="F6481" i="2"/>
  <c r="G6481" i="2" s="1"/>
  <c r="F6480" i="2"/>
  <c r="G6480" i="2" s="1"/>
  <c r="F6479" i="2"/>
  <c r="G6479" i="2" s="1"/>
  <c r="F6478" i="2"/>
  <c r="G6478" i="2" s="1"/>
  <c r="F6477" i="2"/>
  <c r="G6477" i="2" s="1"/>
  <c r="F6476" i="2"/>
  <c r="G6476" i="2" s="1"/>
  <c r="F6475" i="2"/>
  <c r="G6475" i="2" s="1"/>
  <c r="F6474" i="2"/>
  <c r="G6474" i="2" s="1"/>
  <c r="F6473" i="2"/>
  <c r="G6473" i="2" s="1"/>
  <c r="F6472" i="2"/>
  <c r="G6472" i="2" s="1"/>
  <c r="F6471" i="2"/>
  <c r="G6471" i="2" s="1"/>
  <c r="F6470" i="2"/>
  <c r="G6470" i="2" s="1"/>
  <c r="F6469" i="2"/>
  <c r="G6469" i="2" s="1"/>
  <c r="F6468" i="2"/>
  <c r="G6468" i="2" s="1"/>
  <c r="F6467" i="2"/>
  <c r="G6467" i="2" s="1"/>
  <c r="F6466" i="2"/>
  <c r="G6466" i="2" s="1"/>
  <c r="F6465" i="2"/>
  <c r="G6465" i="2" s="1"/>
  <c r="F6464" i="2"/>
  <c r="G6464" i="2" s="1"/>
  <c r="F6463" i="2"/>
  <c r="G6463" i="2" s="1"/>
  <c r="F6462" i="2"/>
  <c r="G6462" i="2" s="1"/>
  <c r="F6461" i="2"/>
  <c r="G6461" i="2" s="1"/>
  <c r="F6460" i="2"/>
  <c r="G6460" i="2" s="1"/>
  <c r="F6459" i="2"/>
  <c r="G6459" i="2" s="1"/>
  <c r="F6458" i="2"/>
  <c r="G6458" i="2" s="1"/>
  <c r="F6457" i="2"/>
  <c r="G6457" i="2" s="1"/>
  <c r="F6456" i="2"/>
  <c r="G6456" i="2" s="1"/>
  <c r="F6455" i="2"/>
  <c r="G6455" i="2" s="1"/>
  <c r="F6454" i="2"/>
  <c r="G6454" i="2" s="1"/>
  <c r="F6453" i="2"/>
  <c r="G6453" i="2" s="1"/>
  <c r="F6452" i="2"/>
  <c r="G6452" i="2" s="1"/>
  <c r="F6451" i="2"/>
  <c r="G6451" i="2" s="1"/>
  <c r="F6450" i="2"/>
  <c r="G6450" i="2" s="1"/>
  <c r="F6449" i="2"/>
  <c r="G6449" i="2" s="1"/>
  <c r="F6448" i="2"/>
  <c r="G6448" i="2" s="1"/>
  <c r="F6447" i="2"/>
  <c r="G6447" i="2" s="1"/>
  <c r="F6446" i="2"/>
  <c r="G6446" i="2" s="1"/>
  <c r="F6445" i="2"/>
  <c r="G6445" i="2" s="1"/>
  <c r="F6444" i="2"/>
  <c r="G6444" i="2" s="1"/>
  <c r="F6443" i="2"/>
  <c r="G6443" i="2" s="1"/>
  <c r="F6442" i="2"/>
  <c r="G6442" i="2" s="1"/>
  <c r="F6441" i="2"/>
  <c r="G6441" i="2" s="1"/>
  <c r="F6440" i="2"/>
  <c r="G6440" i="2" s="1"/>
  <c r="F6439" i="2"/>
  <c r="G6439" i="2" s="1"/>
  <c r="F6438" i="2"/>
  <c r="G6438" i="2" s="1"/>
  <c r="F6437" i="2"/>
  <c r="G6437" i="2" s="1"/>
  <c r="F6436" i="2"/>
  <c r="G6436" i="2" s="1"/>
  <c r="F6435" i="2"/>
  <c r="G6435" i="2" s="1"/>
  <c r="F6434" i="2"/>
  <c r="G6434" i="2" s="1"/>
  <c r="F6433" i="2"/>
  <c r="G6433" i="2" s="1"/>
  <c r="F6432" i="2"/>
  <c r="G6432" i="2" s="1"/>
  <c r="F6431" i="2"/>
  <c r="G6431" i="2" s="1"/>
  <c r="F6430" i="2"/>
  <c r="G6430" i="2" s="1"/>
  <c r="F6429" i="2"/>
  <c r="G6429" i="2" s="1"/>
  <c r="F6428" i="2"/>
  <c r="G6428" i="2" s="1"/>
  <c r="F6427" i="2"/>
  <c r="G6427" i="2" s="1"/>
  <c r="F6426" i="2"/>
  <c r="G6426" i="2" s="1"/>
  <c r="F6425" i="2"/>
  <c r="G6425" i="2" s="1"/>
  <c r="F6424" i="2"/>
  <c r="G6424" i="2" s="1"/>
  <c r="F6423" i="2"/>
  <c r="G6423" i="2" s="1"/>
  <c r="F6422" i="2"/>
  <c r="G6422" i="2" s="1"/>
  <c r="F6421" i="2"/>
  <c r="G6421" i="2" s="1"/>
  <c r="F6420" i="2"/>
  <c r="G6420" i="2" s="1"/>
  <c r="F6419" i="2"/>
  <c r="G6419" i="2" s="1"/>
  <c r="F6418" i="2"/>
  <c r="G6418" i="2" s="1"/>
  <c r="F6417" i="2"/>
  <c r="G6417" i="2" s="1"/>
  <c r="F6416" i="2"/>
  <c r="G6416" i="2" s="1"/>
  <c r="F6415" i="2"/>
  <c r="G6415" i="2" s="1"/>
  <c r="F6414" i="2"/>
  <c r="G6414" i="2" s="1"/>
  <c r="F6413" i="2"/>
  <c r="G6413" i="2" s="1"/>
  <c r="F6412" i="2"/>
  <c r="G6412" i="2" s="1"/>
  <c r="F6411" i="2"/>
  <c r="G6411" i="2" s="1"/>
  <c r="F6410" i="2"/>
  <c r="G6410" i="2" s="1"/>
  <c r="F6409" i="2"/>
  <c r="G6409" i="2" s="1"/>
  <c r="F6408" i="2"/>
  <c r="G6408" i="2" s="1"/>
  <c r="F6407" i="2"/>
  <c r="G6407" i="2" s="1"/>
  <c r="F6406" i="2"/>
  <c r="G6406" i="2" s="1"/>
  <c r="F6405" i="2"/>
  <c r="G6405" i="2" s="1"/>
  <c r="F6404" i="2"/>
  <c r="G6404" i="2" s="1"/>
  <c r="F6403" i="2"/>
  <c r="G6403" i="2" s="1"/>
  <c r="F6402" i="2"/>
  <c r="G6402" i="2" s="1"/>
  <c r="F6401" i="2"/>
  <c r="G6401" i="2" s="1"/>
  <c r="F6400" i="2"/>
  <c r="G6400" i="2" s="1"/>
  <c r="F6399" i="2"/>
  <c r="G6399" i="2" s="1"/>
  <c r="F6398" i="2"/>
  <c r="G6398" i="2" s="1"/>
  <c r="F6397" i="2"/>
  <c r="G6397" i="2" s="1"/>
  <c r="F6396" i="2"/>
  <c r="G6396" i="2" s="1"/>
  <c r="F6395" i="2"/>
  <c r="G6395" i="2" s="1"/>
  <c r="F6394" i="2"/>
  <c r="G6394" i="2" s="1"/>
  <c r="F6393" i="2"/>
  <c r="G6393" i="2" s="1"/>
  <c r="F6392" i="2"/>
  <c r="G6392" i="2" s="1"/>
  <c r="F6391" i="2"/>
  <c r="G6391" i="2" s="1"/>
  <c r="F6390" i="2"/>
  <c r="G6390" i="2" s="1"/>
  <c r="F6389" i="2"/>
  <c r="G6389" i="2" s="1"/>
  <c r="F6388" i="2"/>
  <c r="G6388" i="2" s="1"/>
  <c r="F6387" i="2"/>
  <c r="G6387" i="2" s="1"/>
  <c r="F6386" i="2"/>
  <c r="G6386" i="2" s="1"/>
  <c r="F6385" i="2"/>
  <c r="G6385" i="2" s="1"/>
  <c r="F6384" i="2"/>
  <c r="G6384" i="2" s="1"/>
  <c r="F6383" i="2"/>
  <c r="G6383" i="2" s="1"/>
  <c r="F6382" i="2"/>
  <c r="G6382" i="2" s="1"/>
  <c r="F6381" i="2"/>
  <c r="G6381" i="2" s="1"/>
  <c r="F6380" i="2"/>
  <c r="G6380" i="2" s="1"/>
  <c r="F6379" i="2"/>
  <c r="G6379" i="2" s="1"/>
  <c r="F6378" i="2"/>
  <c r="G6378" i="2" s="1"/>
  <c r="F6377" i="2"/>
  <c r="G6377" i="2" s="1"/>
  <c r="F6376" i="2"/>
  <c r="G6376" i="2" s="1"/>
  <c r="F6375" i="2"/>
  <c r="G6375" i="2" s="1"/>
  <c r="F6374" i="2"/>
  <c r="G6374" i="2" s="1"/>
  <c r="F6373" i="2"/>
  <c r="G6373" i="2" s="1"/>
  <c r="F6372" i="2"/>
  <c r="G6372" i="2" s="1"/>
  <c r="F6371" i="2"/>
  <c r="G6371" i="2" s="1"/>
  <c r="F6370" i="2"/>
  <c r="G6370" i="2" s="1"/>
  <c r="F6369" i="2"/>
  <c r="G6369" i="2" s="1"/>
  <c r="F6368" i="2"/>
  <c r="G6368" i="2" s="1"/>
  <c r="F6367" i="2"/>
  <c r="G6367" i="2" s="1"/>
  <c r="F6366" i="2"/>
  <c r="G6366" i="2" s="1"/>
  <c r="F6365" i="2"/>
  <c r="G6365" i="2" s="1"/>
  <c r="F6364" i="2"/>
  <c r="G6364" i="2" s="1"/>
  <c r="F6363" i="2"/>
  <c r="G6363" i="2" s="1"/>
  <c r="F6362" i="2"/>
  <c r="G6362" i="2" s="1"/>
  <c r="F6361" i="2"/>
  <c r="G6361" i="2" s="1"/>
  <c r="F6360" i="2"/>
  <c r="G6360" i="2" s="1"/>
  <c r="F6359" i="2"/>
  <c r="G6359" i="2" s="1"/>
  <c r="F6358" i="2"/>
  <c r="G6358" i="2" s="1"/>
  <c r="F6357" i="2"/>
  <c r="G6357" i="2" s="1"/>
  <c r="F6356" i="2"/>
  <c r="G6356" i="2" s="1"/>
  <c r="F6355" i="2"/>
  <c r="G6355" i="2" s="1"/>
  <c r="F6354" i="2"/>
  <c r="G6354" i="2" s="1"/>
  <c r="F6353" i="2"/>
  <c r="G6353" i="2" s="1"/>
  <c r="F6352" i="2"/>
  <c r="G6352" i="2" s="1"/>
  <c r="F6351" i="2"/>
  <c r="G6351" i="2" s="1"/>
  <c r="F6350" i="2"/>
  <c r="G6350" i="2" s="1"/>
  <c r="F6349" i="2"/>
  <c r="G6349" i="2" s="1"/>
  <c r="F6348" i="2"/>
  <c r="G6348" i="2" s="1"/>
  <c r="F6347" i="2"/>
  <c r="G6347" i="2" s="1"/>
  <c r="F6346" i="2"/>
  <c r="G6346" i="2" s="1"/>
  <c r="F6345" i="2"/>
  <c r="G6345" i="2" s="1"/>
  <c r="F6344" i="2"/>
  <c r="G6344" i="2" s="1"/>
  <c r="F6343" i="2"/>
  <c r="G6343" i="2" s="1"/>
  <c r="F6342" i="2"/>
  <c r="G6342" i="2" s="1"/>
  <c r="F6341" i="2"/>
  <c r="G6341" i="2" s="1"/>
  <c r="F6340" i="2"/>
  <c r="G6340" i="2" s="1"/>
  <c r="F6339" i="2"/>
  <c r="G6339" i="2" s="1"/>
  <c r="F6338" i="2"/>
  <c r="G6338" i="2" s="1"/>
  <c r="F6337" i="2"/>
  <c r="G6337" i="2" s="1"/>
  <c r="F6336" i="2"/>
  <c r="G6336" i="2" s="1"/>
  <c r="F6335" i="2"/>
  <c r="G6335" i="2" s="1"/>
  <c r="F6334" i="2"/>
  <c r="G6334" i="2" s="1"/>
  <c r="F6333" i="2"/>
  <c r="G6333" i="2" s="1"/>
  <c r="F6332" i="2"/>
  <c r="G6332" i="2" s="1"/>
  <c r="F6331" i="2"/>
  <c r="G6331" i="2" s="1"/>
  <c r="F6330" i="2"/>
  <c r="G6330" i="2" s="1"/>
  <c r="F6329" i="2"/>
  <c r="G6329" i="2" s="1"/>
  <c r="F6328" i="2"/>
  <c r="G6328" i="2" s="1"/>
  <c r="F6327" i="2"/>
  <c r="G6327" i="2" s="1"/>
  <c r="F6326" i="2"/>
  <c r="G6326" i="2" s="1"/>
  <c r="F6325" i="2"/>
  <c r="G6325" i="2" s="1"/>
  <c r="F6324" i="2"/>
  <c r="G6324" i="2" s="1"/>
  <c r="F6323" i="2"/>
  <c r="G6323" i="2" s="1"/>
  <c r="F6322" i="2"/>
  <c r="G6322" i="2" s="1"/>
  <c r="F6321" i="2"/>
  <c r="G6321" i="2" s="1"/>
  <c r="F6320" i="2"/>
  <c r="G6320" i="2" s="1"/>
  <c r="F6319" i="2"/>
  <c r="G6319" i="2" s="1"/>
  <c r="F6318" i="2"/>
  <c r="G6318" i="2" s="1"/>
  <c r="F6317" i="2"/>
  <c r="G6317" i="2" s="1"/>
  <c r="F6316" i="2"/>
  <c r="G6316" i="2" s="1"/>
  <c r="F6315" i="2"/>
  <c r="G6315" i="2" s="1"/>
  <c r="F6314" i="2"/>
  <c r="G6314" i="2" s="1"/>
  <c r="F6313" i="2"/>
  <c r="G6313" i="2" s="1"/>
  <c r="F6312" i="2"/>
  <c r="G6312" i="2" s="1"/>
  <c r="F6311" i="2"/>
  <c r="G6311" i="2" s="1"/>
  <c r="F6310" i="2"/>
  <c r="G6310" i="2" s="1"/>
  <c r="F6309" i="2"/>
  <c r="G6309" i="2" s="1"/>
  <c r="F6308" i="2"/>
  <c r="G6308" i="2" s="1"/>
  <c r="F6307" i="2"/>
  <c r="G6307" i="2" s="1"/>
  <c r="F6306" i="2"/>
  <c r="G6306" i="2" s="1"/>
  <c r="F6305" i="2"/>
  <c r="G6305" i="2" s="1"/>
  <c r="F6304" i="2"/>
  <c r="G6304" i="2" s="1"/>
  <c r="F6303" i="2"/>
  <c r="G6303" i="2" s="1"/>
  <c r="F6302" i="2"/>
  <c r="G6302" i="2" s="1"/>
  <c r="F6301" i="2"/>
  <c r="G6301" i="2" s="1"/>
  <c r="F6300" i="2"/>
  <c r="G6300" i="2" s="1"/>
  <c r="F6299" i="2"/>
  <c r="G6299" i="2" s="1"/>
  <c r="F6298" i="2"/>
  <c r="G6298" i="2" s="1"/>
  <c r="F6297" i="2"/>
  <c r="G6297" i="2" s="1"/>
  <c r="F6296" i="2"/>
  <c r="G6296" i="2" s="1"/>
  <c r="F6295" i="2"/>
  <c r="G6295" i="2" s="1"/>
  <c r="F6294" i="2"/>
  <c r="G6294" i="2" s="1"/>
  <c r="F6293" i="2"/>
  <c r="G6293" i="2" s="1"/>
  <c r="F6292" i="2"/>
  <c r="G6292" i="2" s="1"/>
  <c r="F6291" i="2"/>
  <c r="G6291" i="2" s="1"/>
  <c r="F6290" i="2"/>
  <c r="G6290" i="2" s="1"/>
  <c r="F6289" i="2"/>
  <c r="G6289" i="2" s="1"/>
  <c r="F6288" i="2"/>
  <c r="G6288" i="2" s="1"/>
  <c r="F6287" i="2"/>
  <c r="G6287" i="2" s="1"/>
  <c r="F6286" i="2"/>
  <c r="G6286" i="2" s="1"/>
  <c r="F6285" i="2"/>
  <c r="G6285" i="2" s="1"/>
  <c r="F6284" i="2"/>
  <c r="G6284" i="2" s="1"/>
  <c r="F6283" i="2"/>
  <c r="G6283" i="2" s="1"/>
  <c r="F6282" i="2"/>
  <c r="G6282" i="2" s="1"/>
  <c r="F6281" i="2"/>
  <c r="G6281" i="2" s="1"/>
  <c r="F6280" i="2"/>
  <c r="G6280" i="2" s="1"/>
  <c r="F6279" i="2"/>
  <c r="G6279" i="2" s="1"/>
  <c r="F6278" i="2"/>
  <c r="G6278" i="2" s="1"/>
  <c r="F6277" i="2"/>
  <c r="G6277" i="2" s="1"/>
  <c r="F6276" i="2"/>
  <c r="G6276" i="2" s="1"/>
  <c r="F6275" i="2"/>
  <c r="G6275" i="2" s="1"/>
  <c r="F6274" i="2"/>
  <c r="G6274" i="2" s="1"/>
  <c r="F6273" i="2"/>
  <c r="G6273" i="2" s="1"/>
  <c r="F6272" i="2"/>
  <c r="G6272" i="2" s="1"/>
  <c r="F6271" i="2"/>
  <c r="G6271" i="2" s="1"/>
  <c r="F6270" i="2"/>
  <c r="G6270" i="2" s="1"/>
  <c r="F6269" i="2"/>
  <c r="G6269" i="2" s="1"/>
  <c r="F6268" i="2"/>
  <c r="G6268" i="2" s="1"/>
  <c r="F6267" i="2"/>
  <c r="G6267" i="2" s="1"/>
  <c r="F6266" i="2"/>
  <c r="G6266" i="2" s="1"/>
  <c r="F6265" i="2"/>
  <c r="G6265" i="2" s="1"/>
  <c r="F6264" i="2"/>
  <c r="G6264" i="2" s="1"/>
  <c r="F6263" i="2"/>
  <c r="G6263" i="2" s="1"/>
  <c r="F6262" i="2"/>
  <c r="G6262" i="2" s="1"/>
  <c r="F6261" i="2"/>
  <c r="G6261" i="2" s="1"/>
  <c r="F6260" i="2"/>
  <c r="G6260" i="2" s="1"/>
  <c r="F6259" i="2"/>
  <c r="G6259" i="2" s="1"/>
  <c r="F6258" i="2"/>
  <c r="G6258" i="2" s="1"/>
  <c r="F6257" i="2"/>
  <c r="G6257" i="2" s="1"/>
  <c r="F6256" i="2"/>
  <c r="G6256" i="2" s="1"/>
  <c r="F6255" i="2"/>
  <c r="G6255" i="2" s="1"/>
  <c r="F6254" i="2"/>
  <c r="G6254" i="2" s="1"/>
  <c r="F6253" i="2"/>
  <c r="G6253" i="2" s="1"/>
  <c r="F6252" i="2"/>
  <c r="G6252" i="2" s="1"/>
  <c r="F6251" i="2"/>
  <c r="G6251" i="2" s="1"/>
  <c r="F6250" i="2"/>
  <c r="G6250" i="2" s="1"/>
  <c r="F6249" i="2"/>
  <c r="G6249" i="2" s="1"/>
  <c r="F6248" i="2"/>
  <c r="G6248" i="2" s="1"/>
  <c r="F6247" i="2"/>
  <c r="G6247" i="2" s="1"/>
  <c r="F6246" i="2"/>
  <c r="G6246" i="2" s="1"/>
  <c r="F6245" i="2"/>
  <c r="G6245" i="2" s="1"/>
  <c r="F6244" i="2"/>
  <c r="G6244" i="2" s="1"/>
  <c r="F6243" i="2"/>
  <c r="G6243" i="2" s="1"/>
  <c r="F6242" i="2"/>
  <c r="G6242" i="2" s="1"/>
  <c r="F6241" i="2"/>
  <c r="G6241" i="2" s="1"/>
  <c r="F6240" i="2"/>
  <c r="G6240" i="2" s="1"/>
  <c r="F6239" i="2"/>
  <c r="G6239" i="2" s="1"/>
  <c r="F6238" i="2"/>
  <c r="G6238" i="2" s="1"/>
  <c r="F6237" i="2"/>
  <c r="G6237" i="2" s="1"/>
  <c r="F6236" i="2"/>
  <c r="G6236" i="2" s="1"/>
  <c r="F6235" i="2"/>
  <c r="G6235" i="2" s="1"/>
  <c r="F6234" i="2"/>
  <c r="G6234" i="2" s="1"/>
  <c r="F6233" i="2"/>
  <c r="G6233" i="2" s="1"/>
  <c r="F6232" i="2"/>
  <c r="G6232" i="2" s="1"/>
  <c r="F6231" i="2"/>
  <c r="G6231" i="2" s="1"/>
  <c r="F6230" i="2"/>
  <c r="G6230" i="2" s="1"/>
  <c r="F6229" i="2"/>
  <c r="G6229" i="2" s="1"/>
  <c r="F6228" i="2"/>
  <c r="G6228" i="2" s="1"/>
  <c r="F6227" i="2"/>
  <c r="G6227" i="2" s="1"/>
  <c r="F6226" i="2"/>
  <c r="G6226" i="2" s="1"/>
  <c r="F6225" i="2"/>
  <c r="G6225" i="2" s="1"/>
  <c r="F6224" i="2"/>
  <c r="G6224" i="2" s="1"/>
  <c r="F6223" i="2"/>
  <c r="G6223" i="2" s="1"/>
  <c r="F6222" i="2"/>
  <c r="G6222" i="2" s="1"/>
  <c r="F6221" i="2"/>
  <c r="G6221" i="2" s="1"/>
  <c r="F6220" i="2"/>
  <c r="G6220" i="2" s="1"/>
  <c r="F6219" i="2"/>
  <c r="G6219" i="2" s="1"/>
  <c r="F6218" i="2"/>
  <c r="G6218" i="2" s="1"/>
  <c r="F6217" i="2"/>
  <c r="G6217" i="2" s="1"/>
  <c r="F6216" i="2"/>
  <c r="G6216" i="2" s="1"/>
  <c r="F6215" i="2"/>
  <c r="G6215" i="2" s="1"/>
  <c r="F6214" i="2"/>
  <c r="G6214" i="2" s="1"/>
  <c r="F6213" i="2"/>
  <c r="G6213" i="2" s="1"/>
  <c r="F6212" i="2"/>
  <c r="G6212" i="2" s="1"/>
  <c r="F6211" i="2"/>
  <c r="G6211" i="2" s="1"/>
  <c r="F6210" i="2"/>
  <c r="G6210" i="2" s="1"/>
  <c r="F6209" i="2"/>
  <c r="G6209" i="2" s="1"/>
  <c r="F6208" i="2"/>
  <c r="G6208" i="2" s="1"/>
  <c r="F6207" i="2"/>
  <c r="G6207" i="2" s="1"/>
  <c r="F6206" i="2"/>
  <c r="G6206" i="2" s="1"/>
  <c r="F6205" i="2"/>
  <c r="G6205" i="2" s="1"/>
  <c r="F6204" i="2"/>
  <c r="G6204" i="2" s="1"/>
  <c r="F6203" i="2"/>
  <c r="G6203" i="2" s="1"/>
  <c r="F6202" i="2"/>
  <c r="G6202" i="2" s="1"/>
  <c r="F6201" i="2"/>
  <c r="G6201" i="2" s="1"/>
  <c r="F6200" i="2"/>
  <c r="G6200" i="2" s="1"/>
  <c r="F6199" i="2"/>
  <c r="G6199" i="2" s="1"/>
  <c r="F6198" i="2"/>
  <c r="G6198" i="2" s="1"/>
  <c r="F6197" i="2"/>
  <c r="G6197" i="2" s="1"/>
  <c r="F6196" i="2"/>
  <c r="G6196" i="2" s="1"/>
  <c r="F6195" i="2"/>
  <c r="G6195" i="2" s="1"/>
  <c r="F6194" i="2"/>
  <c r="G6194" i="2" s="1"/>
  <c r="F6193" i="2"/>
  <c r="G6193" i="2" s="1"/>
  <c r="F6192" i="2"/>
  <c r="G6192" i="2" s="1"/>
  <c r="F6191" i="2"/>
  <c r="G6191" i="2" s="1"/>
  <c r="F6190" i="2"/>
  <c r="G6190" i="2" s="1"/>
  <c r="F6189" i="2"/>
  <c r="G6189" i="2" s="1"/>
  <c r="F6188" i="2"/>
  <c r="G6188" i="2" s="1"/>
  <c r="F6187" i="2"/>
  <c r="G6187" i="2" s="1"/>
  <c r="F6186" i="2"/>
  <c r="G6186" i="2" s="1"/>
  <c r="F6185" i="2"/>
  <c r="G6185" i="2" s="1"/>
  <c r="F6184" i="2"/>
  <c r="G6184" i="2" s="1"/>
  <c r="F6183" i="2"/>
  <c r="G6183" i="2" s="1"/>
  <c r="F6182" i="2"/>
  <c r="G6182" i="2" s="1"/>
  <c r="F6181" i="2"/>
  <c r="G6181" i="2" s="1"/>
  <c r="F6180" i="2"/>
  <c r="G6180" i="2" s="1"/>
  <c r="F6179" i="2"/>
  <c r="G6179" i="2" s="1"/>
  <c r="F6178" i="2"/>
  <c r="G6178" i="2" s="1"/>
  <c r="F6177" i="2"/>
  <c r="G6177" i="2" s="1"/>
  <c r="F6176" i="2"/>
  <c r="G6176" i="2" s="1"/>
  <c r="F6175" i="2"/>
  <c r="G6175" i="2" s="1"/>
  <c r="F6174" i="2"/>
  <c r="G6174" i="2" s="1"/>
  <c r="F6173" i="2"/>
  <c r="G6173" i="2" s="1"/>
  <c r="F6172" i="2"/>
  <c r="G6172" i="2" s="1"/>
  <c r="F6171" i="2"/>
  <c r="G6171" i="2" s="1"/>
  <c r="F6170" i="2"/>
  <c r="G6170" i="2" s="1"/>
  <c r="F6169" i="2"/>
  <c r="G6169" i="2" s="1"/>
  <c r="F6168" i="2"/>
  <c r="G6168" i="2" s="1"/>
  <c r="F6167" i="2"/>
  <c r="G6167" i="2" s="1"/>
  <c r="F6166" i="2"/>
  <c r="G6166" i="2" s="1"/>
  <c r="F6165" i="2"/>
  <c r="G6165" i="2" s="1"/>
  <c r="F6164" i="2"/>
  <c r="G6164" i="2" s="1"/>
  <c r="F6163" i="2"/>
  <c r="G6163" i="2" s="1"/>
  <c r="F6162" i="2"/>
  <c r="G6162" i="2" s="1"/>
  <c r="F6161" i="2"/>
  <c r="G6161" i="2" s="1"/>
  <c r="F6160" i="2"/>
  <c r="G6160" i="2" s="1"/>
  <c r="F6159" i="2"/>
  <c r="G6159" i="2" s="1"/>
  <c r="F6158" i="2"/>
  <c r="G6158" i="2" s="1"/>
  <c r="F6157" i="2"/>
  <c r="G6157" i="2" s="1"/>
  <c r="F6156" i="2"/>
  <c r="G6156" i="2" s="1"/>
  <c r="F6155" i="2"/>
  <c r="G6155" i="2" s="1"/>
  <c r="F6154" i="2"/>
  <c r="G6154" i="2" s="1"/>
  <c r="F6153" i="2"/>
  <c r="G6153" i="2" s="1"/>
  <c r="F6152" i="2"/>
  <c r="G6152" i="2" s="1"/>
  <c r="F6151" i="2"/>
  <c r="G6151" i="2" s="1"/>
  <c r="F6150" i="2"/>
  <c r="G6150" i="2" s="1"/>
  <c r="F6149" i="2"/>
  <c r="G6149" i="2" s="1"/>
  <c r="F6148" i="2"/>
  <c r="G6148" i="2" s="1"/>
  <c r="F6147" i="2"/>
  <c r="G6147" i="2" s="1"/>
  <c r="F6146" i="2"/>
  <c r="G6146" i="2" s="1"/>
  <c r="F6145" i="2"/>
  <c r="G6145" i="2" s="1"/>
  <c r="F6144" i="2"/>
  <c r="G6144" i="2" s="1"/>
  <c r="F6143" i="2"/>
  <c r="G6143" i="2" s="1"/>
  <c r="F6142" i="2"/>
  <c r="G6142" i="2" s="1"/>
  <c r="F6141" i="2"/>
  <c r="G6141" i="2" s="1"/>
  <c r="F6140" i="2"/>
  <c r="G6140" i="2" s="1"/>
  <c r="F6139" i="2"/>
  <c r="G6139" i="2" s="1"/>
  <c r="F6138" i="2"/>
  <c r="G6138" i="2" s="1"/>
  <c r="F6137" i="2"/>
  <c r="G6137" i="2" s="1"/>
  <c r="F6136" i="2"/>
  <c r="G6136" i="2" s="1"/>
  <c r="F6135" i="2"/>
  <c r="G6135" i="2" s="1"/>
  <c r="F6134" i="2"/>
  <c r="G6134" i="2" s="1"/>
  <c r="F6133" i="2"/>
  <c r="G6133" i="2" s="1"/>
  <c r="F6132" i="2"/>
  <c r="G6132" i="2" s="1"/>
  <c r="F6131" i="2"/>
  <c r="G6131" i="2" s="1"/>
  <c r="F6130" i="2"/>
  <c r="G6130" i="2" s="1"/>
  <c r="F6129" i="2"/>
  <c r="G6129" i="2" s="1"/>
  <c r="F6128" i="2"/>
  <c r="G6128" i="2" s="1"/>
  <c r="F6127" i="2"/>
  <c r="G6127" i="2" s="1"/>
  <c r="F6126" i="2"/>
  <c r="G6126" i="2" s="1"/>
  <c r="F6125" i="2"/>
  <c r="G6125" i="2" s="1"/>
  <c r="F6124" i="2"/>
  <c r="G6124" i="2" s="1"/>
  <c r="F6123" i="2"/>
  <c r="G6123" i="2" s="1"/>
  <c r="F6122" i="2"/>
  <c r="G6122" i="2" s="1"/>
  <c r="F6121" i="2"/>
  <c r="G6121" i="2" s="1"/>
  <c r="F6120" i="2"/>
  <c r="G6120" i="2" s="1"/>
  <c r="F6119" i="2"/>
  <c r="G6119" i="2" s="1"/>
  <c r="F6118" i="2"/>
  <c r="G6118" i="2" s="1"/>
  <c r="F6117" i="2"/>
  <c r="G6117" i="2" s="1"/>
  <c r="F6116" i="2"/>
  <c r="G6116" i="2" s="1"/>
  <c r="F6115" i="2"/>
  <c r="G6115" i="2" s="1"/>
  <c r="F6114" i="2"/>
  <c r="G6114" i="2" s="1"/>
  <c r="F6113" i="2"/>
  <c r="G6113" i="2" s="1"/>
  <c r="F6112" i="2"/>
  <c r="G6112" i="2" s="1"/>
  <c r="F6111" i="2"/>
  <c r="G6111" i="2" s="1"/>
  <c r="F6110" i="2"/>
  <c r="G6110" i="2" s="1"/>
  <c r="F6109" i="2"/>
  <c r="G6109" i="2" s="1"/>
  <c r="F6108" i="2"/>
  <c r="G6108" i="2" s="1"/>
  <c r="F6107" i="2"/>
  <c r="G6107" i="2" s="1"/>
  <c r="F6106" i="2"/>
  <c r="G6106" i="2" s="1"/>
  <c r="F6105" i="2"/>
  <c r="G6105" i="2" s="1"/>
  <c r="F6104" i="2"/>
  <c r="G6104" i="2" s="1"/>
  <c r="F6103" i="2"/>
  <c r="G6103" i="2" s="1"/>
  <c r="F6102" i="2"/>
  <c r="G6102" i="2" s="1"/>
  <c r="F6101" i="2"/>
  <c r="G6101" i="2" s="1"/>
  <c r="F6100" i="2"/>
  <c r="G6100" i="2" s="1"/>
  <c r="F6099" i="2"/>
  <c r="G6099" i="2" s="1"/>
  <c r="F6098" i="2"/>
  <c r="G6098" i="2" s="1"/>
  <c r="F6097" i="2"/>
  <c r="G6097" i="2" s="1"/>
  <c r="F6096" i="2"/>
  <c r="G6096" i="2" s="1"/>
  <c r="F6095" i="2"/>
  <c r="G6095" i="2" s="1"/>
  <c r="F6094" i="2"/>
  <c r="G6094" i="2" s="1"/>
  <c r="F6093" i="2"/>
  <c r="G6093" i="2" s="1"/>
  <c r="F6092" i="2"/>
  <c r="G6092" i="2" s="1"/>
  <c r="F6091" i="2"/>
  <c r="G6091" i="2" s="1"/>
  <c r="F6090" i="2"/>
  <c r="G6090" i="2" s="1"/>
  <c r="F6089" i="2"/>
  <c r="G6089" i="2" s="1"/>
  <c r="F6088" i="2"/>
  <c r="G6088" i="2" s="1"/>
  <c r="F6087" i="2"/>
  <c r="G6087" i="2" s="1"/>
  <c r="F6086" i="2"/>
  <c r="G6086" i="2" s="1"/>
  <c r="F6085" i="2"/>
  <c r="G6085" i="2" s="1"/>
  <c r="F6084" i="2"/>
  <c r="G6084" i="2" s="1"/>
  <c r="F6083" i="2"/>
  <c r="G6083" i="2" s="1"/>
  <c r="F6082" i="2"/>
  <c r="G6082" i="2" s="1"/>
  <c r="F6081" i="2"/>
  <c r="G6081" i="2" s="1"/>
  <c r="F6080" i="2"/>
  <c r="G6080" i="2" s="1"/>
  <c r="F6079" i="2"/>
  <c r="G6079" i="2" s="1"/>
  <c r="F6078" i="2"/>
  <c r="G6078" i="2" s="1"/>
  <c r="F6077" i="2"/>
  <c r="G6077" i="2" s="1"/>
  <c r="F6076" i="2"/>
  <c r="G6076" i="2" s="1"/>
  <c r="F6075" i="2"/>
  <c r="G6075" i="2" s="1"/>
  <c r="F6074" i="2"/>
  <c r="G6074" i="2" s="1"/>
  <c r="F6073" i="2"/>
  <c r="G6073" i="2" s="1"/>
  <c r="F6072" i="2"/>
  <c r="G6072" i="2" s="1"/>
  <c r="F6071" i="2"/>
  <c r="G6071" i="2" s="1"/>
  <c r="F6070" i="2"/>
  <c r="G6070" i="2" s="1"/>
  <c r="F6069" i="2"/>
  <c r="G6069" i="2" s="1"/>
  <c r="F6068" i="2"/>
  <c r="G6068" i="2" s="1"/>
  <c r="F6067" i="2"/>
  <c r="G6067" i="2" s="1"/>
  <c r="F6066" i="2"/>
  <c r="G6066" i="2" s="1"/>
  <c r="F6065" i="2"/>
  <c r="G6065" i="2" s="1"/>
  <c r="F6064" i="2"/>
  <c r="G6064" i="2" s="1"/>
  <c r="F6063" i="2"/>
  <c r="G6063" i="2" s="1"/>
  <c r="F6062" i="2"/>
  <c r="G6062" i="2" s="1"/>
  <c r="F6061" i="2"/>
  <c r="G6061" i="2" s="1"/>
  <c r="F6060" i="2"/>
  <c r="G6060" i="2" s="1"/>
  <c r="F6059" i="2"/>
  <c r="G6059" i="2" s="1"/>
  <c r="F6058" i="2"/>
  <c r="G6058" i="2" s="1"/>
  <c r="F6057" i="2"/>
  <c r="G6057" i="2" s="1"/>
  <c r="F6056" i="2"/>
  <c r="G6056" i="2" s="1"/>
  <c r="F6055" i="2"/>
  <c r="G6055" i="2" s="1"/>
  <c r="F6054" i="2"/>
  <c r="G6054" i="2" s="1"/>
  <c r="F6053" i="2"/>
  <c r="G6053" i="2" s="1"/>
  <c r="F6052" i="2"/>
  <c r="G6052" i="2" s="1"/>
  <c r="F6051" i="2"/>
  <c r="G6051" i="2" s="1"/>
  <c r="F6050" i="2"/>
  <c r="G6050" i="2" s="1"/>
  <c r="F6049" i="2"/>
  <c r="G6049" i="2" s="1"/>
  <c r="F6048" i="2"/>
  <c r="G6048" i="2" s="1"/>
  <c r="F6047" i="2"/>
  <c r="G6047" i="2" s="1"/>
  <c r="F6046" i="2"/>
  <c r="G6046" i="2" s="1"/>
  <c r="F6045" i="2"/>
  <c r="G6045" i="2" s="1"/>
  <c r="F6044" i="2"/>
  <c r="G6044" i="2" s="1"/>
  <c r="F6043" i="2"/>
  <c r="G6043" i="2" s="1"/>
  <c r="F6042" i="2"/>
  <c r="G6042" i="2" s="1"/>
  <c r="F6041" i="2"/>
  <c r="G6041" i="2" s="1"/>
  <c r="F6040" i="2"/>
  <c r="G6040" i="2" s="1"/>
  <c r="F6039" i="2"/>
  <c r="G6039" i="2" s="1"/>
  <c r="F6038" i="2"/>
  <c r="G6038" i="2" s="1"/>
  <c r="F6037" i="2"/>
  <c r="G6037" i="2" s="1"/>
  <c r="F6036" i="2"/>
  <c r="G6036" i="2" s="1"/>
  <c r="F6035" i="2"/>
  <c r="G6035" i="2" s="1"/>
  <c r="F6034" i="2"/>
  <c r="G6034" i="2" s="1"/>
  <c r="F6033" i="2"/>
  <c r="G6033" i="2" s="1"/>
  <c r="F6032" i="2"/>
  <c r="G6032" i="2" s="1"/>
  <c r="F6031" i="2"/>
  <c r="G6031" i="2" s="1"/>
  <c r="F6030" i="2"/>
  <c r="G6030" i="2" s="1"/>
  <c r="F6029" i="2"/>
  <c r="G6029" i="2" s="1"/>
  <c r="F6028" i="2"/>
  <c r="G6028" i="2" s="1"/>
  <c r="F6027" i="2"/>
  <c r="G6027" i="2" s="1"/>
  <c r="F6026" i="2"/>
  <c r="G6026" i="2" s="1"/>
  <c r="F6025" i="2"/>
  <c r="G6025" i="2" s="1"/>
  <c r="F6024" i="2"/>
  <c r="G6024" i="2" s="1"/>
  <c r="F6023" i="2"/>
  <c r="G6023" i="2" s="1"/>
  <c r="F6022" i="2"/>
  <c r="G6022" i="2" s="1"/>
  <c r="F6021" i="2"/>
  <c r="G6021" i="2" s="1"/>
  <c r="F6020" i="2"/>
  <c r="G6020" i="2" s="1"/>
  <c r="F6019" i="2"/>
  <c r="G6019" i="2" s="1"/>
  <c r="F6018" i="2"/>
  <c r="G6018" i="2" s="1"/>
  <c r="F6017" i="2"/>
  <c r="G6017" i="2" s="1"/>
  <c r="F6016" i="2"/>
  <c r="G6016" i="2" s="1"/>
  <c r="F6015" i="2"/>
  <c r="G6015" i="2" s="1"/>
  <c r="F6014" i="2"/>
  <c r="G6014" i="2" s="1"/>
  <c r="F6013" i="2"/>
  <c r="G6013" i="2" s="1"/>
  <c r="F6012" i="2"/>
  <c r="G6012" i="2" s="1"/>
  <c r="F6011" i="2"/>
  <c r="G6011" i="2" s="1"/>
  <c r="F6010" i="2"/>
  <c r="G6010" i="2" s="1"/>
  <c r="F6009" i="2"/>
  <c r="G6009" i="2" s="1"/>
  <c r="F6008" i="2"/>
  <c r="G6008" i="2" s="1"/>
  <c r="F6007" i="2"/>
  <c r="G6007" i="2" s="1"/>
  <c r="F6006" i="2"/>
  <c r="G6006" i="2" s="1"/>
  <c r="F6005" i="2"/>
  <c r="G6005" i="2" s="1"/>
  <c r="F6004" i="2"/>
  <c r="G6004" i="2" s="1"/>
  <c r="F6003" i="2"/>
  <c r="G6003" i="2" s="1"/>
  <c r="F6002" i="2"/>
  <c r="G6002" i="2" s="1"/>
  <c r="F6001" i="2"/>
  <c r="G6001" i="2" s="1"/>
  <c r="F6000" i="2"/>
  <c r="G6000" i="2" s="1"/>
  <c r="F5999" i="2"/>
  <c r="G5999" i="2" s="1"/>
  <c r="F5998" i="2"/>
  <c r="G5998" i="2" s="1"/>
  <c r="F5997" i="2"/>
  <c r="G5997" i="2" s="1"/>
  <c r="F5996" i="2"/>
  <c r="G5996" i="2" s="1"/>
  <c r="F5995" i="2"/>
  <c r="G5995" i="2" s="1"/>
  <c r="F5994" i="2"/>
  <c r="G5994" i="2" s="1"/>
  <c r="F5993" i="2"/>
  <c r="G5993" i="2" s="1"/>
  <c r="F5992" i="2"/>
  <c r="G5992" i="2" s="1"/>
  <c r="F5991" i="2"/>
  <c r="G5991" i="2" s="1"/>
  <c r="F5990" i="2"/>
  <c r="G5990" i="2" s="1"/>
  <c r="F5989" i="2"/>
  <c r="G5989" i="2" s="1"/>
  <c r="F5988" i="2"/>
  <c r="G5988" i="2" s="1"/>
  <c r="F5987" i="2"/>
  <c r="G5987" i="2" s="1"/>
  <c r="F5986" i="2"/>
  <c r="G5986" i="2" s="1"/>
  <c r="F5985" i="2"/>
  <c r="G5985" i="2" s="1"/>
  <c r="F5984" i="2"/>
  <c r="G5984" i="2" s="1"/>
  <c r="F5983" i="2"/>
  <c r="G5983" i="2" s="1"/>
  <c r="F5982" i="2"/>
  <c r="G5982" i="2" s="1"/>
  <c r="F5981" i="2"/>
  <c r="G5981" i="2" s="1"/>
  <c r="F5980" i="2"/>
  <c r="G5980" i="2" s="1"/>
  <c r="F5979" i="2"/>
  <c r="G5979" i="2" s="1"/>
  <c r="F5978" i="2"/>
  <c r="G5978" i="2" s="1"/>
  <c r="F5977" i="2"/>
  <c r="G5977" i="2" s="1"/>
  <c r="F5976" i="2"/>
  <c r="G5976" i="2" s="1"/>
  <c r="F5975" i="2"/>
  <c r="G5975" i="2" s="1"/>
  <c r="F5974" i="2"/>
  <c r="G5974" i="2" s="1"/>
  <c r="F5973" i="2"/>
  <c r="G5973" i="2" s="1"/>
  <c r="F5972" i="2"/>
  <c r="G5972" i="2" s="1"/>
  <c r="F5971" i="2"/>
  <c r="G5971" i="2" s="1"/>
  <c r="F5970" i="2"/>
  <c r="G5970" i="2" s="1"/>
  <c r="F5969" i="2"/>
  <c r="G5969" i="2" s="1"/>
  <c r="F5968" i="2"/>
  <c r="G5968" i="2" s="1"/>
  <c r="F5967" i="2"/>
  <c r="G5967" i="2" s="1"/>
  <c r="F5966" i="2"/>
  <c r="G5966" i="2" s="1"/>
  <c r="F5965" i="2"/>
  <c r="G5965" i="2" s="1"/>
  <c r="F5964" i="2"/>
  <c r="G5964" i="2" s="1"/>
  <c r="F5963" i="2"/>
  <c r="G5963" i="2" s="1"/>
  <c r="F5962" i="2"/>
  <c r="G5962" i="2" s="1"/>
  <c r="F5961" i="2"/>
  <c r="G5961" i="2" s="1"/>
  <c r="F5960" i="2"/>
  <c r="G5960" i="2" s="1"/>
  <c r="F5959" i="2"/>
  <c r="G5959" i="2" s="1"/>
  <c r="F5958" i="2"/>
  <c r="G5958" i="2" s="1"/>
  <c r="F5957" i="2"/>
  <c r="G5957" i="2" s="1"/>
  <c r="F5956" i="2"/>
  <c r="G5956" i="2" s="1"/>
  <c r="H1406" i="1" s="1"/>
  <c r="F5955" i="2"/>
  <c r="G5955" i="2" s="1"/>
  <c r="F5954" i="2"/>
  <c r="G5954" i="2" s="1"/>
  <c r="F5953" i="2"/>
  <c r="G5953" i="2" s="1"/>
  <c r="F5952" i="2"/>
  <c r="G5952" i="2" s="1"/>
  <c r="F5951" i="2"/>
  <c r="G5951" i="2" s="1"/>
  <c r="F5950" i="2"/>
  <c r="G5950" i="2" s="1"/>
  <c r="F5949" i="2"/>
  <c r="G5949" i="2" s="1"/>
  <c r="F5948" i="2"/>
  <c r="G5948" i="2" s="1"/>
  <c r="F5947" i="2"/>
  <c r="G5947" i="2" s="1"/>
  <c r="F5946" i="2"/>
  <c r="G5946" i="2" s="1"/>
  <c r="F5945" i="2"/>
  <c r="G5945" i="2" s="1"/>
  <c r="F5944" i="2"/>
  <c r="G5944" i="2" s="1"/>
  <c r="F5943" i="2"/>
  <c r="G5943" i="2" s="1"/>
  <c r="F5942" i="2"/>
  <c r="G5942" i="2" s="1"/>
  <c r="F5941" i="2"/>
  <c r="G5941" i="2" s="1"/>
  <c r="F5940" i="2"/>
  <c r="G5940" i="2" s="1"/>
  <c r="F5939" i="2"/>
  <c r="G5939" i="2" s="1"/>
  <c r="F5938" i="2"/>
  <c r="G5938" i="2" s="1"/>
  <c r="F5937" i="2"/>
  <c r="G5937" i="2" s="1"/>
  <c r="F5936" i="2"/>
  <c r="G5936" i="2" s="1"/>
  <c r="F5935" i="2"/>
  <c r="G5935" i="2" s="1"/>
  <c r="F5934" i="2"/>
  <c r="G5934" i="2" s="1"/>
  <c r="F5933" i="2"/>
  <c r="G5933" i="2" s="1"/>
  <c r="F5932" i="2"/>
  <c r="G5932" i="2" s="1"/>
  <c r="F5931" i="2"/>
  <c r="G5931" i="2" s="1"/>
  <c r="F5930" i="2"/>
  <c r="G5930" i="2" s="1"/>
  <c r="F5929" i="2"/>
  <c r="G5929" i="2" s="1"/>
  <c r="F5928" i="2"/>
  <c r="G5928" i="2" s="1"/>
  <c r="F5927" i="2"/>
  <c r="G5927" i="2" s="1"/>
  <c r="F5926" i="2"/>
  <c r="G5926" i="2" s="1"/>
  <c r="F5925" i="2"/>
  <c r="G5925" i="2" s="1"/>
  <c r="F5924" i="2"/>
  <c r="G5924" i="2" s="1"/>
  <c r="F5923" i="2"/>
  <c r="G5923" i="2" s="1"/>
  <c r="F5922" i="2"/>
  <c r="G5922" i="2" s="1"/>
  <c r="F5921" i="2"/>
  <c r="G5921" i="2" s="1"/>
  <c r="F5920" i="2"/>
  <c r="G5920" i="2" s="1"/>
  <c r="F5919" i="2"/>
  <c r="G5919" i="2" s="1"/>
  <c r="F5918" i="2"/>
  <c r="G5918" i="2" s="1"/>
  <c r="F5917" i="2"/>
  <c r="G5917" i="2" s="1"/>
  <c r="F5916" i="2"/>
  <c r="G5916" i="2" s="1"/>
  <c r="F5915" i="2"/>
  <c r="G5915" i="2" s="1"/>
  <c r="F5914" i="2"/>
  <c r="G5914" i="2" s="1"/>
  <c r="F5913" i="2"/>
  <c r="G5913" i="2" s="1"/>
  <c r="F5912" i="2"/>
  <c r="G5912" i="2" s="1"/>
  <c r="F5911" i="2"/>
  <c r="G5911" i="2" s="1"/>
  <c r="F5910" i="2"/>
  <c r="G5910" i="2" s="1"/>
  <c r="F5909" i="2"/>
  <c r="G5909" i="2" s="1"/>
  <c r="F5908" i="2"/>
  <c r="G5908" i="2" s="1"/>
  <c r="F5907" i="2"/>
  <c r="G5907" i="2" s="1"/>
  <c r="F5906" i="2"/>
  <c r="G5906" i="2" s="1"/>
  <c r="F5905" i="2"/>
  <c r="G5905" i="2" s="1"/>
  <c r="F5904" i="2"/>
  <c r="G5904" i="2" s="1"/>
  <c r="F5903" i="2"/>
  <c r="G5903" i="2" s="1"/>
  <c r="F5902" i="2"/>
  <c r="G5902" i="2" s="1"/>
  <c r="F5901" i="2"/>
  <c r="G5901" i="2" s="1"/>
  <c r="F5900" i="2"/>
  <c r="G5900" i="2" s="1"/>
  <c r="F5899" i="2"/>
  <c r="G5899" i="2" s="1"/>
  <c r="F5898" i="2"/>
  <c r="G5898" i="2" s="1"/>
  <c r="F5897" i="2"/>
  <c r="G5897" i="2" s="1"/>
  <c r="F5896" i="2"/>
  <c r="G5896" i="2" s="1"/>
  <c r="F5895" i="2"/>
  <c r="G5895" i="2" s="1"/>
  <c r="F5894" i="2"/>
  <c r="G5894" i="2" s="1"/>
  <c r="F5893" i="2"/>
  <c r="G5893" i="2" s="1"/>
  <c r="F5892" i="2"/>
  <c r="G5892" i="2" s="1"/>
  <c r="F5891" i="2"/>
  <c r="G5891" i="2" s="1"/>
  <c r="F5890" i="2"/>
  <c r="G5890" i="2" s="1"/>
  <c r="F5889" i="2"/>
  <c r="G5889" i="2" s="1"/>
  <c r="F5888" i="2"/>
  <c r="G5888" i="2" s="1"/>
  <c r="F5887" i="2"/>
  <c r="G5887" i="2" s="1"/>
  <c r="F5886" i="2"/>
  <c r="G5886" i="2" s="1"/>
  <c r="F5885" i="2"/>
  <c r="G5885" i="2" s="1"/>
  <c r="F5884" i="2"/>
  <c r="G5884" i="2" s="1"/>
  <c r="F5883" i="2"/>
  <c r="G5883" i="2" s="1"/>
  <c r="F5882" i="2"/>
  <c r="G5882" i="2" s="1"/>
  <c r="F5881" i="2"/>
  <c r="G5881" i="2" s="1"/>
  <c r="F5880" i="2"/>
  <c r="G5880" i="2" s="1"/>
  <c r="F5879" i="2"/>
  <c r="G5879" i="2" s="1"/>
  <c r="F5878" i="2"/>
  <c r="G5878" i="2" s="1"/>
  <c r="F5877" i="2"/>
  <c r="G5877" i="2" s="1"/>
  <c r="F5876" i="2"/>
  <c r="G5876" i="2" s="1"/>
  <c r="F5875" i="2"/>
  <c r="G5875" i="2" s="1"/>
  <c r="F5874" i="2"/>
  <c r="G5874" i="2" s="1"/>
  <c r="F5873" i="2"/>
  <c r="G5873" i="2" s="1"/>
  <c r="F5872" i="2"/>
  <c r="G5872" i="2" s="1"/>
  <c r="F5871" i="2"/>
  <c r="G5871" i="2" s="1"/>
  <c r="F5870" i="2"/>
  <c r="G5870" i="2" s="1"/>
  <c r="F5869" i="2"/>
  <c r="G5869" i="2" s="1"/>
  <c r="F5868" i="2"/>
  <c r="G5868" i="2" s="1"/>
  <c r="F5867" i="2"/>
  <c r="G5867" i="2" s="1"/>
  <c r="F5866" i="2"/>
  <c r="G5866" i="2" s="1"/>
  <c r="F5865" i="2"/>
  <c r="G5865" i="2" s="1"/>
  <c r="F5864" i="2"/>
  <c r="G5864" i="2" s="1"/>
  <c r="F5863" i="2"/>
  <c r="G5863" i="2" s="1"/>
  <c r="F5862" i="2"/>
  <c r="G5862" i="2" s="1"/>
  <c r="F5861" i="2"/>
  <c r="G5861" i="2" s="1"/>
  <c r="F5860" i="2"/>
  <c r="G5860" i="2" s="1"/>
  <c r="F5859" i="2"/>
  <c r="G5859" i="2" s="1"/>
  <c r="F5858" i="2"/>
  <c r="G5858" i="2" s="1"/>
  <c r="F5857" i="2"/>
  <c r="G5857" i="2" s="1"/>
  <c r="F5856" i="2"/>
  <c r="G5856" i="2" s="1"/>
  <c r="F5855" i="2"/>
  <c r="G5855" i="2" s="1"/>
  <c r="F5854" i="2"/>
  <c r="G5854" i="2" s="1"/>
  <c r="F5853" i="2"/>
  <c r="G5853" i="2" s="1"/>
  <c r="F5852" i="2"/>
  <c r="G5852" i="2" s="1"/>
  <c r="F5851" i="2"/>
  <c r="G5851" i="2" s="1"/>
  <c r="F5850" i="2"/>
  <c r="G5850" i="2" s="1"/>
  <c r="F5849" i="2"/>
  <c r="G5849" i="2" s="1"/>
  <c r="F5848" i="2"/>
  <c r="G5848" i="2" s="1"/>
  <c r="F5847" i="2"/>
  <c r="G5847" i="2" s="1"/>
  <c r="F5846" i="2"/>
  <c r="G5846" i="2" s="1"/>
  <c r="F5845" i="2"/>
  <c r="G5845" i="2" s="1"/>
  <c r="F5844" i="2"/>
  <c r="G5844" i="2" s="1"/>
  <c r="F5843" i="2"/>
  <c r="G5843" i="2" s="1"/>
  <c r="F5842" i="2"/>
  <c r="G5842" i="2" s="1"/>
  <c r="F5841" i="2"/>
  <c r="G5841" i="2" s="1"/>
  <c r="F5840" i="2"/>
  <c r="G5840" i="2" s="1"/>
  <c r="F5839" i="2"/>
  <c r="G5839" i="2" s="1"/>
  <c r="F5838" i="2"/>
  <c r="G5838" i="2" s="1"/>
  <c r="F5837" i="2"/>
  <c r="G5837" i="2" s="1"/>
  <c r="F5836" i="2"/>
  <c r="G5836" i="2" s="1"/>
  <c r="F5835" i="2"/>
  <c r="G5835" i="2" s="1"/>
  <c r="F5834" i="2"/>
  <c r="G5834" i="2" s="1"/>
  <c r="F5833" i="2"/>
  <c r="G5833" i="2" s="1"/>
  <c r="F5832" i="2"/>
  <c r="G5832" i="2" s="1"/>
  <c r="F5831" i="2"/>
  <c r="G5831" i="2" s="1"/>
  <c r="F5830" i="2"/>
  <c r="G5830" i="2" s="1"/>
  <c r="F5829" i="2"/>
  <c r="G5829" i="2" s="1"/>
  <c r="F5828" i="2"/>
  <c r="G5828" i="2" s="1"/>
  <c r="F5827" i="2"/>
  <c r="G5827" i="2" s="1"/>
  <c r="F5826" i="2"/>
  <c r="G5826" i="2" s="1"/>
  <c r="F5825" i="2"/>
  <c r="G5825" i="2" s="1"/>
  <c r="F5824" i="2"/>
  <c r="G5824" i="2" s="1"/>
  <c r="F5823" i="2"/>
  <c r="G5823" i="2" s="1"/>
  <c r="F5822" i="2"/>
  <c r="G5822" i="2" s="1"/>
  <c r="F5821" i="2"/>
  <c r="G5821" i="2" s="1"/>
  <c r="F5820" i="2"/>
  <c r="G5820" i="2" s="1"/>
  <c r="F5819" i="2"/>
  <c r="G5819" i="2" s="1"/>
  <c r="F5818" i="2"/>
  <c r="G5818" i="2" s="1"/>
  <c r="F5817" i="2"/>
  <c r="G5817" i="2" s="1"/>
  <c r="F5816" i="2"/>
  <c r="G5816" i="2" s="1"/>
  <c r="F5815" i="2"/>
  <c r="G5815" i="2" s="1"/>
  <c r="F5814" i="2"/>
  <c r="G5814" i="2" s="1"/>
  <c r="F5813" i="2"/>
  <c r="G5813" i="2" s="1"/>
  <c r="F5812" i="2"/>
  <c r="G5812" i="2" s="1"/>
  <c r="F5811" i="2"/>
  <c r="G5811" i="2" s="1"/>
  <c r="F5810" i="2"/>
  <c r="G5810" i="2" s="1"/>
  <c r="F5809" i="2"/>
  <c r="G5809" i="2" s="1"/>
  <c r="F5808" i="2"/>
  <c r="G5808" i="2" s="1"/>
  <c r="F5807" i="2"/>
  <c r="G5807" i="2" s="1"/>
  <c r="F5806" i="2"/>
  <c r="G5806" i="2" s="1"/>
  <c r="F5805" i="2"/>
  <c r="G5805" i="2" s="1"/>
  <c r="F5804" i="2"/>
  <c r="G5804" i="2" s="1"/>
  <c r="F5803" i="2"/>
  <c r="G5803" i="2" s="1"/>
  <c r="F5802" i="2"/>
  <c r="G5802" i="2" s="1"/>
  <c r="F5801" i="2"/>
  <c r="G5801" i="2" s="1"/>
  <c r="F5800" i="2"/>
  <c r="G5800" i="2" s="1"/>
  <c r="F5799" i="2"/>
  <c r="G5799" i="2" s="1"/>
  <c r="F5798" i="2"/>
  <c r="G5798" i="2" s="1"/>
  <c r="F5797" i="2"/>
  <c r="G5797" i="2" s="1"/>
  <c r="F5796" i="2"/>
  <c r="G5796" i="2" s="1"/>
  <c r="F5795" i="2"/>
  <c r="G5795" i="2" s="1"/>
  <c r="F5794" i="2"/>
  <c r="G5794" i="2" s="1"/>
  <c r="F5793" i="2"/>
  <c r="G5793" i="2" s="1"/>
  <c r="F5792" i="2"/>
  <c r="G5792" i="2" s="1"/>
  <c r="F5791" i="2"/>
  <c r="G5791" i="2" s="1"/>
  <c r="F5790" i="2"/>
  <c r="G5790" i="2" s="1"/>
  <c r="F5789" i="2"/>
  <c r="G5789" i="2" s="1"/>
  <c r="F5788" i="2"/>
  <c r="G5788" i="2" s="1"/>
  <c r="F5787" i="2"/>
  <c r="G5787" i="2" s="1"/>
  <c r="F5786" i="2"/>
  <c r="G5786" i="2" s="1"/>
  <c r="F5785" i="2"/>
  <c r="G5785" i="2" s="1"/>
  <c r="F5784" i="2"/>
  <c r="G5784" i="2" s="1"/>
  <c r="F5783" i="2"/>
  <c r="G5783" i="2" s="1"/>
  <c r="F5782" i="2"/>
  <c r="G5782" i="2" s="1"/>
  <c r="F5781" i="2"/>
  <c r="G5781" i="2" s="1"/>
  <c r="F5780" i="2"/>
  <c r="G5780" i="2" s="1"/>
  <c r="F5779" i="2"/>
  <c r="G5779" i="2" s="1"/>
  <c r="F5778" i="2"/>
  <c r="G5778" i="2" s="1"/>
  <c r="F5777" i="2"/>
  <c r="G5777" i="2" s="1"/>
  <c r="F5776" i="2"/>
  <c r="G5776" i="2" s="1"/>
  <c r="F5775" i="2"/>
  <c r="G5775" i="2" s="1"/>
  <c r="F5774" i="2"/>
  <c r="G5774" i="2" s="1"/>
  <c r="F5773" i="2"/>
  <c r="G5773" i="2" s="1"/>
  <c r="F5772" i="2"/>
  <c r="G5772" i="2" s="1"/>
  <c r="F5771" i="2"/>
  <c r="G5771" i="2" s="1"/>
  <c r="F5770" i="2"/>
  <c r="G5770" i="2" s="1"/>
  <c r="F5769" i="2"/>
  <c r="G5769" i="2" s="1"/>
  <c r="F5768" i="2"/>
  <c r="G5768" i="2" s="1"/>
  <c r="F5767" i="2"/>
  <c r="G5767" i="2" s="1"/>
  <c r="F5766" i="2"/>
  <c r="G5766" i="2" s="1"/>
  <c r="F5765" i="2"/>
  <c r="G5765" i="2" s="1"/>
  <c r="F5764" i="2"/>
  <c r="G5764" i="2" s="1"/>
  <c r="F5763" i="2"/>
  <c r="G5763" i="2" s="1"/>
  <c r="F5762" i="2"/>
  <c r="G5762" i="2" s="1"/>
  <c r="F5761" i="2"/>
  <c r="G5761" i="2" s="1"/>
  <c r="F5760" i="2"/>
  <c r="G5760" i="2" s="1"/>
  <c r="F5759" i="2"/>
  <c r="G5759" i="2" s="1"/>
  <c r="F5758" i="2"/>
  <c r="G5758" i="2" s="1"/>
  <c r="F5757" i="2"/>
  <c r="G5757" i="2" s="1"/>
  <c r="F5756" i="2"/>
  <c r="G5756" i="2" s="1"/>
  <c r="F5755" i="2"/>
  <c r="G5755" i="2" s="1"/>
  <c r="F5754" i="2"/>
  <c r="G5754" i="2" s="1"/>
  <c r="F5753" i="2"/>
  <c r="G5753" i="2" s="1"/>
  <c r="F5752" i="2"/>
  <c r="G5752" i="2" s="1"/>
  <c r="F5751" i="2"/>
  <c r="G5751" i="2" s="1"/>
  <c r="F5750" i="2"/>
  <c r="G5750" i="2" s="1"/>
  <c r="F5749" i="2"/>
  <c r="G5749" i="2" s="1"/>
  <c r="F5748" i="2"/>
  <c r="G5748" i="2" s="1"/>
  <c r="F5747" i="2"/>
  <c r="G5747" i="2" s="1"/>
  <c r="F5746" i="2"/>
  <c r="G5746" i="2" s="1"/>
  <c r="F5745" i="2"/>
  <c r="G5745" i="2" s="1"/>
  <c r="F5744" i="2"/>
  <c r="G5744" i="2" s="1"/>
  <c r="F5743" i="2"/>
  <c r="G5743" i="2" s="1"/>
  <c r="F5742" i="2"/>
  <c r="G5742" i="2" s="1"/>
  <c r="F5741" i="2"/>
  <c r="G5741" i="2" s="1"/>
  <c r="F5740" i="2"/>
  <c r="G5740" i="2" s="1"/>
  <c r="F5739" i="2"/>
  <c r="G5739" i="2" s="1"/>
  <c r="F5738" i="2"/>
  <c r="G5738" i="2" s="1"/>
  <c r="F5737" i="2"/>
  <c r="G5737" i="2" s="1"/>
  <c r="F5736" i="2"/>
  <c r="G5736" i="2" s="1"/>
  <c r="F5735" i="2"/>
  <c r="G5735" i="2" s="1"/>
  <c r="F5734" i="2"/>
  <c r="G5734" i="2" s="1"/>
  <c r="F5733" i="2"/>
  <c r="G5733" i="2" s="1"/>
  <c r="F5732" i="2"/>
  <c r="G5732" i="2" s="1"/>
  <c r="F5731" i="2"/>
  <c r="G5731" i="2" s="1"/>
  <c r="F5730" i="2"/>
  <c r="G5730" i="2" s="1"/>
  <c r="F5729" i="2"/>
  <c r="G5729" i="2" s="1"/>
  <c r="F5728" i="2"/>
  <c r="G5728" i="2" s="1"/>
  <c r="F5727" i="2"/>
  <c r="G5727" i="2" s="1"/>
  <c r="F5726" i="2"/>
  <c r="G5726" i="2" s="1"/>
  <c r="F5725" i="2"/>
  <c r="G5725" i="2" s="1"/>
  <c r="F5724" i="2"/>
  <c r="G5724" i="2" s="1"/>
  <c r="F5723" i="2"/>
  <c r="G5723" i="2" s="1"/>
  <c r="F5722" i="2"/>
  <c r="G5722" i="2" s="1"/>
  <c r="F5721" i="2"/>
  <c r="G5721" i="2" s="1"/>
  <c r="F5720" i="2"/>
  <c r="G5720" i="2" s="1"/>
  <c r="F5719" i="2"/>
  <c r="G5719" i="2" s="1"/>
  <c r="F5718" i="2"/>
  <c r="G5718" i="2" s="1"/>
  <c r="F5717" i="2"/>
  <c r="G5717" i="2" s="1"/>
  <c r="F5716" i="2"/>
  <c r="G5716" i="2" s="1"/>
  <c r="F5715" i="2"/>
  <c r="G5715" i="2" s="1"/>
  <c r="F5714" i="2"/>
  <c r="G5714" i="2" s="1"/>
  <c r="F5713" i="2"/>
  <c r="G5713" i="2" s="1"/>
  <c r="F5712" i="2"/>
  <c r="G5712" i="2" s="1"/>
  <c r="F5711" i="2"/>
  <c r="G5711" i="2" s="1"/>
  <c r="F5710" i="2"/>
  <c r="G5710" i="2" s="1"/>
  <c r="F5709" i="2"/>
  <c r="G5709" i="2" s="1"/>
  <c r="F5708" i="2"/>
  <c r="G5708" i="2" s="1"/>
  <c r="F5707" i="2"/>
  <c r="G5707" i="2" s="1"/>
  <c r="F5706" i="2"/>
  <c r="G5706" i="2" s="1"/>
  <c r="F5705" i="2"/>
  <c r="G5705" i="2" s="1"/>
  <c r="F5704" i="2"/>
  <c r="G5704" i="2" s="1"/>
  <c r="F5703" i="2"/>
  <c r="G5703" i="2" s="1"/>
  <c r="F5702" i="2"/>
  <c r="G5702" i="2" s="1"/>
  <c r="F5701" i="2"/>
  <c r="G5701" i="2" s="1"/>
  <c r="F5700" i="2"/>
  <c r="G5700" i="2" s="1"/>
  <c r="F5699" i="2"/>
  <c r="G5699" i="2" s="1"/>
  <c r="F5698" i="2"/>
  <c r="G5698" i="2" s="1"/>
  <c r="F5697" i="2"/>
  <c r="G5697" i="2" s="1"/>
  <c r="F5696" i="2"/>
  <c r="G5696" i="2" s="1"/>
  <c r="F5695" i="2"/>
  <c r="G5695" i="2" s="1"/>
  <c r="F5694" i="2"/>
  <c r="G5694" i="2" s="1"/>
  <c r="F5693" i="2"/>
  <c r="G5693" i="2" s="1"/>
  <c r="F5692" i="2"/>
  <c r="G5692" i="2" s="1"/>
  <c r="F5691" i="2"/>
  <c r="G5691" i="2" s="1"/>
  <c r="F5690" i="2"/>
  <c r="G5690" i="2" s="1"/>
  <c r="F5689" i="2"/>
  <c r="G5689" i="2" s="1"/>
  <c r="F5688" i="2"/>
  <c r="G5688" i="2" s="1"/>
  <c r="F5687" i="2"/>
  <c r="G5687" i="2" s="1"/>
  <c r="F5686" i="2"/>
  <c r="G5686" i="2" s="1"/>
  <c r="F5685" i="2"/>
  <c r="G5685" i="2" s="1"/>
  <c r="F5684" i="2"/>
  <c r="G5684" i="2" s="1"/>
  <c r="F5683" i="2"/>
  <c r="G5683" i="2" s="1"/>
  <c r="F5682" i="2"/>
  <c r="G5682" i="2" s="1"/>
  <c r="F5681" i="2"/>
  <c r="G5681" i="2" s="1"/>
  <c r="F5680" i="2"/>
  <c r="G5680" i="2" s="1"/>
  <c r="F5679" i="2"/>
  <c r="G5679" i="2" s="1"/>
  <c r="F5678" i="2"/>
  <c r="G5678" i="2" s="1"/>
  <c r="F5677" i="2"/>
  <c r="G5677" i="2" s="1"/>
  <c r="F5676" i="2"/>
  <c r="G5676" i="2" s="1"/>
  <c r="F5675" i="2"/>
  <c r="G5675" i="2" s="1"/>
  <c r="F5674" i="2"/>
  <c r="G5674" i="2" s="1"/>
  <c r="F5673" i="2"/>
  <c r="G5673" i="2" s="1"/>
  <c r="F5672" i="2"/>
  <c r="G5672" i="2" s="1"/>
  <c r="F5671" i="2"/>
  <c r="G5671" i="2" s="1"/>
  <c r="F5670" i="2"/>
  <c r="G5670" i="2" s="1"/>
  <c r="F5669" i="2"/>
  <c r="G5669" i="2" s="1"/>
  <c r="F5668" i="2"/>
  <c r="G5668" i="2" s="1"/>
  <c r="F5667" i="2"/>
  <c r="G5667" i="2" s="1"/>
  <c r="F5666" i="2"/>
  <c r="G5666" i="2" s="1"/>
  <c r="F5665" i="2"/>
  <c r="G5665" i="2" s="1"/>
  <c r="F5664" i="2"/>
  <c r="G5664" i="2" s="1"/>
  <c r="F5663" i="2"/>
  <c r="G5663" i="2" s="1"/>
  <c r="F5662" i="2"/>
  <c r="G5662" i="2" s="1"/>
  <c r="F5661" i="2"/>
  <c r="G5661" i="2" s="1"/>
  <c r="F5660" i="2"/>
  <c r="G5660" i="2" s="1"/>
  <c r="F5659" i="2"/>
  <c r="G5659" i="2" s="1"/>
  <c r="F5658" i="2"/>
  <c r="G5658" i="2" s="1"/>
  <c r="F5657" i="2"/>
  <c r="G5657" i="2" s="1"/>
  <c r="F5656" i="2"/>
  <c r="G5656" i="2" s="1"/>
  <c r="F5655" i="2"/>
  <c r="G5655" i="2" s="1"/>
  <c r="F5654" i="2"/>
  <c r="G5654" i="2" s="1"/>
  <c r="F5653" i="2"/>
  <c r="G5653" i="2" s="1"/>
  <c r="F5652" i="2"/>
  <c r="G5652" i="2" s="1"/>
  <c r="F5651" i="2"/>
  <c r="G5651" i="2" s="1"/>
  <c r="F5650" i="2"/>
  <c r="G5650" i="2" s="1"/>
  <c r="F5649" i="2"/>
  <c r="G5649" i="2" s="1"/>
  <c r="F5648" i="2"/>
  <c r="G5648" i="2" s="1"/>
  <c r="F5647" i="2"/>
  <c r="G5647" i="2" s="1"/>
  <c r="F5646" i="2"/>
  <c r="G5646" i="2" s="1"/>
  <c r="F5645" i="2"/>
  <c r="G5645" i="2" s="1"/>
  <c r="F5644" i="2"/>
  <c r="G5644" i="2" s="1"/>
  <c r="F5643" i="2"/>
  <c r="G5643" i="2" s="1"/>
  <c r="F5642" i="2"/>
  <c r="G5642" i="2" s="1"/>
  <c r="F5641" i="2"/>
  <c r="G5641" i="2" s="1"/>
  <c r="F5640" i="2"/>
  <c r="G5640" i="2" s="1"/>
  <c r="F5639" i="2"/>
  <c r="G5639" i="2" s="1"/>
  <c r="F5638" i="2"/>
  <c r="G5638" i="2" s="1"/>
  <c r="F5637" i="2"/>
  <c r="G5637" i="2" s="1"/>
  <c r="F5636" i="2"/>
  <c r="G5636" i="2" s="1"/>
  <c r="F5635" i="2"/>
  <c r="G5635" i="2" s="1"/>
  <c r="F5634" i="2"/>
  <c r="G5634" i="2" s="1"/>
  <c r="F5633" i="2"/>
  <c r="G5633" i="2" s="1"/>
  <c r="F5632" i="2"/>
  <c r="G5632" i="2" s="1"/>
  <c r="F5631" i="2"/>
  <c r="G5631" i="2" s="1"/>
  <c r="F5630" i="2"/>
  <c r="G5630" i="2" s="1"/>
  <c r="F5629" i="2"/>
  <c r="G5629" i="2" s="1"/>
  <c r="F5628" i="2"/>
  <c r="G5628" i="2" s="1"/>
  <c r="F5627" i="2"/>
  <c r="G5627" i="2" s="1"/>
  <c r="F5626" i="2"/>
  <c r="G5626" i="2" s="1"/>
  <c r="F5625" i="2"/>
  <c r="G5625" i="2" s="1"/>
  <c r="F5624" i="2"/>
  <c r="G5624" i="2" s="1"/>
  <c r="F5623" i="2"/>
  <c r="G5623" i="2" s="1"/>
  <c r="F5622" i="2"/>
  <c r="G5622" i="2" s="1"/>
  <c r="F5621" i="2"/>
  <c r="G5621" i="2" s="1"/>
  <c r="F5620" i="2"/>
  <c r="G5620" i="2" s="1"/>
  <c r="F5619" i="2"/>
  <c r="G5619" i="2" s="1"/>
  <c r="F5618" i="2"/>
  <c r="G5618" i="2" s="1"/>
  <c r="F5617" i="2"/>
  <c r="G5617" i="2" s="1"/>
  <c r="F5616" i="2"/>
  <c r="G5616" i="2" s="1"/>
  <c r="F5615" i="2"/>
  <c r="G5615" i="2" s="1"/>
  <c r="F5614" i="2"/>
  <c r="G5614" i="2" s="1"/>
  <c r="F5613" i="2"/>
  <c r="G5613" i="2" s="1"/>
  <c r="F5612" i="2"/>
  <c r="G5612" i="2" s="1"/>
  <c r="F5611" i="2"/>
  <c r="G5611" i="2" s="1"/>
  <c r="F5610" i="2"/>
  <c r="G5610" i="2" s="1"/>
  <c r="F5609" i="2"/>
  <c r="G5609" i="2" s="1"/>
  <c r="F5608" i="2"/>
  <c r="G5608" i="2" s="1"/>
  <c r="F5607" i="2"/>
  <c r="G5607" i="2" s="1"/>
  <c r="F5606" i="2"/>
  <c r="G5606" i="2" s="1"/>
  <c r="F5605" i="2"/>
  <c r="G5605" i="2" s="1"/>
  <c r="F5604" i="2"/>
  <c r="G5604" i="2" s="1"/>
  <c r="F5603" i="2"/>
  <c r="G5603" i="2" s="1"/>
  <c r="F5602" i="2"/>
  <c r="G5602" i="2" s="1"/>
  <c r="F5601" i="2"/>
  <c r="G5601" i="2" s="1"/>
  <c r="F5600" i="2"/>
  <c r="G5600" i="2" s="1"/>
  <c r="F5599" i="2"/>
  <c r="G5599" i="2" s="1"/>
  <c r="F5598" i="2"/>
  <c r="G5598" i="2" s="1"/>
  <c r="F5597" i="2"/>
  <c r="G5597" i="2" s="1"/>
  <c r="F5596" i="2"/>
  <c r="G5596" i="2" s="1"/>
  <c r="F5595" i="2"/>
  <c r="G5595" i="2" s="1"/>
  <c r="F5594" i="2"/>
  <c r="G5594" i="2" s="1"/>
  <c r="F5593" i="2"/>
  <c r="G5593" i="2" s="1"/>
  <c r="F5592" i="2"/>
  <c r="G5592" i="2" s="1"/>
  <c r="F5591" i="2"/>
  <c r="G5591" i="2" s="1"/>
  <c r="F5590" i="2"/>
  <c r="G5590" i="2" s="1"/>
  <c r="F5589" i="2"/>
  <c r="G5589" i="2" s="1"/>
  <c r="F5588" i="2"/>
  <c r="G5588" i="2" s="1"/>
  <c r="F5587" i="2"/>
  <c r="G5587" i="2" s="1"/>
  <c r="F5586" i="2"/>
  <c r="G5586" i="2" s="1"/>
  <c r="F5585" i="2"/>
  <c r="G5585" i="2" s="1"/>
  <c r="F5584" i="2"/>
  <c r="G5584" i="2" s="1"/>
  <c r="F5583" i="2"/>
  <c r="G5583" i="2" s="1"/>
  <c r="F5582" i="2"/>
  <c r="G5582" i="2" s="1"/>
  <c r="F5581" i="2"/>
  <c r="G5581" i="2" s="1"/>
  <c r="F5580" i="2"/>
  <c r="G5580" i="2" s="1"/>
  <c r="F5579" i="2"/>
  <c r="G5579" i="2" s="1"/>
  <c r="F5578" i="2"/>
  <c r="G5578" i="2" s="1"/>
  <c r="F5577" i="2"/>
  <c r="G5577" i="2" s="1"/>
  <c r="F5576" i="2"/>
  <c r="G5576" i="2" s="1"/>
  <c r="F5575" i="2"/>
  <c r="G5575" i="2" s="1"/>
  <c r="F5574" i="2"/>
  <c r="G5574" i="2" s="1"/>
  <c r="F5573" i="2"/>
  <c r="G5573" i="2" s="1"/>
  <c r="F5572" i="2"/>
  <c r="G5572" i="2" s="1"/>
  <c r="F5571" i="2"/>
  <c r="G5571" i="2" s="1"/>
  <c r="F5570" i="2"/>
  <c r="G5570" i="2" s="1"/>
  <c r="F5569" i="2"/>
  <c r="G5569" i="2" s="1"/>
  <c r="F5568" i="2"/>
  <c r="G5568" i="2" s="1"/>
  <c r="F5567" i="2"/>
  <c r="G5567" i="2" s="1"/>
  <c r="F5566" i="2"/>
  <c r="G5566" i="2" s="1"/>
  <c r="F5565" i="2"/>
  <c r="G5565" i="2" s="1"/>
  <c r="F5564" i="2"/>
  <c r="G5564" i="2" s="1"/>
  <c r="F5563" i="2"/>
  <c r="G5563" i="2" s="1"/>
  <c r="F5562" i="2"/>
  <c r="G5562" i="2" s="1"/>
  <c r="F5561" i="2"/>
  <c r="G5561" i="2" s="1"/>
  <c r="F5560" i="2"/>
  <c r="G5560" i="2" s="1"/>
  <c r="F5559" i="2"/>
  <c r="G5559" i="2" s="1"/>
  <c r="F5558" i="2"/>
  <c r="G5558" i="2" s="1"/>
  <c r="F5557" i="2"/>
  <c r="G5557" i="2" s="1"/>
  <c r="F5556" i="2"/>
  <c r="G5556" i="2" s="1"/>
  <c r="F5555" i="2"/>
  <c r="G5555" i="2" s="1"/>
  <c r="F5554" i="2"/>
  <c r="G5554" i="2" s="1"/>
  <c r="F5553" i="2"/>
  <c r="G5553" i="2" s="1"/>
  <c r="F5552" i="2"/>
  <c r="G5552" i="2" s="1"/>
  <c r="F5551" i="2"/>
  <c r="G5551" i="2" s="1"/>
  <c r="F5550" i="2"/>
  <c r="G5550" i="2" s="1"/>
  <c r="F5549" i="2"/>
  <c r="G5549" i="2" s="1"/>
  <c r="F5548" i="2"/>
  <c r="G5548" i="2" s="1"/>
  <c r="F5547" i="2"/>
  <c r="G5547" i="2" s="1"/>
  <c r="F5546" i="2"/>
  <c r="G5546" i="2" s="1"/>
  <c r="F5545" i="2"/>
  <c r="G5545" i="2" s="1"/>
  <c r="F5544" i="2"/>
  <c r="G5544" i="2" s="1"/>
  <c r="F5543" i="2"/>
  <c r="G5543" i="2" s="1"/>
  <c r="F5542" i="2"/>
  <c r="G5542" i="2" s="1"/>
  <c r="F5541" i="2"/>
  <c r="G5541" i="2" s="1"/>
  <c r="F5540" i="2"/>
  <c r="G5540" i="2" s="1"/>
  <c r="F5539" i="2"/>
  <c r="G5539" i="2" s="1"/>
  <c r="F5538" i="2"/>
  <c r="G5538" i="2" s="1"/>
  <c r="F5537" i="2"/>
  <c r="G5537" i="2" s="1"/>
  <c r="F5536" i="2"/>
  <c r="G5536" i="2" s="1"/>
  <c r="F5535" i="2"/>
  <c r="G5535" i="2" s="1"/>
  <c r="F5534" i="2"/>
  <c r="G5534" i="2" s="1"/>
  <c r="F5533" i="2"/>
  <c r="G5533" i="2" s="1"/>
  <c r="F5532" i="2"/>
  <c r="G5532" i="2" s="1"/>
  <c r="F5531" i="2"/>
  <c r="G5531" i="2" s="1"/>
  <c r="F5530" i="2"/>
  <c r="G5530" i="2" s="1"/>
  <c r="F5529" i="2"/>
  <c r="G5529" i="2" s="1"/>
  <c r="H440" i="1" s="1"/>
  <c r="F5528" i="2"/>
  <c r="G5528" i="2" s="1"/>
  <c r="F5527" i="2"/>
  <c r="G5527" i="2" s="1"/>
  <c r="H505" i="1" s="1"/>
  <c r="F5526" i="2"/>
  <c r="G5526" i="2" s="1"/>
  <c r="F5525" i="2"/>
  <c r="G5525" i="2" s="1"/>
  <c r="F5524" i="2"/>
  <c r="G5524" i="2" s="1"/>
  <c r="F5523" i="2"/>
  <c r="G5523" i="2" s="1"/>
  <c r="F5522" i="2"/>
  <c r="G5522" i="2" s="1"/>
  <c r="F5521" i="2"/>
  <c r="G5521" i="2" s="1"/>
  <c r="F5520" i="2"/>
  <c r="G5520" i="2" s="1"/>
  <c r="F5519" i="2"/>
  <c r="G5519" i="2" s="1"/>
  <c r="F5518" i="2"/>
  <c r="G5518" i="2" s="1"/>
  <c r="F5517" i="2"/>
  <c r="G5517" i="2" s="1"/>
  <c r="F5516" i="2"/>
  <c r="G5516" i="2" s="1"/>
  <c r="F5515" i="2"/>
  <c r="G5515" i="2" s="1"/>
  <c r="F5514" i="2"/>
  <c r="G5514" i="2" s="1"/>
  <c r="F5513" i="2"/>
  <c r="G5513" i="2" s="1"/>
  <c r="F5512" i="2"/>
  <c r="G5512" i="2" s="1"/>
  <c r="F5511" i="2"/>
  <c r="G5511" i="2" s="1"/>
  <c r="F5510" i="2"/>
  <c r="G5510" i="2" s="1"/>
  <c r="F5509" i="2"/>
  <c r="G5509" i="2" s="1"/>
  <c r="H777" i="1" s="1"/>
  <c r="F5508" i="2"/>
  <c r="G5508" i="2" s="1"/>
  <c r="F5507" i="2"/>
  <c r="G5507" i="2" s="1"/>
  <c r="F5506" i="2"/>
  <c r="G5506" i="2" s="1"/>
  <c r="H1359" i="1" s="1"/>
  <c r="F5505" i="2"/>
  <c r="G5505" i="2" s="1"/>
  <c r="F5504" i="2"/>
  <c r="G5504" i="2" s="1"/>
  <c r="F5503" i="2"/>
  <c r="G5503" i="2" s="1"/>
  <c r="F5502" i="2"/>
  <c r="G5502" i="2" s="1"/>
  <c r="F5501" i="2"/>
  <c r="G5501" i="2" s="1"/>
  <c r="F5500" i="2"/>
  <c r="G5500" i="2" s="1"/>
  <c r="F5499" i="2"/>
  <c r="G5499" i="2" s="1"/>
  <c r="F5498" i="2"/>
  <c r="G5498" i="2" s="1"/>
  <c r="F5497" i="2"/>
  <c r="G5497" i="2" s="1"/>
  <c r="F5496" i="2"/>
  <c r="G5496" i="2" s="1"/>
  <c r="F5495" i="2"/>
  <c r="G5495" i="2" s="1"/>
  <c r="F5494" i="2"/>
  <c r="G5494" i="2" s="1"/>
  <c r="F5493" i="2"/>
  <c r="G5493" i="2" s="1"/>
  <c r="F5492" i="2"/>
  <c r="G5492" i="2" s="1"/>
  <c r="F5491" i="2"/>
  <c r="G5491" i="2" s="1"/>
  <c r="F5490" i="2"/>
  <c r="G5490" i="2" s="1"/>
  <c r="F5489" i="2"/>
  <c r="G5489" i="2" s="1"/>
  <c r="F5488" i="2"/>
  <c r="G5488" i="2" s="1"/>
  <c r="F5487" i="2"/>
  <c r="G5487" i="2" s="1"/>
  <c r="F5486" i="2"/>
  <c r="G5486" i="2" s="1"/>
  <c r="F5485" i="2"/>
  <c r="G5485" i="2" s="1"/>
  <c r="F5484" i="2"/>
  <c r="G5484" i="2" s="1"/>
  <c r="F5483" i="2"/>
  <c r="G5483" i="2" s="1"/>
  <c r="F5482" i="2"/>
  <c r="G5482" i="2" s="1"/>
  <c r="F5481" i="2"/>
  <c r="G5481" i="2" s="1"/>
  <c r="F5480" i="2"/>
  <c r="G5480" i="2" s="1"/>
  <c r="F5479" i="2"/>
  <c r="G5479" i="2" s="1"/>
  <c r="F5478" i="2"/>
  <c r="G5478" i="2" s="1"/>
  <c r="F5477" i="2"/>
  <c r="G5477" i="2" s="1"/>
  <c r="F5476" i="2"/>
  <c r="G5476" i="2" s="1"/>
  <c r="F5475" i="2"/>
  <c r="G5475" i="2" s="1"/>
  <c r="F5474" i="2"/>
  <c r="G5474" i="2" s="1"/>
  <c r="F5473" i="2"/>
  <c r="G5473" i="2" s="1"/>
  <c r="F5472" i="2"/>
  <c r="G5472" i="2" s="1"/>
  <c r="F5471" i="2"/>
  <c r="G5471" i="2" s="1"/>
  <c r="F5470" i="2"/>
  <c r="G5470" i="2" s="1"/>
  <c r="F5469" i="2"/>
  <c r="G5469" i="2" s="1"/>
  <c r="F5468" i="2"/>
  <c r="G5468" i="2" s="1"/>
  <c r="F5467" i="2"/>
  <c r="G5467" i="2" s="1"/>
  <c r="F5466" i="2"/>
  <c r="G5466" i="2" s="1"/>
  <c r="F5465" i="2"/>
  <c r="G5465" i="2" s="1"/>
  <c r="F5464" i="2"/>
  <c r="G5464" i="2" s="1"/>
  <c r="F5463" i="2"/>
  <c r="G5463" i="2" s="1"/>
  <c r="F5462" i="2"/>
  <c r="G5462" i="2" s="1"/>
  <c r="F5461" i="2"/>
  <c r="G5461" i="2" s="1"/>
  <c r="F5460" i="2"/>
  <c r="G5460" i="2" s="1"/>
  <c r="F5459" i="2"/>
  <c r="G5459" i="2" s="1"/>
  <c r="F5458" i="2"/>
  <c r="G5458" i="2" s="1"/>
  <c r="F5457" i="2"/>
  <c r="G5457" i="2" s="1"/>
  <c r="F5456" i="2"/>
  <c r="G5456" i="2" s="1"/>
  <c r="F5455" i="2"/>
  <c r="G5455" i="2" s="1"/>
  <c r="F5454" i="2"/>
  <c r="G5454" i="2" s="1"/>
  <c r="F5453" i="2"/>
  <c r="G5453" i="2" s="1"/>
  <c r="F5452" i="2"/>
  <c r="G5452" i="2" s="1"/>
  <c r="F5451" i="2"/>
  <c r="G5451" i="2" s="1"/>
  <c r="F5450" i="2"/>
  <c r="G5450" i="2" s="1"/>
  <c r="F5449" i="2"/>
  <c r="G5449" i="2" s="1"/>
  <c r="F5448" i="2"/>
  <c r="G5448" i="2" s="1"/>
  <c r="F5447" i="2"/>
  <c r="G5447" i="2" s="1"/>
  <c r="F5446" i="2"/>
  <c r="G5446" i="2" s="1"/>
  <c r="F5445" i="2"/>
  <c r="G5445" i="2" s="1"/>
  <c r="F5444" i="2"/>
  <c r="G5444" i="2" s="1"/>
  <c r="F5443" i="2"/>
  <c r="G5443" i="2" s="1"/>
  <c r="F5442" i="2"/>
  <c r="G5442" i="2" s="1"/>
  <c r="F5441" i="2"/>
  <c r="G5441" i="2" s="1"/>
  <c r="F5440" i="2"/>
  <c r="G5440" i="2" s="1"/>
  <c r="F5439" i="2"/>
  <c r="G5439" i="2" s="1"/>
  <c r="F5438" i="2"/>
  <c r="G5438" i="2" s="1"/>
  <c r="F5437" i="2"/>
  <c r="G5437" i="2" s="1"/>
  <c r="F5436" i="2"/>
  <c r="G5436" i="2" s="1"/>
  <c r="F5435" i="2"/>
  <c r="G5435" i="2" s="1"/>
  <c r="F5434" i="2"/>
  <c r="G5434" i="2" s="1"/>
  <c r="F5433" i="2"/>
  <c r="G5433" i="2" s="1"/>
  <c r="F5432" i="2"/>
  <c r="G5432" i="2" s="1"/>
  <c r="F5431" i="2"/>
  <c r="G5431" i="2" s="1"/>
  <c r="F5430" i="2"/>
  <c r="G5430" i="2" s="1"/>
  <c r="F5429" i="2"/>
  <c r="G5429" i="2" s="1"/>
  <c r="F5428" i="2"/>
  <c r="G5428" i="2" s="1"/>
  <c r="F5427" i="2"/>
  <c r="G5427" i="2" s="1"/>
  <c r="F5426" i="2"/>
  <c r="G5426" i="2" s="1"/>
  <c r="F5425" i="2"/>
  <c r="G5425" i="2" s="1"/>
  <c r="F5424" i="2"/>
  <c r="G5424" i="2" s="1"/>
  <c r="F5423" i="2"/>
  <c r="G5423" i="2" s="1"/>
  <c r="F5422" i="2"/>
  <c r="G5422" i="2" s="1"/>
  <c r="F5421" i="2"/>
  <c r="G5421" i="2" s="1"/>
  <c r="F5420" i="2"/>
  <c r="G5420" i="2" s="1"/>
  <c r="F5419" i="2"/>
  <c r="G5419" i="2" s="1"/>
  <c r="F5418" i="2"/>
  <c r="G5418" i="2" s="1"/>
  <c r="F5417" i="2"/>
  <c r="G5417" i="2" s="1"/>
  <c r="F5416" i="2"/>
  <c r="G5416" i="2" s="1"/>
  <c r="F5415" i="2"/>
  <c r="G5415" i="2" s="1"/>
  <c r="F5414" i="2"/>
  <c r="G5414" i="2" s="1"/>
  <c r="F5413" i="2"/>
  <c r="G5413" i="2" s="1"/>
  <c r="F5412" i="2"/>
  <c r="G5412" i="2" s="1"/>
  <c r="F5411" i="2"/>
  <c r="G5411" i="2" s="1"/>
  <c r="F5410" i="2"/>
  <c r="G5410" i="2" s="1"/>
  <c r="F5409" i="2"/>
  <c r="G5409" i="2" s="1"/>
  <c r="F5408" i="2"/>
  <c r="G5408" i="2" s="1"/>
  <c r="F5407" i="2"/>
  <c r="G5407" i="2" s="1"/>
  <c r="F5406" i="2"/>
  <c r="G5406" i="2" s="1"/>
  <c r="F5405" i="2"/>
  <c r="G5405" i="2" s="1"/>
  <c r="F5404" i="2"/>
  <c r="G5404" i="2" s="1"/>
  <c r="F5403" i="2"/>
  <c r="G5403" i="2" s="1"/>
  <c r="F5402" i="2"/>
  <c r="G5402" i="2" s="1"/>
  <c r="F5401" i="2"/>
  <c r="G5401" i="2" s="1"/>
  <c r="F5400" i="2"/>
  <c r="G5400" i="2" s="1"/>
  <c r="F5399" i="2"/>
  <c r="G5399" i="2" s="1"/>
  <c r="F5398" i="2"/>
  <c r="G5398" i="2" s="1"/>
  <c r="F5397" i="2"/>
  <c r="G5397" i="2" s="1"/>
  <c r="F5396" i="2"/>
  <c r="G5396" i="2" s="1"/>
  <c r="F5395" i="2"/>
  <c r="G5395" i="2" s="1"/>
  <c r="F5394" i="2"/>
  <c r="G5394" i="2" s="1"/>
  <c r="F5393" i="2"/>
  <c r="G5393" i="2" s="1"/>
  <c r="F5392" i="2"/>
  <c r="G5392" i="2" s="1"/>
  <c r="F5391" i="2"/>
  <c r="G5391" i="2" s="1"/>
  <c r="F5390" i="2"/>
  <c r="G5390" i="2" s="1"/>
  <c r="F5389" i="2"/>
  <c r="G5389" i="2" s="1"/>
  <c r="F5388" i="2"/>
  <c r="G5388" i="2" s="1"/>
  <c r="F5387" i="2"/>
  <c r="G5387" i="2" s="1"/>
  <c r="F5386" i="2"/>
  <c r="G5386" i="2" s="1"/>
  <c r="F5385" i="2"/>
  <c r="G5385" i="2" s="1"/>
  <c r="F5384" i="2"/>
  <c r="G5384" i="2" s="1"/>
  <c r="F5383" i="2"/>
  <c r="G5383" i="2" s="1"/>
  <c r="F5382" i="2"/>
  <c r="G5382" i="2" s="1"/>
  <c r="F5381" i="2"/>
  <c r="G5381" i="2" s="1"/>
  <c r="F5380" i="2"/>
  <c r="G5380" i="2" s="1"/>
  <c r="F5379" i="2"/>
  <c r="G5379" i="2" s="1"/>
  <c r="F5378" i="2"/>
  <c r="G5378" i="2" s="1"/>
  <c r="F5377" i="2"/>
  <c r="G5377" i="2" s="1"/>
  <c r="F5376" i="2"/>
  <c r="G5376" i="2" s="1"/>
  <c r="F5375" i="2"/>
  <c r="G5375" i="2" s="1"/>
  <c r="F5374" i="2"/>
  <c r="G5374" i="2" s="1"/>
  <c r="F5373" i="2"/>
  <c r="G5373" i="2" s="1"/>
  <c r="F5372" i="2"/>
  <c r="G5372" i="2" s="1"/>
  <c r="F5371" i="2"/>
  <c r="G5371" i="2" s="1"/>
  <c r="F5370" i="2"/>
  <c r="G5370" i="2" s="1"/>
  <c r="F5369" i="2"/>
  <c r="G5369" i="2" s="1"/>
  <c r="F5368" i="2"/>
  <c r="G5368" i="2" s="1"/>
  <c r="F5367" i="2"/>
  <c r="G5367" i="2" s="1"/>
  <c r="F5366" i="2"/>
  <c r="G5366" i="2" s="1"/>
  <c r="F5365" i="2"/>
  <c r="G5365" i="2" s="1"/>
  <c r="F5364" i="2"/>
  <c r="G5364" i="2" s="1"/>
  <c r="F5363" i="2"/>
  <c r="G5363" i="2" s="1"/>
  <c r="F5362" i="2"/>
  <c r="G5362" i="2" s="1"/>
  <c r="F5361" i="2"/>
  <c r="G5361" i="2" s="1"/>
  <c r="F5360" i="2"/>
  <c r="G5360" i="2" s="1"/>
  <c r="F5359" i="2"/>
  <c r="G5359" i="2" s="1"/>
  <c r="F5358" i="2"/>
  <c r="G5358" i="2" s="1"/>
  <c r="F5357" i="2"/>
  <c r="G5357" i="2" s="1"/>
  <c r="F5356" i="2"/>
  <c r="G5356" i="2" s="1"/>
  <c r="F5355" i="2"/>
  <c r="G5355" i="2" s="1"/>
  <c r="F5354" i="2"/>
  <c r="G5354" i="2" s="1"/>
  <c r="F5353" i="2"/>
  <c r="G5353" i="2" s="1"/>
  <c r="F5352" i="2"/>
  <c r="G5352" i="2" s="1"/>
  <c r="F5351" i="2"/>
  <c r="G5351" i="2" s="1"/>
  <c r="F5350" i="2"/>
  <c r="G5350" i="2" s="1"/>
  <c r="F5349" i="2"/>
  <c r="G5349" i="2" s="1"/>
  <c r="F5348" i="2"/>
  <c r="G5348" i="2" s="1"/>
  <c r="F5347" i="2"/>
  <c r="G5347" i="2" s="1"/>
  <c r="F5346" i="2"/>
  <c r="G5346" i="2" s="1"/>
  <c r="F5345" i="2"/>
  <c r="G5345" i="2" s="1"/>
  <c r="F5344" i="2"/>
  <c r="G5344" i="2" s="1"/>
  <c r="F5343" i="2"/>
  <c r="G5343" i="2" s="1"/>
  <c r="F5342" i="2"/>
  <c r="G5342" i="2" s="1"/>
  <c r="F5341" i="2"/>
  <c r="G5341" i="2" s="1"/>
  <c r="F5340" i="2"/>
  <c r="G5340" i="2" s="1"/>
  <c r="F5339" i="2"/>
  <c r="G5339" i="2" s="1"/>
  <c r="F5338" i="2"/>
  <c r="G5338" i="2" s="1"/>
  <c r="F5337" i="2"/>
  <c r="G5337" i="2" s="1"/>
  <c r="F5336" i="2"/>
  <c r="G5336" i="2" s="1"/>
  <c r="F5335" i="2"/>
  <c r="G5335" i="2" s="1"/>
  <c r="F5334" i="2"/>
  <c r="G5334" i="2" s="1"/>
  <c r="F5333" i="2"/>
  <c r="G5333" i="2" s="1"/>
  <c r="F5332" i="2"/>
  <c r="G5332" i="2" s="1"/>
  <c r="F5331" i="2"/>
  <c r="G5331" i="2" s="1"/>
  <c r="F5330" i="2"/>
  <c r="G5330" i="2" s="1"/>
  <c r="F5329" i="2"/>
  <c r="G5329" i="2" s="1"/>
  <c r="F5328" i="2"/>
  <c r="G5328" i="2" s="1"/>
  <c r="F5327" i="2"/>
  <c r="G5327" i="2" s="1"/>
  <c r="F5326" i="2"/>
  <c r="G5326" i="2" s="1"/>
  <c r="F5325" i="2"/>
  <c r="G5325" i="2" s="1"/>
  <c r="F5324" i="2"/>
  <c r="G5324" i="2" s="1"/>
  <c r="F5323" i="2"/>
  <c r="G5323" i="2" s="1"/>
  <c r="F5322" i="2"/>
  <c r="G5322" i="2" s="1"/>
  <c r="F5321" i="2"/>
  <c r="G5321" i="2" s="1"/>
  <c r="F5320" i="2"/>
  <c r="G5320" i="2" s="1"/>
  <c r="F5319" i="2"/>
  <c r="G5319" i="2" s="1"/>
  <c r="F5318" i="2"/>
  <c r="G5318" i="2" s="1"/>
  <c r="F5317" i="2"/>
  <c r="G5317" i="2" s="1"/>
  <c r="F5316" i="2"/>
  <c r="G5316" i="2" s="1"/>
  <c r="F5315" i="2"/>
  <c r="G5315" i="2" s="1"/>
  <c r="F5314" i="2"/>
  <c r="G5314" i="2" s="1"/>
  <c r="F5313" i="2"/>
  <c r="G5313" i="2" s="1"/>
  <c r="F5312" i="2"/>
  <c r="G5312" i="2" s="1"/>
  <c r="F5311" i="2"/>
  <c r="G5311" i="2" s="1"/>
  <c r="F5310" i="2"/>
  <c r="G5310" i="2" s="1"/>
  <c r="F5309" i="2"/>
  <c r="G5309" i="2" s="1"/>
  <c r="F5308" i="2"/>
  <c r="G5308" i="2" s="1"/>
  <c r="F5307" i="2"/>
  <c r="G5307" i="2" s="1"/>
  <c r="F5306" i="2"/>
  <c r="G5306" i="2" s="1"/>
  <c r="F5305" i="2"/>
  <c r="G5305" i="2" s="1"/>
  <c r="F5304" i="2"/>
  <c r="G5304" i="2" s="1"/>
  <c r="F5303" i="2"/>
  <c r="G5303" i="2" s="1"/>
  <c r="F5302" i="2"/>
  <c r="G5302" i="2" s="1"/>
  <c r="F5301" i="2"/>
  <c r="G5301" i="2" s="1"/>
  <c r="F5300" i="2"/>
  <c r="G5300" i="2" s="1"/>
  <c r="F5299" i="2"/>
  <c r="G5299" i="2" s="1"/>
  <c r="F5298" i="2"/>
  <c r="G5298" i="2" s="1"/>
  <c r="F5297" i="2"/>
  <c r="G5297" i="2" s="1"/>
  <c r="F5296" i="2"/>
  <c r="G5296" i="2" s="1"/>
  <c r="F5295" i="2"/>
  <c r="G5295" i="2" s="1"/>
  <c r="F5294" i="2"/>
  <c r="G5294" i="2" s="1"/>
  <c r="F5293" i="2"/>
  <c r="G5293" i="2" s="1"/>
  <c r="F5292" i="2"/>
  <c r="G5292" i="2" s="1"/>
  <c r="F5291" i="2"/>
  <c r="G5291" i="2" s="1"/>
  <c r="F5290" i="2"/>
  <c r="G5290" i="2" s="1"/>
  <c r="F5289" i="2"/>
  <c r="G5289" i="2"/>
  <c r="F5288" i="2"/>
  <c r="G5288" i="2" s="1"/>
  <c r="F5287" i="2"/>
  <c r="G5287" i="2" s="1"/>
  <c r="F5286" i="2"/>
  <c r="G5286" i="2" s="1"/>
  <c r="F5285" i="2"/>
  <c r="G5285" i="2" s="1"/>
  <c r="F5284" i="2"/>
  <c r="G5284" i="2" s="1"/>
  <c r="F5283" i="2"/>
  <c r="G5283" i="2" s="1"/>
  <c r="F5282" i="2"/>
  <c r="G5282" i="2" s="1"/>
  <c r="F5281" i="2"/>
  <c r="G5281" i="2" s="1"/>
  <c r="F5280" i="2"/>
  <c r="G5280" i="2" s="1"/>
  <c r="F5279" i="2"/>
  <c r="G5279" i="2" s="1"/>
  <c r="F5278" i="2"/>
  <c r="G5278" i="2" s="1"/>
  <c r="F5277" i="2"/>
  <c r="G5277" i="2" s="1"/>
  <c r="F5276" i="2"/>
  <c r="G5276" i="2" s="1"/>
  <c r="F5275" i="2"/>
  <c r="G5275" i="2" s="1"/>
  <c r="F5274" i="2"/>
  <c r="G5274" i="2" s="1"/>
  <c r="F5273" i="2"/>
  <c r="G5273" i="2" s="1"/>
  <c r="F5272" i="2"/>
  <c r="G5272" i="2" s="1"/>
  <c r="F5271" i="2"/>
  <c r="G5271" i="2" s="1"/>
  <c r="F5270" i="2"/>
  <c r="G5270" i="2" s="1"/>
  <c r="F5269" i="2"/>
  <c r="G5269" i="2" s="1"/>
  <c r="F5268" i="2"/>
  <c r="G5268" i="2" s="1"/>
  <c r="F5267" i="2"/>
  <c r="G5267" i="2" s="1"/>
  <c r="F5266" i="2"/>
  <c r="G5266" i="2" s="1"/>
  <c r="F5265" i="2"/>
  <c r="G5265" i="2" s="1"/>
  <c r="F5264" i="2"/>
  <c r="G5264" i="2" s="1"/>
  <c r="F5263" i="2"/>
  <c r="G5263" i="2" s="1"/>
  <c r="F5262" i="2"/>
  <c r="G5262" i="2" s="1"/>
  <c r="F5261" i="2"/>
  <c r="G5261" i="2" s="1"/>
  <c r="F5260" i="2"/>
  <c r="G5260" i="2" s="1"/>
  <c r="F5259" i="2"/>
  <c r="G5259" i="2" s="1"/>
  <c r="F5258" i="2"/>
  <c r="G5258" i="2" s="1"/>
  <c r="F5257" i="2"/>
  <c r="G5257" i="2" s="1"/>
  <c r="F5256" i="2"/>
  <c r="G5256" i="2" s="1"/>
  <c r="F5255" i="2"/>
  <c r="G5255" i="2" s="1"/>
  <c r="F5254" i="2"/>
  <c r="G5254" i="2" s="1"/>
  <c r="F5253" i="2"/>
  <c r="G5253" i="2" s="1"/>
  <c r="F5252" i="2"/>
  <c r="G5252" i="2" s="1"/>
  <c r="F5251" i="2"/>
  <c r="G5251" i="2" s="1"/>
  <c r="F5250" i="2"/>
  <c r="G5250" i="2" s="1"/>
  <c r="F5249" i="2"/>
  <c r="G5249" i="2" s="1"/>
  <c r="F5248" i="2"/>
  <c r="G5248" i="2" s="1"/>
  <c r="F5247" i="2"/>
  <c r="G5247" i="2" s="1"/>
  <c r="F5246" i="2"/>
  <c r="G5246" i="2" s="1"/>
  <c r="F5245" i="2"/>
  <c r="G5245" i="2" s="1"/>
  <c r="F5244" i="2"/>
  <c r="G5244" i="2" s="1"/>
  <c r="F5243" i="2"/>
  <c r="G5243" i="2" s="1"/>
  <c r="F5242" i="2"/>
  <c r="G5242" i="2" s="1"/>
  <c r="F5241" i="2"/>
  <c r="G5241" i="2" s="1"/>
  <c r="F5240" i="2"/>
  <c r="G5240" i="2" s="1"/>
  <c r="F5239" i="2"/>
  <c r="G5239" i="2" s="1"/>
  <c r="F5238" i="2"/>
  <c r="G5238" i="2" s="1"/>
  <c r="F5237" i="2"/>
  <c r="G5237" i="2" s="1"/>
  <c r="F5236" i="2"/>
  <c r="G5236" i="2" s="1"/>
  <c r="F5235" i="2"/>
  <c r="G5235" i="2" s="1"/>
  <c r="F5234" i="2"/>
  <c r="G5234" i="2" s="1"/>
  <c r="F5233" i="2"/>
  <c r="G5233" i="2" s="1"/>
  <c r="F5232" i="2"/>
  <c r="G5232" i="2" s="1"/>
  <c r="F5231" i="2"/>
  <c r="G5231" i="2" s="1"/>
  <c r="F5230" i="2"/>
  <c r="G5230" i="2" s="1"/>
  <c r="F5229" i="2"/>
  <c r="G5229" i="2" s="1"/>
  <c r="F5228" i="2"/>
  <c r="G5228" i="2" s="1"/>
  <c r="F5227" i="2"/>
  <c r="G5227" i="2" s="1"/>
  <c r="F5226" i="2"/>
  <c r="G5226" i="2" s="1"/>
  <c r="F5225" i="2"/>
  <c r="G5225" i="2" s="1"/>
  <c r="F5224" i="2"/>
  <c r="G5224" i="2" s="1"/>
  <c r="F5223" i="2"/>
  <c r="G5223" i="2" s="1"/>
  <c r="F5222" i="2"/>
  <c r="G5222" i="2" s="1"/>
  <c r="F5221" i="2"/>
  <c r="G5221" i="2" s="1"/>
  <c r="F5220" i="2"/>
  <c r="G5220" i="2" s="1"/>
  <c r="F5219" i="2"/>
  <c r="G5219" i="2" s="1"/>
  <c r="F5218" i="2"/>
  <c r="G5218" i="2" s="1"/>
  <c r="F5217" i="2"/>
  <c r="G5217" i="2" s="1"/>
  <c r="F5216" i="2"/>
  <c r="G5216" i="2" s="1"/>
  <c r="F5215" i="2"/>
  <c r="G5215" i="2" s="1"/>
  <c r="F5214" i="2"/>
  <c r="G5214" i="2" s="1"/>
  <c r="F5213" i="2"/>
  <c r="G5213" i="2" s="1"/>
  <c r="F5212" i="2"/>
  <c r="G5212" i="2" s="1"/>
  <c r="F5211" i="2"/>
  <c r="G5211" i="2" s="1"/>
  <c r="F5210" i="2"/>
  <c r="G5210" i="2" s="1"/>
  <c r="F5209" i="2"/>
  <c r="G5209" i="2" s="1"/>
  <c r="F5208" i="2"/>
  <c r="G5208" i="2" s="1"/>
  <c r="F5207" i="2"/>
  <c r="G5207" i="2" s="1"/>
  <c r="F5206" i="2"/>
  <c r="G5206" i="2" s="1"/>
  <c r="F5205" i="2"/>
  <c r="G5205" i="2" s="1"/>
  <c r="F5204" i="2"/>
  <c r="G5204" i="2" s="1"/>
  <c r="F5203" i="2"/>
  <c r="G5203" i="2" s="1"/>
  <c r="F5202" i="2"/>
  <c r="G5202" i="2" s="1"/>
  <c r="F5201" i="2"/>
  <c r="G5201" i="2" s="1"/>
  <c r="F5200" i="2"/>
  <c r="G5200" i="2" s="1"/>
  <c r="F5199" i="2"/>
  <c r="G5199" i="2" s="1"/>
  <c r="F5198" i="2"/>
  <c r="G5198" i="2" s="1"/>
  <c r="F5197" i="2"/>
  <c r="G5197" i="2" s="1"/>
  <c r="F5196" i="2"/>
  <c r="G5196" i="2" s="1"/>
  <c r="F5195" i="2"/>
  <c r="G5195" i="2" s="1"/>
  <c r="F5194" i="2"/>
  <c r="G5194" i="2" s="1"/>
  <c r="F5193" i="2"/>
  <c r="G5193" i="2" s="1"/>
  <c r="F5192" i="2"/>
  <c r="G5192" i="2" s="1"/>
  <c r="F5191" i="2"/>
  <c r="G5191" i="2" s="1"/>
  <c r="F5190" i="2"/>
  <c r="G5190" i="2" s="1"/>
  <c r="F5189" i="2"/>
  <c r="G5189" i="2" s="1"/>
  <c r="F5188" i="2"/>
  <c r="G5188" i="2" s="1"/>
  <c r="F5187" i="2"/>
  <c r="G5187" i="2" s="1"/>
  <c r="F5186" i="2"/>
  <c r="G5186" i="2" s="1"/>
  <c r="F5185" i="2"/>
  <c r="G5185" i="2" s="1"/>
  <c r="F5184" i="2"/>
  <c r="G5184" i="2" s="1"/>
  <c r="F5183" i="2"/>
  <c r="G5183" i="2" s="1"/>
  <c r="F5182" i="2"/>
  <c r="G5182" i="2" s="1"/>
  <c r="F5181" i="2"/>
  <c r="G5181" i="2" s="1"/>
  <c r="F5180" i="2"/>
  <c r="G5180" i="2" s="1"/>
  <c r="F5179" i="2"/>
  <c r="G5179" i="2" s="1"/>
  <c r="F5178" i="2"/>
  <c r="G5178" i="2" s="1"/>
  <c r="F5177" i="2"/>
  <c r="G5177" i="2" s="1"/>
  <c r="F5176" i="2"/>
  <c r="G5176" i="2" s="1"/>
  <c r="F5175" i="2"/>
  <c r="G5175" i="2" s="1"/>
  <c r="F5174" i="2"/>
  <c r="G5174" i="2" s="1"/>
  <c r="F5173" i="2"/>
  <c r="G5173" i="2" s="1"/>
  <c r="F5172" i="2"/>
  <c r="G5172" i="2" s="1"/>
  <c r="F5171" i="2"/>
  <c r="G5171" i="2" s="1"/>
  <c r="F5170" i="2"/>
  <c r="G5170" i="2" s="1"/>
  <c r="F5169" i="2"/>
  <c r="G5169" i="2" s="1"/>
  <c r="F5168" i="2"/>
  <c r="G5168" i="2" s="1"/>
  <c r="F5167" i="2"/>
  <c r="G5167" i="2" s="1"/>
  <c r="F5166" i="2"/>
  <c r="G5166" i="2" s="1"/>
  <c r="F5165" i="2"/>
  <c r="G5165" i="2" s="1"/>
  <c r="F5164" i="2"/>
  <c r="G5164" i="2" s="1"/>
  <c r="F5163" i="2"/>
  <c r="G5163" i="2" s="1"/>
  <c r="F5162" i="2"/>
  <c r="G5162" i="2" s="1"/>
  <c r="F5161" i="2"/>
  <c r="G5161" i="2" s="1"/>
  <c r="F5160" i="2"/>
  <c r="G5160" i="2" s="1"/>
  <c r="F5159" i="2"/>
  <c r="G5159" i="2" s="1"/>
  <c r="F5158" i="2"/>
  <c r="G5158" i="2" s="1"/>
  <c r="F5157" i="2"/>
  <c r="G5157" i="2" s="1"/>
  <c r="F5156" i="2"/>
  <c r="G5156" i="2" s="1"/>
  <c r="F5155" i="2"/>
  <c r="G5155" i="2" s="1"/>
  <c r="F5154" i="2"/>
  <c r="G5154" i="2" s="1"/>
  <c r="F5153" i="2"/>
  <c r="G5153" i="2" s="1"/>
  <c r="F5152" i="2"/>
  <c r="G5152" i="2" s="1"/>
  <c r="F5151" i="2"/>
  <c r="G5151" i="2" s="1"/>
  <c r="F5150" i="2"/>
  <c r="G5150" i="2" s="1"/>
  <c r="F5149" i="2"/>
  <c r="G5149" i="2" s="1"/>
  <c r="F5148" i="2"/>
  <c r="G5148" i="2" s="1"/>
  <c r="F5147" i="2"/>
  <c r="G5147" i="2" s="1"/>
  <c r="F5146" i="2"/>
  <c r="G5146" i="2" s="1"/>
  <c r="F5145" i="2"/>
  <c r="G5145" i="2" s="1"/>
  <c r="F5144" i="2"/>
  <c r="G5144" i="2" s="1"/>
  <c r="F5143" i="2"/>
  <c r="G5143" i="2" s="1"/>
  <c r="F5142" i="2"/>
  <c r="G5142" i="2" s="1"/>
  <c r="F5141" i="2"/>
  <c r="G5141" i="2" s="1"/>
  <c r="F5140" i="2"/>
  <c r="G5140" i="2" s="1"/>
  <c r="F5139" i="2"/>
  <c r="G5139" i="2" s="1"/>
  <c r="F5138" i="2"/>
  <c r="G5138" i="2" s="1"/>
  <c r="F5137" i="2"/>
  <c r="G5137" i="2" s="1"/>
  <c r="F5136" i="2"/>
  <c r="G5136" i="2" s="1"/>
  <c r="F5135" i="2"/>
  <c r="G5135" i="2" s="1"/>
  <c r="F5134" i="2"/>
  <c r="G5134" i="2" s="1"/>
  <c r="F5133" i="2"/>
  <c r="G5133" i="2" s="1"/>
  <c r="F5132" i="2"/>
  <c r="G5132" i="2" s="1"/>
  <c r="F5131" i="2"/>
  <c r="G5131" i="2" s="1"/>
  <c r="F5130" i="2"/>
  <c r="G5130" i="2" s="1"/>
  <c r="F5129" i="2"/>
  <c r="G5129" i="2" s="1"/>
  <c r="F5128" i="2"/>
  <c r="G5128" i="2" s="1"/>
  <c r="F5127" i="2"/>
  <c r="G5127" i="2" s="1"/>
  <c r="F5126" i="2"/>
  <c r="G5126" i="2" s="1"/>
  <c r="F5125" i="2"/>
  <c r="G5125" i="2" s="1"/>
  <c r="F5124" i="2"/>
  <c r="G5124" i="2" s="1"/>
  <c r="F5123" i="2"/>
  <c r="G5123" i="2" s="1"/>
  <c r="F5122" i="2"/>
  <c r="G5122" i="2" s="1"/>
  <c r="F5121" i="2"/>
  <c r="G5121" i="2" s="1"/>
  <c r="F5120" i="2"/>
  <c r="G5120" i="2" s="1"/>
  <c r="F5119" i="2"/>
  <c r="G5119" i="2" s="1"/>
  <c r="F5118" i="2"/>
  <c r="G5118" i="2" s="1"/>
  <c r="F5117" i="2"/>
  <c r="G5117" i="2" s="1"/>
  <c r="F5116" i="2"/>
  <c r="G5116" i="2" s="1"/>
  <c r="F5115" i="2"/>
  <c r="G5115" i="2" s="1"/>
  <c r="F5114" i="2"/>
  <c r="G5114" i="2" s="1"/>
  <c r="F5113" i="2"/>
  <c r="G5113" i="2" s="1"/>
  <c r="F5112" i="2"/>
  <c r="G5112" i="2" s="1"/>
  <c r="F5111" i="2"/>
  <c r="G5111" i="2" s="1"/>
  <c r="F5110" i="2"/>
  <c r="G5110" i="2" s="1"/>
  <c r="F5109" i="2"/>
  <c r="G5109" i="2" s="1"/>
  <c r="F5108" i="2"/>
  <c r="G5108" i="2" s="1"/>
  <c r="F5107" i="2"/>
  <c r="G5107" i="2" s="1"/>
  <c r="F5106" i="2"/>
  <c r="G5106" i="2" s="1"/>
  <c r="F5105" i="2"/>
  <c r="G5105" i="2" s="1"/>
  <c r="F5104" i="2"/>
  <c r="G5104" i="2" s="1"/>
  <c r="F5103" i="2"/>
  <c r="G5103" i="2" s="1"/>
  <c r="F5102" i="2"/>
  <c r="G5102" i="2" s="1"/>
  <c r="F5101" i="2"/>
  <c r="G5101" i="2" s="1"/>
  <c r="F5100" i="2"/>
  <c r="G5100" i="2" s="1"/>
  <c r="F5099" i="2"/>
  <c r="G5099" i="2" s="1"/>
  <c r="F5098" i="2"/>
  <c r="G5098" i="2" s="1"/>
  <c r="F5097" i="2"/>
  <c r="G5097" i="2" s="1"/>
  <c r="F5096" i="2"/>
  <c r="G5096" i="2" s="1"/>
  <c r="F5095" i="2"/>
  <c r="G5095" i="2" s="1"/>
  <c r="F5094" i="2"/>
  <c r="G5094" i="2" s="1"/>
  <c r="F5093" i="2"/>
  <c r="G5093" i="2" s="1"/>
  <c r="F5092" i="2"/>
  <c r="G5092" i="2" s="1"/>
  <c r="F5091" i="2"/>
  <c r="G5091" i="2" s="1"/>
  <c r="F5090" i="2"/>
  <c r="G5090" i="2" s="1"/>
  <c r="F5089" i="2"/>
  <c r="G5089" i="2" s="1"/>
  <c r="F5088" i="2"/>
  <c r="G5088" i="2" s="1"/>
  <c r="F5087" i="2"/>
  <c r="G5087" i="2" s="1"/>
  <c r="F5086" i="2"/>
  <c r="G5086" i="2" s="1"/>
  <c r="F5085" i="2"/>
  <c r="G5085" i="2" s="1"/>
  <c r="F5084" i="2"/>
  <c r="G5084" i="2" s="1"/>
  <c r="F5083" i="2"/>
  <c r="G5083" i="2" s="1"/>
  <c r="F5082" i="2"/>
  <c r="G5082" i="2" s="1"/>
  <c r="F5081" i="2"/>
  <c r="G5081" i="2" s="1"/>
  <c r="F5080" i="2"/>
  <c r="G5080" i="2" s="1"/>
  <c r="F5079" i="2"/>
  <c r="G5079" i="2" s="1"/>
  <c r="F5078" i="2"/>
  <c r="G5078" i="2" s="1"/>
  <c r="F5077" i="2"/>
  <c r="G5077" i="2" s="1"/>
  <c r="F5076" i="2"/>
  <c r="G5076" i="2" s="1"/>
  <c r="F5075" i="2"/>
  <c r="G5075" i="2" s="1"/>
  <c r="F5074" i="2"/>
  <c r="G5074" i="2" s="1"/>
  <c r="F5073" i="2"/>
  <c r="G5073" i="2" s="1"/>
  <c r="F5072" i="2"/>
  <c r="G5072" i="2" s="1"/>
  <c r="F5071" i="2"/>
  <c r="G5071" i="2" s="1"/>
  <c r="F5070" i="2"/>
  <c r="G5070" i="2" s="1"/>
  <c r="F5069" i="2"/>
  <c r="G5069" i="2" s="1"/>
  <c r="F5068" i="2"/>
  <c r="G5068" i="2" s="1"/>
  <c r="F5067" i="2"/>
  <c r="G5067" i="2" s="1"/>
  <c r="F5066" i="2"/>
  <c r="G5066" i="2" s="1"/>
  <c r="F5065" i="2"/>
  <c r="G5065" i="2" s="1"/>
  <c r="F5064" i="2"/>
  <c r="G5064" i="2" s="1"/>
  <c r="F5063" i="2"/>
  <c r="G5063" i="2" s="1"/>
  <c r="F5062" i="2"/>
  <c r="G5062" i="2" s="1"/>
  <c r="F5061" i="2"/>
  <c r="G5061" i="2" s="1"/>
  <c r="F5060" i="2"/>
  <c r="G5060" i="2" s="1"/>
  <c r="F5059" i="2"/>
  <c r="G5059" i="2"/>
  <c r="F5058" i="2"/>
  <c r="G5058" i="2" s="1"/>
  <c r="F5057" i="2"/>
  <c r="G5057" i="2" s="1"/>
  <c r="F5056" i="2"/>
  <c r="G5056" i="2"/>
  <c r="F5055" i="2"/>
  <c r="G5055" i="2" s="1"/>
  <c r="F5054" i="2"/>
  <c r="G5054" i="2" s="1"/>
  <c r="F5053" i="2"/>
  <c r="G5053" i="2" s="1"/>
  <c r="F5052" i="2"/>
  <c r="G5052" i="2" s="1"/>
  <c r="F5051" i="2"/>
  <c r="G5051" i="2" s="1"/>
  <c r="F5050" i="2"/>
  <c r="G5050" i="2" s="1"/>
  <c r="F5049" i="2"/>
  <c r="G5049" i="2" s="1"/>
  <c r="F5048" i="2"/>
  <c r="G5048" i="2" s="1"/>
  <c r="F5047" i="2"/>
  <c r="G5047" i="2" s="1"/>
  <c r="F5046" i="2"/>
  <c r="G5046" i="2" s="1"/>
  <c r="F5045" i="2"/>
  <c r="G5045" i="2" s="1"/>
  <c r="F5044" i="2"/>
  <c r="G5044" i="2" s="1"/>
  <c r="F5043" i="2"/>
  <c r="G5043" i="2" s="1"/>
  <c r="F5042" i="2"/>
  <c r="G5042" i="2" s="1"/>
  <c r="F5041" i="2"/>
  <c r="G5041" i="2" s="1"/>
  <c r="F5040" i="2"/>
  <c r="G5040" i="2" s="1"/>
  <c r="F5039" i="2"/>
  <c r="G5039" i="2" s="1"/>
  <c r="F5038" i="2"/>
  <c r="G5038" i="2" s="1"/>
  <c r="F5037" i="2"/>
  <c r="G5037" i="2" s="1"/>
  <c r="F5036" i="2"/>
  <c r="G5036" i="2" s="1"/>
  <c r="F5035" i="2"/>
  <c r="G5035" i="2" s="1"/>
  <c r="F5034" i="2"/>
  <c r="G5034" i="2" s="1"/>
  <c r="F5033" i="2"/>
  <c r="G5033" i="2" s="1"/>
  <c r="F5032" i="2"/>
  <c r="G5032" i="2" s="1"/>
  <c r="F5031" i="2"/>
  <c r="G5031" i="2" s="1"/>
  <c r="F5030" i="2"/>
  <c r="G5030" i="2" s="1"/>
  <c r="F5029" i="2"/>
  <c r="G5029" i="2" s="1"/>
  <c r="F5028" i="2"/>
  <c r="G5028" i="2" s="1"/>
  <c r="F5027" i="2"/>
  <c r="G5027" i="2" s="1"/>
  <c r="F5026" i="2"/>
  <c r="G5026" i="2" s="1"/>
  <c r="F5025" i="2"/>
  <c r="G5025" i="2" s="1"/>
  <c r="F5024" i="2"/>
  <c r="G5024" i="2" s="1"/>
  <c r="F5023" i="2"/>
  <c r="G5023" i="2" s="1"/>
  <c r="F5022" i="2"/>
  <c r="G5022" i="2" s="1"/>
  <c r="F5021" i="2"/>
  <c r="G5021" i="2" s="1"/>
  <c r="F5020" i="2"/>
  <c r="G5020" i="2" s="1"/>
  <c r="F5019" i="2"/>
  <c r="G5019" i="2" s="1"/>
  <c r="F5018" i="2"/>
  <c r="G5018" i="2" s="1"/>
  <c r="F5017" i="2"/>
  <c r="G5017" i="2" s="1"/>
  <c r="F5016" i="2"/>
  <c r="G5016" i="2" s="1"/>
  <c r="F5015" i="2"/>
  <c r="G5015" i="2" s="1"/>
  <c r="F5014" i="2"/>
  <c r="G5014" i="2" s="1"/>
  <c r="F5013" i="2"/>
  <c r="G5013" i="2" s="1"/>
  <c r="F5012" i="2"/>
  <c r="G5012" i="2" s="1"/>
  <c r="F5011" i="2"/>
  <c r="G5011" i="2" s="1"/>
  <c r="F5010" i="2"/>
  <c r="G5010" i="2" s="1"/>
  <c r="F5009" i="2"/>
  <c r="G5009" i="2" s="1"/>
  <c r="F5008" i="2"/>
  <c r="G5008" i="2" s="1"/>
  <c r="F5007" i="2"/>
  <c r="G5007" i="2" s="1"/>
  <c r="F5006" i="2"/>
  <c r="G5006" i="2" s="1"/>
  <c r="F5005" i="2"/>
  <c r="G5005" i="2" s="1"/>
  <c r="F5004" i="2"/>
  <c r="G5004" i="2" s="1"/>
  <c r="F5003" i="2"/>
  <c r="G5003" i="2" s="1"/>
  <c r="F5002" i="2"/>
  <c r="G5002" i="2" s="1"/>
  <c r="F5001" i="2"/>
  <c r="G5001" i="2" s="1"/>
  <c r="F5000" i="2"/>
  <c r="G5000" i="2" s="1"/>
  <c r="F4999" i="2"/>
  <c r="G4999" i="2" s="1"/>
  <c r="F4998" i="2"/>
  <c r="G4998" i="2" s="1"/>
  <c r="F4997" i="2"/>
  <c r="G4997" i="2" s="1"/>
  <c r="F4996" i="2"/>
  <c r="G4996" i="2" s="1"/>
  <c r="F4995" i="2"/>
  <c r="G4995" i="2" s="1"/>
  <c r="F4994" i="2"/>
  <c r="G4994" i="2" s="1"/>
  <c r="F4993" i="2"/>
  <c r="G4993" i="2" s="1"/>
  <c r="F4992" i="2"/>
  <c r="G4992" i="2" s="1"/>
  <c r="F4991" i="2"/>
  <c r="G4991" i="2" s="1"/>
  <c r="F4990" i="2"/>
  <c r="G4990" i="2" s="1"/>
  <c r="F4989" i="2"/>
  <c r="G4989" i="2" s="1"/>
  <c r="F4988" i="2"/>
  <c r="G4988" i="2" s="1"/>
  <c r="F4987" i="2"/>
  <c r="G4987" i="2" s="1"/>
  <c r="F4986" i="2"/>
  <c r="G4986" i="2" s="1"/>
  <c r="F4985" i="2"/>
  <c r="G4985" i="2" s="1"/>
  <c r="F4984" i="2"/>
  <c r="G4984" i="2" s="1"/>
  <c r="F4983" i="2"/>
  <c r="G4983" i="2" s="1"/>
  <c r="F4982" i="2"/>
  <c r="G4982" i="2" s="1"/>
  <c r="F4981" i="2"/>
  <c r="G4981" i="2" s="1"/>
  <c r="F4980" i="2"/>
  <c r="G4980" i="2" s="1"/>
  <c r="F4979" i="2"/>
  <c r="G4979" i="2" s="1"/>
  <c r="F4978" i="2"/>
  <c r="G4978" i="2" s="1"/>
  <c r="F4977" i="2"/>
  <c r="G4977" i="2" s="1"/>
  <c r="F4976" i="2"/>
  <c r="G4976" i="2" s="1"/>
  <c r="F4975" i="2"/>
  <c r="G4975" i="2" s="1"/>
  <c r="F4974" i="2"/>
  <c r="G4974" i="2" s="1"/>
  <c r="F4973" i="2"/>
  <c r="G4973" i="2" s="1"/>
  <c r="F4972" i="2"/>
  <c r="G4972" i="2" s="1"/>
  <c r="F4971" i="2"/>
  <c r="G4971" i="2" s="1"/>
  <c r="F4970" i="2"/>
  <c r="G4970" i="2" s="1"/>
  <c r="F4969" i="2"/>
  <c r="G4969" i="2" s="1"/>
  <c r="F4968" i="2"/>
  <c r="G4968" i="2" s="1"/>
  <c r="F4967" i="2"/>
  <c r="G4967" i="2" s="1"/>
  <c r="F4966" i="2"/>
  <c r="G4966" i="2" s="1"/>
  <c r="F4965" i="2"/>
  <c r="G4965" i="2" s="1"/>
  <c r="F4964" i="2"/>
  <c r="G4964" i="2" s="1"/>
  <c r="F4963" i="2"/>
  <c r="G4963" i="2" s="1"/>
  <c r="F4962" i="2"/>
  <c r="G4962" i="2" s="1"/>
  <c r="F4961" i="2"/>
  <c r="G4961" i="2" s="1"/>
  <c r="F4960" i="2"/>
  <c r="G4960" i="2" s="1"/>
  <c r="F4959" i="2"/>
  <c r="G4959" i="2" s="1"/>
  <c r="F4958" i="2"/>
  <c r="G4958" i="2" s="1"/>
  <c r="F4957" i="2"/>
  <c r="G4957" i="2" s="1"/>
  <c r="F4956" i="2"/>
  <c r="G4956" i="2" s="1"/>
  <c r="F4955" i="2"/>
  <c r="G4955" i="2" s="1"/>
  <c r="F4954" i="2"/>
  <c r="G4954" i="2" s="1"/>
  <c r="F4953" i="2"/>
  <c r="G4953" i="2" s="1"/>
  <c r="F4952" i="2"/>
  <c r="G4952" i="2" s="1"/>
  <c r="F4951" i="2"/>
  <c r="G4951" i="2" s="1"/>
  <c r="F4950" i="2"/>
  <c r="G4950" i="2" s="1"/>
  <c r="F4949" i="2"/>
  <c r="G4949" i="2" s="1"/>
  <c r="F4948" i="2"/>
  <c r="G4948" i="2" s="1"/>
  <c r="F4947" i="2"/>
  <c r="G4947" i="2" s="1"/>
  <c r="F4946" i="2"/>
  <c r="G4946" i="2" s="1"/>
  <c r="F4945" i="2"/>
  <c r="G4945" i="2" s="1"/>
  <c r="F4944" i="2"/>
  <c r="G4944" i="2" s="1"/>
  <c r="F4943" i="2"/>
  <c r="G4943" i="2" s="1"/>
  <c r="F4942" i="2"/>
  <c r="G4942" i="2" s="1"/>
  <c r="F4941" i="2"/>
  <c r="G4941" i="2" s="1"/>
  <c r="F4940" i="2"/>
  <c r="G4940" i="2" s="1"/>
  <c r="F4939" i="2"/>
  <c r="G4939" i="2" s="1"/>
  <c r="F4938" i="2"/>
  <c r="G4938" i="2" s="1"/>
  <c r="F4937" i="2"/>
  <c r="G4937" i="2" s="1"/>
  <c r="F4936" i="2"/>
  <c r="G4936" i="2" s="1"/>
  <c r="F4935" i="2"/>
  <c r="G4935" i="2" s="1"/>
  <c r="F4934" i="2"/>
  <c r="G4934" i="2" s="1"/>
  <c r="F4933" i="2"/>
  <c r="G4933" i="2" s="1"/>
  <c r="F4932" i="2"/>
  <c r="G4932" i="2" s="1"/>
  <c r="F4931" i="2"/>
  <c r="G4931" i="2" s="1"/>
  <c r="F4930" i="2"/>
  <c r="G4930" i="2" s="1"/>
  <c r="F4929" i="2"/>
  <c r="G4929" i="2" s="1"/>
  <c r="F4928" i="2"/>
  <c r="G4928" i="2" s="1"/>
  <c r="F4927" i="2"/>
  <c r="G4927" i="2" s="1"/>
  <c r="F4926" i="2"/>
  <c r="G4926" i="2"/>
  <c r="F4925" i="2"/>
  <c r="G4925" i="2" s="1"/>
  <c r="F4924" i="2"/>
  <c r="G4924" i="2" s="1"/>
  <c r="F4923" i="2"/>
  <c r="G4923" i="2" s="1"/>
  <c r="F4922" i="2"/>
  <c r="G4922" i="2" s="1"/>
  <c r="F4921" i="2"/>
  <c r="G4921" i="2" s="1"/>
  <c r="F4920" i="2"/>
  <c r="G4920" i="2" s="1"/>
  <c r="F4919" i="2"/>
  <c r="G4919" i="2" s="1"/>
  <c r="F4918" i="2"/>
  <c r="G4918" i="2" s="1"/>
  <c r="F4917" i="2"/>
  <c r="G4917" i="2" s="1"/>
  <c r="F4916" i="2"/>
  <c r="G4916" i="2" s="1"/>
  <c r="F4915" i="2"/>
  <c r="G4915" i="2" s="1"/>
  <c r="F4914" i="2"/>
  <c r="G4914" i="2" s="1"/>
  <c r="F4913" i="2"/>
  <c r="G4913" i="2" s="1"/>
  <c r="F4912" i="2"/>
  <c r="G4912" i="2" s="1"/>
  <c r="F4911" i="2"/>
  <c r="G4911" i="2" s="1"/>
  <c r="F4910" i="2"/>
  <c r="G4910" i="2" s="1"/>
  <c r="F4909" i="2"/>
  <c r="G4909" i="2" s="1"/>
  <c r="F4908" i="2"/>
  <c r="G4908" i="2" s="1"/>
  <c r="F4907" i="2"/>
  <c r="G4907" i="2" s="1"/>
  <c r="F4906" i="2"/>
  <c r="G4906" i="2" s="1"/>
  <c r="F4905" i="2"/>
  <c r="G4905" i="2" s="1"/>
  <c r="F4904" i="2"/>
  <c r="G4904" i="2" s="1"/>
  <c r="F4903" i="2"/>
  <c r="G4903" i="2" s="1"/>
  <c r="F4902" i="2"/>
  <c r="G4902" i="2" s="1"/>
  <c r="F4901" i="2"/>
  <c r="G4901" i="2" s="1"/>
  <c r="F4900" i="2"/>
  <c r="G4900" i="2" s="1"/>
  <c r="H45" i="1" s="1"/>
  <c r="F4899" i="2"/>
  <c r="G4899" i="2" s="1"/>
  <c r="F4898" i="2"/>
  <c r="G4898" i="2" s="1"/>
  <c r="F4897" i="2"/>
  <c r="G4897" i="2" s="1"/>
  <c r="F4896" i="2"/>
  <c r="G4896" i="2" s="1"/>
  <c r="F4895" i="2"/>
  <c r="G4895" i="2" s="1"/>
  <c r="F4894" i="2"/>
  <c r="G4894" i="2" s="1"/>
  <c r="F4893" i="2"/>
  <c r="G4893" i="2" s="1"/>
  <c r="F4892" i="2"/>
  <c r="G4892" i="2" s="1"/>
  <c r="F4891" i="2"/>
  <c r="G4891" i="2" s="1"/>
  <c r="F4890" i="2"/>
  <c r="G4890" i="2" s="1"/>
  <c r="F4889" i="2"/>
  <c r="G4889" i="2" s="1"/>
  <c r="F4888" i="2"/>
  <c r="G4888" i="2" s="1"/>
  <c r="H1139" i="1" s="1"/>
  <c r="F4887" i="2"/>
  <c r="G4887" i="2" s="1"/>
  <c r="F4886" i="2"/>
  <c r="G4886" i="2" s="1"/>
  <c r="F4885" i="2"/>
  <c r="G4885" i="2" s="1"/>
  <c r="F4884" i="2"/>
  <c r="G4884" i="2" s="1"/>
  <c r="F4883" i="2"/>
  <c r="G4883" i="2" s="1"/>
  <c r="F4882" i="2"/>
  <c r="G4882" i="2" s="1"/>
  <c r="F4881" i="2"/>
  <c r="G4881" i="2" s="1"/>
  <c r="F4880" i="2"/>
  <c r="G4880" i="2" s="1"/>
  <c r="F4879" i="2"/>
  <c r="G4879" i="2" s="1"/>
  <c r="F4878" i="2"/>
  <c r="G4878" i="2" s="1"/>
  <c r="F4877" i="2"/>
  <c r="G4877" i="2" s="1"/>
  <c r="F4876" i="2"/>
  <c r="G4876" i="2" s="1"/>
  <c r="F4875" i="2"/>
  <c r="G4875" i="2" s="1"/>
  <c r="F4874" i="2"/>
  <c r="G4874" i="2" s="1"/>
  <c r="F4873" i="2"/>
  <c r="G4873" i="2" s="1"/>
  <c r="F4872" i="2"/>
  <c r="G4872" i="2" s="1"/>
  <c r="F4871" i="2"/>
  <c r="G4871" i="2" s="1"/>
  <c r="F4870" i="2"/>
  <c r="G4870" i="2" s="1"/>
  <c r="F4869" i="2"/>
  <c r="G4869" i="2" s="1"/>
  <c r="F4868" i="2"/>
  <c r="G4868" i="2" s="1"/>
  <c r="F4867" i="2"/>
  <c r="G4867" i="2" s="1"/>
  <c r="F4866" i="2"/>
  <c r="G4866" i="2" s="1"/>
  <c r="F4865" i="2"/>
  <c r="G4865" i="2" s="1"/>
  <c r="F4864" i="2"/>
  <c r="G4864" i="2" s="1"/>
  <c r="F4863" i="2"/>
  <c r="G4863" i="2" s="1"/>
  <c r="F4862" i="2"/>
  <c r="G4862" i="2" s="1"/>
  <c r="F4861" i="2"/>
  <c r="G4861" i="2" s="1"/>
  <c r="F4860" i="2"/>
  <c r="G4860" i="2" s="1"/>
  <c r="F4859" i="2"/>
  <c r="G4859" i="2" s="1"/>
  <c r="F4858" i="2"/>
  <c r="G4858" i="2" s="1"/>
  <c r="F4857" i="2"/>
  <c r="G4857" i="2" s="1"/>
  <c r="F4856" i="2"/>
  <c r="G4856" i="2" s="1"/>
  <c r="F4855" i="2"/>
  <c r="G4855" i="2" s="1"/>
  <c r="F4854" i="2"/>
  <c r="G4854" i="2" s="1"/>
  <c r="F4853" i="2"/>
  <c r="G4853" i="2" s="1"/>
  <c r="F4852" i="2"/>
  <c r="G4852" i="2" s="1"/>
  <c r="F4851" i="2"/>
  <c r="G4851" i="2" s="1"/>
  <c r="F4850" i="2"/>
  <c r="G4850" i="2" s="1"/>
  <c r="F4849" i="2"/>
  <c r="G4849" i="2" s="1"/>
  <c r="F4848" i="2"/>
  <c r="G4848" i="2" s="1"/>
  <c r="F4847" i="2"/>
  <c r="G4847" i="2" s="1"/>
  <c r="F4846" i="2"/>
  <c r="G4846" i="2" s="1"/>
  <c r="H881" i="1" s="1"/>
  <c r="F4845" i="2"/>
  <c r="G4845" i="2" s="1"/>
  <c r="F4844" i="2"/>
  <c r="G4844" i="2" s="1"/>
  <c r="F4843" i="2"/>
  <c r="G4843" i="2" s="1"/>
  <c r="F4842" i="2"/>
  <c r="G4842" i="2" s="1"/>
  <c r="F4841" i="2"/>
  <c r="G4841" i="2" s="1"/>
  <c r="F4840" i="2"/>
  <c r="G4840" i="2" s="1"/>
  <c r="F4839" i="2"/>
  <c r="G4839" i="2" s="1"/>
  <c r="F4838" i="2"/>
  <c r="G4838" i="2" s="1"/>
  <c r="F4837" i="2"/>
  <c r="G4837" i="2" s="1"/>
  <c r="F4836" i="2"/>
  <c r="G4836" i="2" s="1"/>
  <c r="F4835" i="2"/>
  <c r="G4835" i="2" s="1"/>
  <c r="F4834" i="2"/>
  <c r="G4834" i="2" s="1"/>
  <c r="F4833" i="2"/>
  <c r="G4833" i="2" s="1"/>
  <c r="F4832" i="2"/>
  <c r="G4832" i="2" s="1"/>
  <c r="F4831" i="2"/>
  <c r="G4831" i="2" s="1"/>
  <c r="F4830" i="2"/>
  <c r="G4830" i="2" s="1"/>
  <c r="F4829" i="2"/>
  <c r="G4829" i="2" s="1"/>
  <c r="F4828" i="2"/>
  <c r="G4828" i="2" s="1"/>
  <c r="F4827" i="2"/>
  <c r="G4827" i="2" s="1"/>
  <c r="F4826" i="2"/>
  <c r="G4826" i="2" s="1"/>
  <c r="F4825" i="2"/>
  <c r="G4825" i="2" s="1"/>
  <c r="F4824" i="2"/>
  <c r="G4824" i="2" s="1"/>
  <c r="F4823" i="2"/>
  <c r="G4823" i="2" s="1"/>
  <c r="F4822" i="2"/>
  <c r="G4822" i="2" s="1"/>
  <c r="F4821" i="2"/>
  <c r="G4821" i="2" s="1"/>
  <c r="F4820" i="2"/>
  <c r="G4820" i="2" s="1"/>
  <c r="F4819" i="2"/>
  <c r="G4819" i="2" s="1"/>
  <c r="F4818" i="2"/>
  <c r="G4818" i="2" s="1"/>
  <c r="F4817" i="2"/>
  <c r="G4817" i="2" s="1"/>
  <c r="F4816" i="2"/>
  <c r="G4816" i="2" s="1"/>
  <c r="F4815" i="2"/>
  <c r="G4815" i="2" s="1"/>
  <c r="F4814" i="2"/>
  <c r="G4814" i="2" s="1"/>
  <c r="F4813" i="2"/>
  <c r="G4813" i="2" s="1"/>
  <c r="F4812" i="2"/>
  <c r="G4812" i="2" s="1"/>
  <c r="F4811" i="2"/>
  <c r="G4811" i="2" s="1"/>
  <c r="F4810" i="2"/>
  <c r="G4810" i="2" s="1"/>
  <c r="F4809" i="2"/>
  <c r="G4809" i="2" s="1"/>
  <c r="F4808" i="2"/>
  <c r="G4808" i="2" s="1"/>
  <c r="F4807" i="2"/>
  <c r="G4807" i="2" s="1"/>
  <c r="F4806" i="2"/>
  <c r="G4806" i="2" s="1"/>
  <c r="F4805" i="2"/>
  <c r="G4805" i="2" s="1"/>
  <c r="F4804" i="2"/>
  <c r="G4804" i="2" s="1"/>
  <c r="F4803" i="2"/>
  <c r="G4803" i="2" s="1"/>
  <c r="F4802" i="2"/>
  <c r="G4802" i="2"/>
  <c r="F4801" i="2"/>
  <c r="G4801" i="2" s="1"/>
  <c r="F4800" i="2"/>
  <c r="G4800" i="2" s="1"/>
  <c r="F4799" i="2"/>
  <c r="G4799" i="2" s="1"/>
  <c r="F4798" i="2"/>
  <c r="G4798" i="2" s="1"/>
  <c r="F4797" i="2"/>
  <c r="G4797" i="2" s="1"/>
  <c r="F4796" i="2"/>
  <c r="G4796" i="2" s="1"/>
  <c r="F4795" i="2"/>
  <c r="G4795" i="2" s="1"/>
  <c r="F4794" i="2"/>
  <c r="G4794" i="2" s="1"/>
  <c r="F4793" i="2"/>
  <c r="G4793" i="2" s="1"/>
  <c r="F4792" i="2"/>
  <c r="G4792" i="2" s="1"/>
  <c r="F4791" i="2"/>
  <c r="G4791" i="2" s="1"/>
  <c r="F4790" i="2"/>
  <c r="G4790" i="2" s="1"/>
  <c r="F4789" i="2"/>
  <c r="G4789" i="2" s="1"/>
  <c r="F4788" i="2"/>
  <c r="G4788" i="2" s="1"/>
  <c r="F4787" i="2"/>
  <c r="G4787" i="2" s="1"/>
  <c r="F4786" i="2"/>
  <c r="G4786" i="2" s="1"/>
  <c r="F4785" i="2"/>
  <c r="G4785" i="2" s="1"/>
  <c r="F4784" i="2"/>
  <c r="G4784" i="2" s="1"/>
  <c r="F4783" i="2"/>
  <c r="G4783" i="2" s="1"/>
  <c r="F4782" i="2"/>
  <c r="G4782" i="2" s="1"/>
  <c r="F4781" i="2"/>
  <c r="G4781" i="2" s="1"/>
  <c r="F4780" i="2"/>
  <c r="G4780" i="2" s="1"/>
  <c r="F4779" i="2"/>
  <c r="G4779" i="2" s="1"/>
  <c r="F4778" i="2"/>
  <c r="G4778" i="2" s="1"/>
  <c r="F4777" i="2"/>
  <c r="G4777" i="2" s="1"/>
  <c r="F4776" i="2"/>
  <c r="G4776" i="2" s="1"/>
  <c r="F4775" i="2"/>
  <c r="G4775" i="2" s="1"/>
  <c r="F4774" i="2"/>
  <c r="G4774" i="2" s="1"/>
  <c r="F4773" i="2"/>
  <c r="G4773" i="2" s="1"/>
  <c r="F4772" i="2"/>
  <c r="G4772" i="2" s="1"/>
  <c r="F4771" i="2"/>
  <c r="G4771" i="2" s="1"/>
  <c r="F4770" i="2"/>
  <c r="G4770" i="2" s="1"/>
  <c r="F4769" i="2"/>
  <c r="G4769" i="2" s="1"/>
  <c r="F4768" i="2"/>
  <c r="G4768" i="2" s="1"/>
  <c r="F4767" i="2"/>
  <c r="G4767" i="2" s="1"/>
  <c r="F4766" i="2"/>
  <c r="G4766" i="2" s="1"/>
  <c r="F4765" i="2"/>
  <c r="G4765" i="2" s="1"/>
  <c r="F4764" i="2"/>
  <c r="G4764" i="2" s="1"/>
  <c r="F4763" i="2"/>
  <c r="G4763" i="2" s="1"/>
  <c r="F4762" i="2"/>
  <c r="G4762" i="2" s="1"/>
  <c r="F4761" i="2"/>
  <c r="G4761" i="2" s="1"/>
  <c r="F4760" i="2"/>
  <c r="G4760" i="2" s="1"/>
  <c r="F4759" i="2"/>
  <c r="G4759" i="2" s="1"/>
  <c r="F4758" i="2"/>
  <c r="G4758" i="2" s="1"/>
  <c r="F4757" i="2"/>
  <c r="G4757" i="2" s="1"/>
  <c r="F4756" i="2"/>
  <c r="G4756" i="2"/>
  <c r="F4755" i="2"/>
  <c r="G4755" i="2" s="1"/>
  <c r="F4754" i="2"/>
  <c r="G4754" i="2" s="1"/>
  <c r="F4753" i="2"/>
  <c r="G4753" i="2" s="1"/>
  <c r="F4752" i="2"/>
  <c r="G4752" i="2" s="1"/>
  <c r="F4751" i="2"/>
  <c r="G4751" i="2" s="1"/>
  <c r="F4750" i="2"/>
  <c r="G4750" i="2" s="1"/>
  <c r="F4749" i="2"/>
  <c r="G4749" i="2" s="1"/>
  <c r="F4748" i="2"/>
  <c r="G4748" i="2" s="1"/>
  <c r="F4747" i="2"/>
  <c r="G4747" i="2" s="1"/>
  <c r="F4746" i="2"/>
  <c r="G4746" i="2" s="1"/>
  <c r="F4745" i="2"/>
  <c r="G4745" i="2" s="1"/>
  <c r="F4744" i="2"/>
  <c r="G4744" i="2" s="1"/>
  <c r="F4743" i="2"/>
  <c r="G4743" i="2" s="1"/>
  <c r="F4742" i="2"/>
  <c r="G4742" i="2" s="1"/>
  <c r="F4741" i="2"/>
  <c r="G4741" i="2" s="1"/>
  <c r="F4740" i="2"/>
  <c r="G4740" i="2" s="1"/>
  <c r="F4739" i="2"/>
  <c r="G4739" i="2" s="1"/>
  <c r="F4738" i="2"/>
  <c r="G4738" i="2" s="1"/>
  <c r="F4737" i="2"/>
  <c r="G4737" i="2" s="1"/>
  <c r="F4736" i="2"/>
  <c r="G4736" i="2" s="1"/>
  <c r="F4735" i="2"/>
  <c r="G4735" i="2" s="1"/>
  <c r="F4734" i="2"/>
  <c r="G4734" i="2" s="1"/>
  <c r="F4733" i="2"/>
  <c r="G4733" i="2" s="1"/>
  <c r="F4732" i="2"/>
  <c r="G4732" i="2" s="1"/>
  <c r="F4731" i="2"/>
  <c r="G4731" i="2" s="1"/>
  <c r="F4730" i="2"/>
  <c r="G4730" i="2" s="1"/>
  <c r="F4729" i="2"/>
  <c r="G4729" i="2" s="1"/>
  <c r="F4728" i="2"/>
  <c r="G4728" i="2" s="1"/>
  <c r="F4727" i="2"/>
  <c r="G4727" i="2" s="1"/>
  <c r="F4726" i="2"/>
  <c r="G4726" i="2" s="1"/>
  <c r="F4725" i="2"/>
  <c r="G4725" i="2" s="1"/>
  <c r="F4724" i="2"/>
  <c r="G4724" i="2" s="1"/>
  <c r="F4723" i="2"/>
  <c r="G4723" i="2" s="1"/>
  <c r="F4722" i="2"/>
  <c r="G4722" i="2" s="1"/>
  <c r="F4721" i="2"/>
  <c r="G4721" i="2" s="1"/>
  <c r="F4720" i="2"/>
  <c r="G4720" i="2" s="1"/>
  <c r="F4719" i="2"/>
  <c r="G4719" i="2" s="1"/>
  <c r="F4718" i="2"/>
  <c r="G4718" i="2" s="1"/>
  <c r="F4717" i="2"/>
  <c r="G4717" i="2" s="1"/>
  <c r="F4716" i="2"/>
  <c r="G4716" i="2" s="1"/>
  <c r="F4715" i="2"/>
  <c r="G4715" i="2" s="1"/>
  <c r="F4714" i="2"/>
  <c r="G4714" i="2" s="1"/>
  <c r="F4713" i="2"/>
  <c r="G4713" i="2" s="1"/>
  <c r="F4712" i="2"/>
  <c r="G4712" i="2" s="1"/>
  <c r="F4711" i="2"/>
  <c r="G4711" i="2" s="1"/>
  <c r="F4710" i="2"/>
  <c r="G4710" i="2" s="1"/>
  <c r="F4709" i="2"/>
  <c r="G4709" i="2" s="1"/>
  <c r="F4708" i="2"/>
  <c r="G4708" i="2" s="1"/>
  <c r="H1137" i="1" s="1"/>
  <c r="F4707" i="2"/>
  <c r="G4707" i="2" s="1"/>
  <c r="F4706" i="2"/>
  <c r="G4706" i="2" s="1"/>
  <c r="F4705" i="2"/>
  <c r="G4705" i="2" s="1"/>
  <c r="F4704" i="2"/>
  <c r="G4704" i="2" s="1"/>
  <c r="F4703" i="2"/>
  <c r="G4703" i="2" s="1"/>
  <c r="F4702" i="2"/>
  <c r="G4702" i="2" s="1"/>
  <c r="F4701" i="2"/>
  <c r="G4701" i="2" s="1"/>
  <c r="F4700" i="2"/>
  <c r="G4700" i="2" s="1"/>
  <c r="F4699" i="2"/>
  <c r="G4699" i="2" s="1"/>
  <c r="F4698" i="2"/>
  <c r="G4698" i="2" s="1"/>
  <c r="F4697" i="2"/>
  <c r="G4697" i="2" s="1"/>
  <c r="F4696" i="2"/>
  <c r="G4696" i="2" s="1"/>
  <c r="F4695" i="2"/>
  <c r="G4695" i="2" s="1"/>
  <c r="F4694" i="2"/>
  <c r="G4694" i="2" s="1"/>
  <c r="F4693" i="2"/>
  <c r="G4693" i="2" s="1"/>
  <c r="F4692" i="2"/>
  <c r="G4692" i="2" s="1"/>
  <c r="F4691" i="2"/>
  <c r="G4691" i="2" s="1"/>
  <c r="F4690" i="2"/>
  <c r="G4690" i="2" s="1"/>
  <c r="F4689" i="2"/>
  <c r="G4689" i="2" s="1"/>
  <c r="F4688" i="2"/>
  <c r="G4688" i="2" s="1"/>
  <c r="F4687" i="2"/>
  <c r="G4687" i="2" s="1"/>
  <c r="F4686" i="2"/>
  <c r="G4686" i="2" s="1"/>
  <c r="F4685" i="2"/>
  <c r="G4685" i="2" s="1"/>
  <c r="F4684" i="2"/>
  <c r="G4684" i="2" s="1"/>
  <c r="F4683" i="2"/>
  <c r="G4683" i="2" s="1"/>
  <c r="F4682" i="2"/>
  <c r="G4682" i="2" s="1"/>
  <c r="F4681" i="2"/>
  <c r="G4681" i="2" s="1"/>
  <c r="F4680" i="2"/>
  <c r="G4680" i="2" s="1"/>
  <c r="F4679" i="2"/>
  <c r="G4679" i="2" s="1"/>
  <c r="F4678" i="2"/>
  <c r="G4678" i="2" s="1"/>
  <c r="F4677" i="2"/>
  <c r="G4677" i="2" s="1"/>
  <c r="F4676" i="2"/>
  <c r="G4676" i="2" s="1"/>
  <c r="F4675" i="2"/>
  <c r="G4675" i="2" s="1"/>
  <c r="F4674" i="2"/>
  <c r="G4674" i="2" s="1"/>
  <c r="F4673" i="2"/>
  <c r="G4673" i="2" s="1"/>
  <c r="F4672" i="2"/>
  <c r="G4672" i="2" s="1"/>
  <c r="F4671" i="2"/>
  <c r="G4671" i="2" s="1"/>
  <c r="F4670" i="2"/>
  <c r="G4670" i="2" s="1"/>
  <c r="F4669" i="2"/>
  <c r="G4669" i="2" s="1"/>
  <c r="F4668" i="2"/>
  <c r="G4668" i="2" s="1"/>
  <c r="F4667" i="2"/>
  <c r="G4667" i="2" s="1"/>
  <c r="F4666" i="2"/>
  <c r="G4666" i="2" s="1"/>
  <c r="F4665" i="2"/>
  <c r="G4665" i="2" s="1"/>
  <c r="F4664" i="2"/>
  <c r="G4664" i="2" s="1"/>
  <c r="F4663" i="2"/>
  <c r="G4663" i="2" s="1"/>
  <c r="F4662" i="2"/>
  <c r="G4662" i="2" s="1"/>
  <c r="F4661" i="2"/>
  <c r="G4661" i="2" s="1"/>
  <c r="F4660" i="2"/>
  <c r="G4660" i="2" s="1"/>
  <c r="F4659" i="2"/>
  <c r="G4659" i="2" s="1"/>
  <c r="F4658" i="2"/>
  <c r="G4658" i="2" s="1"/>
  <c r="F4657" i="2"/>
  <c r="G4657" i="2" s="1"/>
  <c r="F4656" i="2"/>
  <c r="G4656" i="2" s="1"/>
  <c r="F4655" i="2"/>
  <c r="G4655" i="2" s="1"/>
  <c r="F4654" i="2"/>
  <c r="G4654" i="2" s="1"/>
  <c r="F4653" i="2"/>
  <c r="G4653" i="2" s="1"/>
  <c r="F4652" i="2"/>
  <c r="G4652" i="2" s="1"/>
  <c r="F4651" i="2"/>
  <c r="G4651" i="2" s="1"/>
  <c r="F4650" i="2"/>
  <c r="G4650" i="2" s="1"/>
  <c r="F4649" i="2"/>
  <c r="G4649" i="2" s="1"/>
  <c r="F4648" i="2"/>
  <c r="G4648" i="2" s="1"/>
  <c r="F4647" i="2"/>
  <c r="G4647" i="2" s="1"/>
  <c r="F4646" i="2"/>
  <c r="G4646" i="2" s="1"/>
  <c r="F4645" i="2"/>
  <c r="G4645" i="2" s="1"/>
  <c r="F4644" i="2"/>
  <c r="G4644" i="2" s="1"/>
  <c r="F4643" i="2"/>
  <c r="G4643" i="2" s="1"/>
  <c r="F4642" i="2"/>
  <c r="G4642" i="2" s="1"/>
  <c r="F4641" i="2"/>
  <c r="G4641" i="2" s="1"/>
  <c r="F4640" i="2"/>
  <c r="G4640" i="2" s="1"/>
  <c r="F4639" i="2"/>
  <c r="G4639" i="2" s="1"/>
  <c r="F4638" i="2"/>
  <c r="G4638" i="2" s="1"/>
  <c r="F4637" i="2"/>
  <c r="G4637" i="2" s="1"/>
  <c r="F4636" i="2"/>
  <c r="G4636" i="2" s="1"/>
  <c r="F4635" i="2"/>
  <c r="G4635" i="2" s="1"/>
  <c r="F4634" i="2"/>
  <c r="G4634" i="2" s="1"/>
  <c r="F4633" i="2"/>
  <c r="G4633" i="2" s="1"/>
  <c r="F4632" i="2"/>
  <c r="G4632" i="2" s="1"/>
  <c r="F4631" i="2"/>
  <c r="G4631" i="2" s="1"/>
  <c r="F4630" i="2"/>
  <c r="G4630" i="2" s="1"/>
  <c r="F4629" i="2"/>
  <c r="G4629" i="2" s="1"/>
  <c r="F4628" i="2"/>
  <c r="G4628" i="2" s="1"/>
  <c r="F4627" i="2"/>
  <c r="G4627" i="2" s="1"/>
  <c r="F4626" i="2"/>
  <c r="G4626" i="2" s="1"/>
  <c r="F4625" i="2"/>
  <c r="G4625" i="2" s="1"/>
  <c r="F4624" i="2"/>
  <c r="G4624" i="2" s="1"/>
  <c r="F4623" i="2"/>
  <c r="G4623" i="2" s="1"/>
  <c r="F4622" i="2"/>
  <c r="G4622" i="2" s="1"/>
  <c r="F4621" i="2"/>
  <c r="G4621" i="2" s="1"/>
  <c r="F4620" i="2"/>
  <c r="G4620" i="2" s="1"/>
  <c r="F4619" i="2"/>
  <c r="G4619" i="2" s="1"/>
  <c r="F4618" i="2"/>
  <c r="G4618" i="2" s="1"/>
  <c r="F4617" i="2"/>
  <c r="G4617" i="2" s="1"/>
  <c r="F4616" i="2"/>
  <c r="G4616" i="2" s="1"/>
  <c r="F4615" i="2"/>
  <c r="G4615" i="2" s="1"/>
  <c r="F4614" i="2"/>
  <c r="G4614" i="2" s="1"/>
  <c r="F4613" i="2"/>
  <c r="G4613" i="2" s="1"/>
  <c r="F4612" i="2"/>
  <c r="G4612" i="2" s="1"/>
  <c r="F4611" i="2"/>
  <c r="G4611" i="2" s="1"/>
  <c r="F4610" i="2"/>
  <c r="G4610" i="2" s="1"/>
  <c r="F4609" i="2"/>
  <c r="G4609" i="2" s="1"/>
  <c r="F4608" i="2"/>
  <c r="G4608" i="2" s="1"/>
  <c r="F4607" i="2"/>
  <c r="G4607" i="2" s="1"/>
  <c r="F4606" i="2"/>
  <c r="G4606" i="2" s="1"/>
  <c r="F4605" i="2"/>
  <c r="G4605" i="2" s="1"/>
  <c r="F4604" i="2"/>
  <c r="G4604" i="2" s="1"/>
  <c r="F4603" i="2"/>
  <c r="G4603" i="2" s="1"/>
  <c r="F4602" i="2"/>
  <c r="G4602" i="2" s="1"/>
  <c r="F4601" i="2"/>
  <c r="G4601" i="2" s="1"/>
  <c r="F4600" i="2"/>
  <c r="G4600" i="2" s="1"/>
  <c r="F4599" i="2"/>
  <c r="G4599" i="2" s="1"/>
  <c r="F4598" i="2"/>
  <c r="G4598" i="2"/>
  <c r="F4597" i="2"/>
  <c r="G4597" i="2" s="1"/>
  <c r="F4596" i="2"/>
  <c r="G4596" i="2" s="1"/>
  <c r="F4595" i="2"/>
  <c r="G4595" i="2" s="1"/>
  <c r="F4594" i="2"/>
  <c r="G4594" i="2" s="1"/>
  <c r="F4593" i="2"/>
  <c r="G4593" i="2" s="1"/>
  <c r="F4592" i="2"/>
  <c r="G4592" i="2" s="1"/>
  <c r="F4591" i="2"/>
  <c r="G4591" i="2" s="1"/>
  <c r="F4590" i="2"/>
  <c r="G4590" i="2" s="1"/>
  <c r="F4589" i="2"/>
  <c r="G4589" i="2" s="1"/>
  <c r="F4588" i="2"/>
  <c r="G4588" i="2" s="1"/>
  <c r="F4587" i="2"/>
  <c r="G4587" i="2" s="1"/>
  <c r="F4586" i="2"/>
  <c r="G4586" i="2" s="1"/>
  <c r="F4585" i="2"/>
  <c r="G4585" i="2" s="1"/>
  <c r="F4584" i="2"/>
  <c r="G4584" i="2" s="1"/>
  <c r="F4583" i="2"/>
  <c r="G4583" i="2" s="1"/>
  <c r="F4582" i="2"/>
  <c r="G4582" i="2" s="1"/>
  <c r="F4581" i="2"/>
  <c r="G4581" i="2" s="1"/>
  <c r="F4580" i="2"/>
  <c r="G4580" i="2" s="1"/>
  <c r="F4579" i="2"/>
  <c r="G4579" i="2" s="1"/>
  <c r="F4578" i="2"/>
  <c r="G4578" i="2" s="1"/>
  <c r="F4577" i="2"/>
  <c r="G4577" i="2" s="1"/>
  <c r="F4576" i="2"/>
  <c r="G4576" i="2" s="1"/>
  <c r="F4575" i="2"/>
  <c r="G4575" i="2" s="1"/>
  <c r="F4574" i="2"/>
  <c r="G4574" i="2" s="1"/>
  <c r="F4573" i="2"/>
  <c r="G4573" i="2" s="1"/>
  <c r="F4572" i="2"/>
  <c r="G4572" i="2" s="1"/>
  <c r="F4571" i="2"/>
  <c r="G4571" i="2" s="1"/>
  <c r="F4570" i="2"/>
  <c r="G4570" i="2" s="1"/>
  <c r="F4569" i="2"/>
  <c r="G4569" i="2" s="1"/>
  <c r="F4568" i="2"/>
  <c r="G4568" i="2" s="1"/>
  <c r="F4567" i="2"/>
  <c r="G4567" i="2" s="1"/>
  <c r="F4566" i="2"/>
  <c r="G4566" i="2" s="1"/>
  <c r="F4565" i="2"/>
  <c r="G4565" i="2" s="1"/>
  <c r="F4564" i="2"/>
  <c r="G4564" i="2" s="1"/>
  <c r="F4563" i="2"/>
  <c r="G4563" i="2" s="1"/>
  <c r="F4562" i="2"/>
  <c r="G4562" i="2" s="1"/>
  <c r="F4561" i="2"/>
  <c r="G4561" i="2" s="1"/>
  <c r="F4560" i="2"/>
  <c r="G4560" i="2" s="1"/>
  <c r="F4559" i="2"/>
  <c r="G4559" i="2" s="1"/>
  <c r="F4558" i="2"/>
  <c r="G4558" i="2" s="1"/>
  <c r="F4557" i="2"/>
  <c r="G4557" i="2" s="1"/>
  <c r="F4556" i="2"/>
  <c r="G4556" i="2" s="1"/>
  <c r="F4555" i="2"/>
  <c r="G4555" i="2" s="1"/>
  <c r="F4554" i="2"/>
  <c r="G4554" i="2" s="1"/>
  <c r="F4553" i="2"/>
  <c r="G4553" i="2" s="1"/>
  <c r="F4552" i="2"/>
  <c r="G4552" i="2" s="1"/>
  <c r="F4551" i="2"/>
  <c r="G4551" i="2" s="1"/>
  <c r="F4550" i="2"/>
  <c r="G4550" i="2" s="1"/>
  <c r="F4549" i="2"/>
  <c r="G4549" i="2" s="1"/>
  <c r="F4548" i="2"/>
  <c r="G4548" i="2" s="1"/>
  <c r="F4547" i="2"/>
  <c r="G4547" i="2" s="1"/>
  <c r="F4546" i="2"/>
  <c r="G4546" i="2" s="1"/>
  <c r="F4545" i="2"/>
  <c r="G4545" i="2" s="1"/>
  <c r="F4544" i="2"/>
  <c r="G4544" i="2" s="1"/>
  <c r="F4543" i="2"/>
  <c r="G4543" i="2" s="1"/>
  <c r="F4542" i="2"/>
  <c r="G4542" i="2" s="1"/>
  <c r="F4541" i="2"/>
  <c r="G4541" i="2" s="1"/>
  <c r="F4540" i="2"/>
  <c r="G4540" i="2" s="1"/>
  <c r="F4539" i="2"/>
  <c r="G4539" i="2" s="1"/>
  <c r="F4538" i="2"/>
  <c r="G4538" i="2" s="1"/>
  <c r="F4537" i="2"/>
  <c r="G4537" i="2" s="1"/>
  <c r="F4536" i="2"/>
  <c r="G4536" i="2" s="1"/>
  <c r="F4535" i="2"/>
  <c r="G4535" i="2" s="1"/>
  <c r="F4534" i="2"/>
  <c r="G4534" i="2" s="1"/>
  <c r="F4533" i="2"/>
  <c r="G4533" i="2" s="1"/>
  <c r="F4532" i="2"/>
  <c r="G4532" i="2" s="1"/>
  <c r="F4531" i="2"/>
  <c r="G4531" i="2" s="1"/>
  <c r="F4530" i="2"/>
  <c r="G4530" i="2" s="1"/>
  <c r="F4529" i="2"/>
  <c r="G4529" i="2" s="1"/>
  <c r="F4528" i="2"/>
  <c r="G4528" i="2" s="1"/>
  <c r="F4527" i="2"/>
  <c r="G4527" i="2" s="1"/>
  <c r="F4526" i="2"/>
  <c r="G4526" i="2" s="1"/>
  <c r="F4525" i="2"/>
  <c r="G4525" i="2" s="1"/>
  <c r="F4524" i="2"/>
  <c r="G4524" i="2" s="1"/>
  <c r="F4523" i="2"/>
  <c r="G4523" i="2" s="1"/>
  <c r="F4522" i="2"/>
  <c r="G4522" i="2" s="1"/>
  <c r="F4521" i="2"/>
  <c r="G4521" i="2" s="1"/>
  <c r="F4520" i="2"/>
  <c r="G4520" i="2" s="1"/>
  <c r="F4519" i="2"/>
  <c r="G4519" i="2" s="1"/>
  <c r="F4518" i="2"/>
  <c r="G4518" i="2" s="1"/>
  <c r="F4517" i="2"/>
  <c r="G4517" i="2" s="1"/>
  <c r="F4516" i="2"/>
  <c r="G4516" i="2" s="1"/>
  <c r="F4515" i="2"/>
  <c r="G4515" i="2" s="1"/>
  <c r="F4514" i="2"/>
  <c r="G4514" i="2" s="1"/>
  <c r="F4513" i="2"/>
  <c r="G4513" i="2" s="1"/>
  <c r="F4512" i="2"/>
  <c r="G4512" i="2" s="1"/>
  <c r="F4511" i="2"/>
  <c r="G4511" i="2" s="1"/>
  <c r="F4510" i="2"/>
  <c r="G4510" i="2" s="1"/>
  <c r="F4509" i="2"/>
  <c r="G4509" i="2" s="1"/>
  <c r="F4508" i="2"/>
  <c r="G4508" i="2" s="1"/>
  <c r="F4507" i="2"/>
  <c r="G4507" i="2" s="1"/>
  <c r="F4506" i="2"/>
  <c r="G4506" i="2" s="1"/>
  <c r="F4505" i="2"/>
  <c r="G4505" i="2" s="1"/>
  <c r="F4504" i="2"/>
  <c r="G4504" i="2" s="1"/>
  <c r="F4503" i="2"/>
  <c r="G4503" i="2" s="1"/>
  <c r="F4502" i="2"/>
  <c r="G4502" i="2" s="1"/>
  <c r="F4501" i="2"/>
  <c r="G4501" i="2" s="1"/>
  <c r="F4500" i="2"/>
  <c r="G4500" i="2" s="1"/>
  <c r="F4499" i="2"/>
  <c r="G4499" i="2" s="1"/>
  <c r="F4498" i="2"/>
  <c r="G4498" i="2" s="1"/>
  <c r="F4497" i="2"/>
  <c r="G4497" i="2" s="1"/>
  <c r="F4496" i="2"/>
  <c r="G4496" i="2" s="1"/>
  <c r="F4495" i="2"/>
  <c r="G4495" i="2" s="1"/>
  <c r="F4494" i="2"/>
  <c r="G4494" i="2" s="1"/>
  <c r="F4493" i="2"/>
  <c r="G4493" i="2" s="1"/>
  <c r="F4492" i="2"/>
  <c r="G4492" i="2" s="1"/>
  <c r="F4491" i="2"/>
  <c r="G4491" i="2" s="1"/>
  <c r="F4490" i="2"/>
  <c r="G4490" i="2" s="1"/>
  <c r="F4489" i="2"/>
  <c r="G4489" i="2" s="1"/>
  <c r="F4488" i="2"/>
  <c r="G4488" i="2" s="1"/>
  <c r="F4487" i="2"/>
  <c r="G4487" i="2" s="1"/>
  <c r="F4486" i="2"/>
  <c r="G4486" i="2" s="1"/>
  <c r="F4485" i="2"/>
  <c r="G4485" i="2" s="1"/>
  <c r="F4484" i="2"/>
  <c r="G4484" i="2" s="1"/>
  <c r="F4483" i="2"/>
  <c r="G4483" i="2" s="1"/>
  <c r="F4482" i="2"/>
  <c r="G4482" i="2" s="1"/>
  <c r="F4481" i="2"/>
  <c r="G4481" i="2" s="1"/>
  <c r="F4480" i="2"/>
  <c r="G4480" i="2" s="1"/>
  <c r="F4479" i="2"/>
  <c r="G4479" i="2" s="1"/>
  <c r="F4478" i="2"/>
  <c r="G4478" i="2" s="1"/>
  <c r="F4477" i="2"/>
  <c r="G4477" i="2" s="1"/>
  <c r="F4476" i="2"/>
  <c r="G4476" i="2" s="1"/>
  <c r="F4475" i="2"/>
  <c r="G4475" i="2" s="1"/>
  <c r="F4474" i="2"/>
  <c r="G4474" i="2" s="1"/>
  <c r="F4473" i="2"/>
  <c r="G4473" i="2" s="1"/>
  <c r="F4472" i="2"/>
  <c r="G4472" i="2" s="1"/>
  <c r="F4471" i="2"/>
  <c r="G4471" i="2" s="1"/>
  <c r="F4470" i="2"/>
  <c r="G4470" i="2" s="1"/>
  <c r="F4469" i="2"/>
  <c r="G4469" i="2" s="1"/>
  <c r="F4468" i="2"/>
  <c r="G4468" i="2" s="1"/>
  <c r="F4467" i="2"/>
  <c r="G4467" i="2" s="1"/>
  <c r="F4466" i="2"/>
  <c r="G4466" i="2" s="1"/>
  <c r="F4465" i="2"/>
  <c r="G4465" i="2" s="1"/>
  <c r="F4464" i="2"/>
  <c r="G4464" i="2" s="1"/>
  <c r="F4463" i="2"/>
  <c r="G4463" i="2" s="1"/>
  <c r="F4462" i="2"/>
  <c r="G4462" i="2" s="1"/>
  <c r="F4461" i="2"/>
  <c r="G4461" i="2" s="1"/>
  <c r="F4460" i="2"/>
  <c r="G4460" i="2" s="1"/>
  <c r="F4459" i="2"/>
  <c r="G4459" i="2" s="1"/>
  <c r="F4458" i="2"/>
  <c r="G4458" i="2" s="1"/>
  <c r="F4457" i="2"/>
  <c r="G4457" i="2" s="1"/>
  <c r="F4456" i="2"/>
  <c r="G4456" i="2" s="1"/>
  <c r="F4455" i="2"/>
  <c r="G4455" i="2" s="1"/>
  <c r="F4454" i="2"/>
  <c r="G4454" i="2" s="1"/>
  <c r="F4453" i="2"/>
  <c r="G4453" i="2" s="1"/>
  <c r="F4452" i="2"/>
  <c r="G4452" i="2" s="1"/>
  <c r="F4451" i="2"/>
  <c r="G4451" i="2" s="1"/>
  <c r="F4450" i="2"/>
  <c r="G4450" i="2" s="1"/>
  <c r="F4449" i="2"/>
  <c r="G4449" i="2" s="1"/>
  <c r="F4448" i="2"/>
  <c r="G4448" i="2" s="1"/>
  <c r="F4447" i="2"/>
  <c r="G4447" i="2" s="1"/>
  <c r="F4446" i="2"/>
  <c r="G4446" i="2" s="1"/>
  <c r="F4445" i="2"/>
  <c r="G4445" i="2" s="1"/>
  <c r="F4444" i="2"/>
  <c r="G4444" i="2" s="1"/>
  <c r="F4443" i="2"/>
  <c r="G4443" i="2" s="1"/>
  <c r="F4442" i="2"/>
  <c r="G4442" i="2" s="1"/>
  <c r="F4441" i="2"/>
  <c r="G4441" i="2" s="1"/>
  <c r="F4440" i="2"/>
  <c r="G4440" i="2" s="1"/>
  <c r="F4439" i="2"/>
  <c r="G4439" i="2" s="1"/>
  <c r="F4438" i="2"/>
  <c r="G4438" i="2" s="1"/>
  <c r="F4437" i="2"/>
  <c r="G4437" i="2" s="1"/>
  <c r="F4436" i="2"/>
  <c r="G4436" i="2" s="1"/>
  <c r="F4435" i="2"/>
  <c r="G4435" i="2" s="1"/>
  <c r="F4434" i="2"/>
  <c r="G4434" i="2" s="1"/>
  <c r="F4433" i="2"/>
  <c r="G4433" i="2" s="1"/>
  <c r="F4432" i="2"/>
  <c r="G4432" i="2" s="1"/>
  <c r="F4431" i="2"/>
  <c r="G4431" i="2" s="1"/>
  <c r="F4430" i="2"/>
  <c r="G4430" i="2" s="1"/>
  <c r="F4429" i="2"/>
  <c r="G4429" i="2" s="1"/>
  <c r="F4428" i="2"/>
  <c r="G4428" i="2" s="1"/>
  <c r="F4427" i="2"/>
  <c r="G4427" i="2" s="1"/>
  <c r="F4426" i="2"/>
  <c r="G4426" i="2" s="1"/>
  <c r="F4425" i="2"/>
  <c r="G4425" i="2" s="1"/>
  <c r="F4424" i="2"/>
  <c r="G4424" i="2" s="1"/>
  <c r="F4423" i="2"/>
  <c r="G4423" i="2" s="1"/>
  <c r="F4422" i="2"/>
  <c r="G4422" i="2" s="1"/>
  <c r="F4421" i="2"/>
  <c r="G4421" i="2" s="1"/>
  <c r="F4420" i="2"/>
  <c r="G4420" i="2" s="1"/>
  <c r="F4419" i="2"/>
  <c r="G4419" i="2" s="1"/>
  <c r="F4418" i="2"/>
  <c r="G4418" i="2" s="1"/>
  <c r="F4417" i="2"/>
  <c r="G4417" i="2" s="1"/>
  <c r="F4416" i="2"/>
  <c r="G4416" i="2" s="1"/>
  <c r="F4415" i="2"/>
  <c r="G4415" i="2" s="1"/>
  <c r="F4414" i="2"/>
  <c r="G4414" i="2" s="1"/>
  <c r="F4413" i="2"/>
  <c r="G4413" i="2" s="1"/>
  <c r="F4412" i="2"/>
  <c r="G4412" i="2" s="1"/>
  <c r="F4411" i="2"/>
  <c r="G4411" i="2" s="1"/>
  <c r="F4410" i="2"/>
  <c r="G4410" i="2" s="1"/>
  <c r="F4409" i="2"/>
  <c r="G4409" i="2" s="1"/>
  <c r="F4408" i="2"/>
  <c r="G4408" i="2" s="1"/>
  <c r="F4407" i="2"/>
  <c r="G4407" i="2" s="1"/>
  <c r="F4406" i="2"/>
  <c r="G4406" i="2" s="1"/>
  <c r="F4405" i="2"/>
  <c r="G4405" i="2" s="1"/>
  <c r="F4404" i="2"/>
  <c r="G4404" i="2" s="1"/>
  <c r="F4403" i="2"/>
  <c r="G4403" i="2" s="1"/>
  <c r="F4402" i="2"/>
  <c r="G4402" i="2" s="1"/>
  <c r="F4401" i="2"/>
  <c r="G4401" i="2" s="1"/>
  <c r="F4400" i="2"/>
  <c r="G4400" i="2" s="1"/>
  <c r="F4399" i="2"/>
  <c r="G4399" i="2" s="1"/>
  <c r="F4398" i="2"/>
  <c r="G4398" i="2" s="1"/>
  <c r="F4397" i="2"/>
  <c r="G4397" i="2" s="1"/>
  <c r="F4396" i="2"/>
  <c r="G4396" i="2" s="1"/>
  <c r="F4395" i="2"/>
  <c r="G4395" i="2" s="1"/>
  <c r="F4394" i="2"/>
  <c r="G4394" i="2" s="1"/>
  <c r="F4393" i="2"/>
  <c r="G4393" i="2" s="1"/>
  <c r="F4392" i="2"/>
  <c r="G4392" i="2" s="1"/>
  <c r="F4391" i="2"/>
  <c r="G4391" i="2" s="1"/>
  <c r="F4390" i="2"/>
  <c r="G4390" i="2" s="1"/>
  <c r="F4389" i="2"/>
  <c r="G4389" i="2" s="1"/>
  <c r="F4388" i="2"/>
  <c r="G4388" i="2" s="1"/>
  <c r="F4387" i="2"/>
  <c r="G4387" i="2" s="1"/>
  <c r="F4386" i="2"/>
  <c r="G4386" i="2" s="1"/>
  <c r="F4385" i="2"/>
  <c r="G4385" i="2" s="1"/>
  <c r="F4384" i="2"/>
  <c r="G4384" i="2" s="1"/>
  <c r="F4383" i="2"/>
  <c r="G4383" i="2" s="1"/>
  <c r="F4382" i="2"/>
  <c r="G4382" i="2" s="1"/>
  <c r="F4381" i="2"/>
  <c r="G4381" i="2" s="1"/>
  <c r="F4380" i="2"/>
  <c r="G4380" i="2" s="1"/>
  <c r="F4379" i="2"/>
  <c r="G4379" i="2" s="1"/>
  <c r="F4378" i="2"/>
  <c r="G4378" i="2" s="1"/>
  <c r="F4377" i="2"/>
  <c r="G4377" i="2" s="1"/>
  <c r="F4376" i="2"/>
  <c r="G4376" i="2" s="1"/>
  <c r="F4375" i="2"/>
  <c r="G4375" i="2" s="1"/>
  <c r="F4374" i="2"/>
  <c r="G4374" i="2" s="1"/>
  <c r="F4373" i="2"/>
  <c r="G4373" i="2" s="1"/>
  <c r="F4372" i="2"/>
  <c r="G4372" i="2" s="1"/>
  <c r="F4371" i="2"/>
  <c r="G4371" i="2" s="1"/>
  <c r="F4370" i="2"/>
  <c r="G4370" i="2" s="1"/>
  <c r="F4369" i="2"/>
  <c r="G4369" i="2" s="1"/>
  <c r="F4368" i="2"/>
  <c r="G4368" i="2" s="1"/>
  <c r="F4367" i="2"/>
  <c r="G4367" i="2" s="1"/>
  <c r="F4366" i="2"/>
  <c r="G4366" i="2" s="1"/>
  <c r="H1242" i="1" s="1"/>
  <c r="F4365" i="2"/>
  <c r="G4365" i="2" s="1"/>
  <c r="F4364" i="2"/>
  <c r="G4364" i="2" s="1"/>
  <c r="F4363" i="2"/>
  <c r="G4363" i="2" s="1"/>
  <c r="F4362" i="2"/>
  <c r="G4362" i="2" s="1"/>
  <c r="F4361" i="2"/>
  <c r="G4361" i="2" s="1"/>
  <c r="F4360" i="2"/>
  <c r="G4360" i="2" s="1"/>
  <c r="F4359" i="2"/>
  <c r="G4359" i="2" s="1"/>
  <c r="F4358" i="2"/>
  <c r="G4358" i="2" s="1"/>
  <c r="F4357" i="2"/>
  <c r="G4357" i="2" s="1"/>
  <c r="F4356" i="2"/>
  <c r="G4356" i="2" s="1"/>
  <c r="F4355" i="2"/>
  <c r="G4355" i="2" s="1"/>
  <c r="F4354" i="2"/>
  <c r="G4354" i="2" s="1"/>
  <c r="F4353" i="2"/>
  <c r="G4353" i="2" s="1"/>
  <c r="F4352" i="2"/>
  <c r="G4352" i="2" s="1"/>
  <c r="F4351" i="2"/>
  <c r="G4351" i="2" s="1"/>
  <c r="F4350" i="2"/>
  <c r="G4350" i="2" s="1"/>
  <c r="F4349" i="2"/>
  <c r="G4349" i="2" s="1"/>
  <c r="F4348" i="2"/>
  <c r="G4348" i="2" s="1"/>
  <c r="F4347" i="2"/>
  <c r="G4347" i="2" s="1"/>
  <c r="F4346" i="2"/>
  <c r="G4346" i="2" s="1"/>
  <c r="F4345" i="2"/>
  <c r="G4345" i="2" s="1"/>
  <c r="F4344" i="2"/>
  <c r="G4344" i="2" s="1"/>
  <c r="F4343" i="2"/>
  <c r="G4343" i="2" s="1"/>
  <c r="F4342" i="2"/>
  <c r="G4342" i="2" s="1"/>
  <c r="F4341" i="2"/>
  <c r="G4341" i="2" s="1"/>
  <c r="F4340" i="2"/>
  <c r="G4340" i="2" s="1"/>
  <c r="F4339" i="2"/>
  <c r="G4339" i="2" s="1"/>
  <c r="F4338" i="2"/>
  <c r="G4338" i="2" s="1"/>
  <c r="F4337" i="2"/>
  <c r="G4337" i="2" s="1"/>
  <c r="F4336" i="2"/>
  <c r="G4336" i="2" s="1"/>
  <c r="F4335" i="2"/>
  <c r="G4335" i="2" s="1"/>
  <c r="F4334" i="2"/>
  <c r="G4334" i="2" s="1"/>
  <c r="F4333" i="2"/>
  <c r="G4333" i="2" s="1"/>
  <c r="F4332" i="2"/>
  <c r="G4332" i="2" s="1"/>
  <c r="F4331" i="2"/>
  <c r="G4331" i="2" s="1"/>
  <c r="F4330" i="2"/>
  <c r="G4330" i="2" s="1"/>
  <c r="F4329" i="2"/>
  <c r="G4329" i="2" s="1"/>
  <c r="F4328" i="2"/>
  <c r="G4328" i="2" s="1"/>
  <c r="F4327" i="2"/>
  <c r="G4327" i="2" s="1"/>
  <c r="F4326" i="2"/>
  <c r="G4326" i="2" s="1"/>
  <c r="F4325" i="2"/>
  <c r="G4325" i="2" s="1"/>
  <c r="F4324" i="2"/>
  <c r="G4324" i="2" s="1"/>
  <c r="F4323" i="2"/>
  <c r="G4323" i="2" s="1"/>
  <c r="F4322" i="2"/>
  <c r="G4322" i="2" s="1"/>
  <c r="F4321" i="2"/>
  <c r="G4321" i="2" s="1"/>
  <c r="F4320" i="2"/>
  <c r="G4320" i="2" s="1"/>
  <c r="F4319" i="2"/>
  <c r="G4319" i="2" s="1"/>
  <c r="F4318" i="2"/>
  <c r="G4318" i="2" s="1"/>
  <c r="F4317" i="2"/>
  <c r="G4317" i="2" s="1"/>
  <c r="F4316" i="2"/>
  <c r="G4316" i="2" s="1"/>
  <c r="F4315" i="2"/>
  <c r="G4315" i="2" s="1"/>
  <c r="F4314" i="2"/>
  <c r="G4314" i="2" s="1"/>
  <c r="F4313" i="2"/>
  <c r="G4313" i="2" s="1"/>
  <c r="F4312" i="2"/>
  <c r="G4312" i="2" s="1"/>
  <c r="F4311" i="2"/>
  <c r="G4311" i="2" s="1"/>
  <c r="F4310" i="2"/>
  <c r="G4310" i="2" s="1"/>
  <c r="F4309" i="2"/>
  <c r="G4309" i="2" s="1"/>
  <c r="F4308" i="2"/>
  <c r="G4308" i="2" s="1"/>
  <c r="F4307" i="2"/>
  <c r="G4307" i="2" s="1"/>
  <c r="F4306" i="2"/>
  <c r="G4306" i="2" s="1"/>
  <c r="F4305" i="2"/>
  <c r="G4305" i="2" s="1"/>
  <c r="F4304" i="2"/>
  <c r="G4304" i="2" s="1"/>
  <c r="F4303" i="2"/>
  <c r="G4303" i="2" s="1"/>
  <c r="F4302" i="2"/>
  <c r="G4302" i="2" s="1"/>
  <c r="F4301" i="2"/>
  <c r="G4301" i="2" s="1"/>
  <c r="F4300" i="2"/>
  <c r="G4300" i="2" s="1"/>
  <c r="F4299" i="2"/>
  <c r="G4299" i="2" s="1"/>
  <c r="F4298" i="2"/>
  <c r="G4298" i="2" s="1"/>
  <c r="H932" i="1" s="1"/>
  <c r="F4297" i="2"/>
  <c r="G4297" i="2" s="1"/>
  <c r="F4296" i="2"/>
  <c r="G4296" i="2" s="1"/>
  <c r="F4295" i="2"/>
  <c r="G4295" i="2" s="1"/>
  <c r="F4294" i="2"/>
  <c r="G4294" i="2" s="1"/>
  <c r="F4293" i="2"/>
  <c r="G4293" i="2" s="1"/>
  <c r="F4292" i="2"/>
  <c r="G4292" i="2" s="1"/>
  <c r="F4291" i="2"/>
  <c r="G4291" i="2" s="1"/>
  <c r="F4290" i="2"/>
  <c r="G4290" i="2" s="1"/>
  <c r="F4289" i="2"/>
  <c r="G4289" i="2" s="1"/>
  <c r="F4288" i="2"/>
  <c r="G4288" i="2" s="1"/>
  <c r="F4287" i="2"/>
  <c r="G4287" i="2" s="1"/>
  <c r="F4286" i="2"/>
  <c r="G4286" i="2" s="1"/>
  <c r="F4285" i="2"/>
  <c r="G4285" i="2" s="1"/>
  <c r="F4284" i="2"/>
  <c r="G4284" i="2" s="1"/>
  <c r="F4283" i="2"/>
  <c r="G4283" i="2" s="1"/>
  <c r="F4282" i="2"/>
  <c r="G4282" i="2" s="1"/>
  <c r="F4281" i="2"/>
  <c r="G4281" i="2" s="1"/>
  <c r="F4280" i="2"/>
  <c r="G4280" i="2" s="1"/>
  <c r="F4279" i="2"/>
  <c r="G4279" i="2" s="1"/>
  <c r="F4278" i="2"/>
  <c r="G4278" i="2" s="1"/>
  <c r="F4277" i="2"/>
  <c r="G4277" i="2" s="1"/>
  <c r="F4276" i="2"/>
  <c r="G4276" i="2" s="1"/>
  <c r="F4275" i="2"/>
  <c r="G4275" i="2" s="1"/>
  <c r="F4274" i="2"/>
  <c r="G4274" i="2" s="1"/>
  <c r="F4273" i="2"/>
  <c r="G4273" i="2" s="1"/>
  <c r="F4272" i="2"/>
  <c r="G4272" i="2" s="1"/>
  <c r="F4271" i="2"/>
  <c r="G4271" i="2" s="1"/>
  <c r="F4270" i="2"/>
  <c r="G4270" i="2" s="1"/>
  <c r="F4269" i="2"/>
  <c r="G4269" i="2" s="1"/>
  <c r="F4268" i="2"/>
  <c r="G4268" i="2" s="1"/>
  <c r="F4267" i="2"/>
  <c r="G4267" i="2" s="1"/>
  <c r="F4266" i="2"/>
  <c r="G4266" i="2" s="1"/>
  <c r="F4265" i="2"/>
  <c r="G4265" i="2" s="1"/>
  <c r="F4264" i="2"/>
  <c r="G4264" i="2" s="1"/>
  <c r="F4263" i="2"/>
  <c r="G4263" i="2" s="1"/>
  <c r="F4262" i="2"/>
  <c r="G4262" i="2" s="1"/>
  <c r="F4261" i="2"/>
  <c r="G4261" i="2" s="1"/>
  <c r="F4260" i="2"/>
  <c r="G4260" i="2" s="1"/>
  <c r="F4259" i="2"/>
  <c r="G4259" i="2" s="1"/>
  <c r="F4258" i="2"/>
  <c r="G4258" i="2" s="1"/>
  <c r="F4257" i="2"/>
  <c r="G4257" i="2" s="1"/>
  <c r="F4256" i="2"/>
  <c r="G4256" i="2" s="1"/>
  <c r="F4255" i="2"/>
  <c r="G4255" i="2" s="1"/>
  <c r="F4254" i="2"/>
  <c r="G4254" i="2" s="1"/>
  <c r="F4253" i="2"/>
  <c r="G4253" i="2" s="1"/>
  <c r="F4252" i="2"/>
  <c r="G4252" i="2" s="1"/>
  <c r="F4251" i="2"/>
  <c r="G4251" i="2" s="1"/>
  <c r="F4250" i="2"/>
  <c r="G4250" i="2" s="1"/>
  <c r="F4249" i="2"/>
  <c r="G4249" i="2" s="1"/>
  <c r="F4248" i="2"/>
  <c r="G4248" i="2" s="1"/>
  <c r="F4247" i="2"/>
  <c r="G4247" i="2" s="1"/>
  <c r="F4246" i="2"/>
  <c r="G4246" i="2" s="1"/>
  <c r="F4245" i="2"/>
  <c r="G4245" i="2" s="1"/>
  <c r="F4244" i="2"/>
  <c r="G4244" i="2" s="1"/>
  <c r="F4243" i="2"/>
  <c r="G4243" i="2" s="1"/>
  <c r="F4242" i="2"/>
  <c r="G4242" i="2" s="1"/>
  <c r="F4241" i="2"/>
  <c r="G4241" i="2" s="1"/>
  <c r="F4240" i="2"/>
  <c r="G4240" i="2" s="1"/>
  <c r="F4239" i="2"/>
  <c r="G4239" i="2" s="1"/>
  <c r="F4238" i="2"/>
  <c r="G4238" i="2" s="1"/>
  <c r="F4237" i="2"/>
  <c r="G4237" i="2" s="1"/>
  <c r="F4236" i="2"/>
  <c r="G4236" i="2" s="1"/>
  <c r="F4235" i="2"/>
  <c r="G4235" i="2" s="1"/>
  <c r="F4234" i="2"/>
  <c r="G4234" i="2" s="1"/>
  <c r="F4233" i="2"/>
  <c r="G4233" i="2" s="1"/>
  <c r="F4232" i="2"/>
  <c r="G4232" i="2" s="1"/>
  <c r="F4231" i="2"/>
  <c r="G4231" i="2" s="1"/>
  <c r="F4230" i="2"/>
  <c r="G4230" i="2" s="1"/>
  <c r="F4229" i="2"/>
  <c r="G4229" i="2" s="1"/>
  <c r="F4228" i="2"/>
  <c r="G4228" i="2" s="1"/>
  <c r="F4227" i="2"/>
  <c r="G4227" i="2" s="1"/>
  <c r="F4226" i="2"/>
  <c r="G4226" i="2" s="1"/>
  <c r="F4225" i="2"/>
  <c r="G4225" i="2" s="1"/>
  <c r="F4224" i="2"/>
  <c r="G4224" i="2" s="1"/>
  <c r="F4223" i="2"/>
  <c r="G4223" i="2" s="1"/>
  <c r="F4222" i="2"/>
  <c r="G4222" i="2" s="1"/>
  <c r="F4221" i="2"/>
  <c r="G4221" i="2" s="1"/>
  <c r="F4220" i="2"/>
  <c r="G4220" i="2" s="1"/>
  <c r="F4219" i="2"/>
  <c r="G4219" i="2" s="1"/>
  <c r="F4218" i="2"/>
  <c r="G4218" i="2" s="1"/>
  <c r="F4217" i="2"/>
  <c r="G4217" i="2" s="1"/>
  <c r="F4216" i="2"/>
  <c r="G4216" i="2" s="1"/>
  <c r="F4215" i="2"/>
  <c r="G4215" i="2" s="1"/>
  <c r="F4214" i="2"/>
  <c r="G4214" i="2" s="1"/>
  <c r="F4213" i="2"/>
  <c r="G4213" i="2" s="1"/>
  <c r="F4212" i="2"/>
  <c r="G4212" i="2" s="1"/>
  <c r="F4211" i="2"/>
  <c r="G4211" i="2" s="1"/>
  <c r="F4210" i="2"/>
  <c r="G4210" i="2" s="1"/>
  <c r="F4209" i="2"/>
  <c r="G4209" i="2" s="1"/>
  <c r="F4208" i="2"/>
  <c r="G4208" i="2" s="1"/>
  <c r="F4207" i="2"/>
  <c r="G4207" i="2" s="1"/>
  <c r="F4206" i="2"/>
  <c r="G4206" i="2" s="1"/>
  <c r="F4205" i="2"/>
  <c r="G4205" i="2" s="1"/>
  <c r="F4204" i="2"/>
  <c r="G4204" i="2" s="1"/>
  <c r="F4203" i="2"/>
  <c r="G4203" i="2" s="1"/>
  <c r="F4202" i="2"/>
  <c r="G4202" i="2" s="1"/>
  <c r="F4201" i="2"/>
  <c r="G4201" i="2" s="1"/>
  <c r="F4200" i="2"/>
  <c r="G4200" i="2" s="1"/>
  <c r="F4199" i="2"/>
  <c r="G4199" i="2" s="1"/>
  <c r="F4198" i="2"/>
  <c r="G4198" i="2" s="1"/>
  <c r="F4197" i="2"/>
  <c r="G4197" i="2" s="1"/>
  <c r="F4196" i="2"/>
  <c r="G4196" i="2" s="1"/>
  <c r="F4195" i="2"/>
  <c r="G4195" i="2" s="1"/>
  <c r="F4194" i="2"/>
  <c r="G4194" i="2" s="1"/>
  <c r="F4193" i="2"/>
  <c r="G4193" i="2" s="1"/>
  <c r="F4192" i="2"/>
  <c r="G4192" i="2" s="1"/>
  <c r="F4191" i="2"/>
  <c r="G4191" i="2" s="1"/>
  <c r="F4190" i="2"/>
  <c r="G4190" i="2" s="1"/>
  <c r="F4189" i="2"/>
  <c r="G4189" i="2" s="1"/>
  <c r="F4188" i="2"/>
  <c r="G4188" i="2" s="1"/>
  <c r="F4187" i="2"/>
  <c r="G4187" i="2" s="1"/>
  <c r="F4186" i="2"/>
  <c r="G4186" i="2" s="1"/>
  <c r="F4185" i="2"/>
  <c r="G4185" i="2" s="1"/>
  <c r="F4184" i="2"/>
  <c r="G4184" i="2" s="1"/>
  <c r="F4183" i="2"/>
  <c r="G4183" i="2" s="1"/>
  <c r="F4182" i="2"/>
  <c r="G4182" i="2" s="1"/>
  <c r="F4181" i="2"/>
  <c r="G4181" i="2" s="1"/>
  <c r="F4180" i="2"/>
  <c r="G4180" i="2" s="1"/>
  <c r="F4179" i="2"/>
  <c r="G4179" i="2" s="1"/>
  <c r="F4178" i="2"/>
  <c r="G4178" i="2" s="1"/>
  <c r="F4177" i="2"/>
  <c r="G4177" i="2" s="1"/>
  <c r="F4176" i="2"/>
  <c r="G4176" i="2" s="1"/>
  <c r="F4175" i="2"/>
  <c r="G4175" i="2" s="1"/>
  <c r="F4174" i="2"/>
  <c r="G4174" i="2" s="1"/>
  <c r="F4173" i="2"/>
  <c r="G4173" i="2" s="1"/>
  <c r="F4172" i="2"/>
  <c r="G4172" i="2" s="1"/>
  <c r="F4171" i="2"/>
  <c r="G4171" i="2" s="1"/>
  <c r="F4170" i="2"/>
  <c r="G4170" i="2" s="1"/>
  <c r="F4169" i="2"/>
  <c r="G4169" i="2" s="1"/>
  <c r="F4168" i="2"/>
  <c r="G4168" i="2" s="1"/>
  <c r="F4167" i="2"/>
  <c r="G4167" i="2" s="1"/>
  <c r="F4166" i="2"/>
  <c r="G4166" i="2" s="1"/>
  <c r="F4165" i="2"/>
  <c r="G4165" i="2" s="1"/>
  <c r="F4164" i="2"/>
  <c r="G4164" i="2" s="1"/>
  <c r="F4163" i="2"/>
  <c r="G4163" i="2" s="1"/>
  <c r="F4162" i="2"/>
  <c r="G4162" i="2" s="1"/>
  <c r="F4161" i="2"/>
  <c r="G4161" i="2" s="1"/>
  <c r="F4160" i="2"/>
  <c r="G4160" i="2" s="1"/>
  <c r="F4159" i="2"/>
  <c r="G4159" i="2" s="1"/>
  <c r="F4158" i="2"/>
  <c r="G4158" i="2" s="1"/>
  <c r="F4157" i="2"/>
  <c r="G4157" i="2" s="1"/>
  <c r="F4156" i="2"/>
  <c r="G4156" i="2" s="1"/>
  <c r="F4155" i="2"/>
  <c r="G4155" i="2" s="1"/>
  <c r="F4154" i="2"/>
  <c r="G4154" i="2" s="1"/>
  <c r="F4153" i="2"/>
  <c r="G4153" i="2" s="1"/>
  <c r="F4152" i="2"/>
  <c r="G4152" i="2" s="1"/>
  <c r="F4151" i="2"/>
  <c r="G4151" i="2" s="1"/>
  <c r="F4150" i="2"/>
  <c r="G4150" i="2" s="1"/>
  <c r="F4149" i="2"/>
  <c r="G4149" i="2" s="1"/>
  <c r="F4148" i="2"/>
  <c r="G4148" i="2" s="1"/>
  <c r="F4147" i="2"/>
  <c r="G4147" i="2" s="1"/>
  <c r="F4146" i="2"/>
  <c r="G4146" i="2" s="1"/>
  <c r="F4145" i="2"/>
  <c r="G4145" i="2" s="1"/>
  <c r="F4144" i="2"/>
  <c r="G4144" i="2" s="1"/>
  <c r="F4143" i="2"/>
  <c r="G4143" i="2" s="1"/>
  <c r="F4142" i="2"/>
  <c r="G4142" i="2" s="1"/>
  <c r="F4141" i="2"/>
  <c r="G4141" i="2" s="1"/>
  <c r="F4140" i="2"/>
  <c r="G4140" i="2" s="1"/>
  <c r="F4139" i="2"/>
  <c r="G4139" i="2" s="1"/>
  <c r="F4138" i="2"/>
  <c r="G4138" i="2" s="1"/>
  <c r="F4137" i="2"/>
  <c r="G4137" i="2" s="1"/>
  <c r="F4136" i="2"/>
  <c r="G4136" i="2" s="1"/>
  <c r="F4135" i="2"/>
  <c r="G4135" i="2" s="1"/>
  <c r="F4134" i="2"/>
  <c r="G4134" i="2" s="1"/>
  <c r="F4133" i="2"/>
  <c r="G4133" i="2" s="1"/>
  <c r="F4132" i="2"/>
  <c r="G4132" i="2" s="1"/>
  <c r="F4131" i="2"/>
  <c r="G4131" i="2" s="1"/>
  <c r="F4130" i="2"/>
  <c r="G4130" i="2" s="1"/>
  <c r="F4129" i="2"/>
  <c r="G4129" i="2" s="1"/>
  <c r="F4128" i="2"/>
  <c r="G4128" i="2" s="1"/>
  <c r="F4127" i="2"/>
  <c r="G4127" i="2" s="1"/>
  <c r="F4126" i="2"/>
  <c r="G4126" i="2" s="1"/>
  <c r="F4125" i="2"/>
  <c r="G4125" i="2" s="1"/>
  <c r="F4124" i="2"/>
  <c r="G4124" i="2" s="1"/>
  <c r="F4123" i="2"/>
  <c r="G4123" i="2" s="1"/>
  <c r="F4122" i="2"/>
  <c r="G4122" i="2" s="1"/>
  <c r="F4121" i="2"/>
  <c r="G4121" i="2" s="1"/>
  <c r="F4120" i="2"/>
  <c r="G4120" i="2" s="1"/>
  <c r="F4119" i="2"/>
  <c r="G4119" i="2" s="1"/>
  <c r="F4118" i="2"/>
  <c r="G4118" i="2" s="1"/>
  <c r="F4117" i="2"/>
  <c r="G4117" i="2" s="1"/>
  <c r="F4116" i="2"/>
  <c r="G4116" i="2" s="1"/>
  <c r="F4115" i="2"/>
  <c r="G4115" i="2" s="1"/>
  <c r="F4114" i="2"/>
  <c r="G4114" i="2" s="1"/>
  <c r="F4113" i="2"/>
  <c r="G4113" i="2" s="1"/>
  <c r="F4112" i="2"/>
  <c r="G4112" i="2" s="1"/>
  <c r="F4111" i="2"/>
  <c r="G4111" i="2" s="1"/>
  <c r="F4110" i="2"/>
  <c r="G4110" i="2" s="1"/>
  <c r="F4109" i="2"/>
  <c r="G4109" i="2" s="1"/>
  <c r="F4108" i="2"/>
  <c r="G4108" i="2" s="1"/>
  <c r="F4107" i="2"/>
  <c r="G4107" i="2" s="1"/>
  <c r="F4106" i="2"/>
  <c r="G4106" i="2" s="1"/>
  <c r="F4105" i="2"/>
  <c r="G4105" i="2" s="1"/>
  <c r="F4104" i="2"/>
  <c r="G4104" i="2" s="1"/>
  <c r="F4103" i="2"/>
  <c r="G4103" i="2" s="1"/>
  <c r="F4102" i="2"/>
  <c r="G4102" i="2" s="1"/>
  <c r="F4101" i="2"/>
  <c r="G4101" i="2" s="1"/>
  <c r="F4100" i="2"/>
  <c r="G4100" i="2" s="1"/>
  <c r="F4099" i="2"/>
  <c r="G4099" i="2" s="1"/>
  <c r="F4098" i="2"/>
  <c r="G4098" i="2" s="1"/>
  <c r="F4097" i="2"/>
  <c r="G4097" i="2" s="1"/>
  <c r="F4096" i="2"/>
  <c r="G4096" i="2" s="1"/>
  <c r="F4095" i="2"/>
  <c r="G4095" i="2" s="1"/>
  <c r="F4094" i="2"/>
  <c r="G4094" i="2" s="1"/>
  <c r="F4093" i="2"/>
  <c r="G4093" i="2" s="1"/>
  <c r="F4092" i="2"/>
  <c r="G4092" i="2" s="1"/>
  <c r="F4091" i="2"/>
  <c r="G4091" i="2" s="1"/>
  <c r="F4090" i="2"/>
  <c r="G4090" i="2" s="1"/>
  <c r="F4089" i="2"/>
  <c r="G4089" i="2" s="1"/>
  <c r="F4088" i="2"/>
  <c r="G4088" i="2" s="1"/>
  <c r="F4087" i="2"/>
  <c r="G4087" i="2" s="1"/>
  <c r="F4086" i="2"/>
  <c r="G4086" i="2" s="1"/>
  <c r="F4085" i="2"/>
  <c r="G4085" i="2" s="1"/>
  <c r="F4084" i="2"/>
  <c r="G4084" i="2" s="1"/>
  <c r="F4083" i="2"/>
  <c r="G4083" i="2" s="1"/>
  <c r="F4082" i="2"/>
  <c r="G4082" i="2" s="1"/>
  <c r="F4081" i="2"/>
  <c r="G4081" i="2" s="1"/>
  <c r="F4080" i="2"/>
  <c r="G4080" i="2" s="1"/>
  <c r="F4079" i="2"/>
  <c r="G4079" i="2" s="1"/>
  <c r="F4078" i="2"/>
  <c r="G4078" i="2" s="1"/>
  <c r="F4077" i="2"/>
  <c r="G4077" i="2" s="1"/>
  <c r="F4076" i="2"/>
  <c r="G4076" i="2" s="1"/>
  <c r="F4075" i="2"/>
  <c r="G4075" i="2" s="1"/>
  <c r="F4074" i="2"/>
  <c r="G4074" i="2" s="1"/>
  <c r="F4073" i="2"/>
  <c r="G4073" i="2" s="1"/>
  <c r="F4072" i="2"/>
  <c r="G4072" i="2" s="1"/>
  <c r="F4071" i="2"/>
  <c r="G4071" i="2" s="1"/>
  <c r="F4070" i="2"/>
  <c r="G4070" i="2" s="1"/>
  <c r="F4069" i="2"/>
  <c r="G4069" i="2" s="1"/>
  <c r="F4068" i="2"/>
  <c r="G4068" i="2" s="1"/>
  <c r="F4067" i="2"/>
  <c r="G4067" i="2" s="1"/>
  <c r="F4066" i="2"/>
  <c r="G4066" i="2" s="1"/>
  <c r="F4065" i="2"/>
  <c r="G4065" i="2" s="1"/>
  <c r="F4064" i="2"/>
  <c r="G4064" i="2" s="1"/>
  <c r="F4063" i="2"/>
  <c r="G4063" i="2" s="1"/>
  <c r="F4062" i="2"/>
  <c r="G4062" i="2" s="1"/>
  <c r="F4061" i="2"/>
  <c r="G4061" i="2" s="1"/>
  <c r="F4060" i="2"/>
  <c r="G4060" i="2" s="1"/>
  <c r="F4059" i="2"/>
  <c r="G4059" i="2" s="1"/>
  <c r="F4058" i="2"/>
  <c r="G4058" i="2" s="1"/>
  <c r="F4057" i="2"/>
  <c r="G4057" i="2" s="1"/>
  <c r="F4056" i="2"/>
  <c r="G4056" i="2" s="1"/>
  <c r="F4055" i="2"/>
  <c r="G4055" i="2" s="1"/>
  <c r="F4054" i="2"/>
  <c r="G4054" i="2" s="1"/>
  <c r="F4053" i="2"/>
  <c r="G4053" i="2" s="1"/>
  <c r="F4052" i="2"/>
  <c r="G4052" i="2" s="1"/>
  <c r="F4051" i="2"/>
  <c r="G4051" i="2" s="1"/>
  <c r="F4050" i="2"/>
  <c r="G4050" i="2" s="1"/>
  <c r="F4049" i="2"/>
  <c r="G4049" i="2" s="1"/>
  <c r="F4048" i="2"/>
  <c r="G4048" i="2" s="1"/>
  <c r="F4047" i="2"/>
  <c r="G4047" i="2" s="1"/>
  <c r="F4046" i="2"/>
  <c r="G4046" i="2" s="1"/>
  <c r="F4045" i="2"/>
  <c r="G4045" i="2" s="1"/>
  <c r="F4044" i="2"/>
  <c r="G4044" i="2" s="1"/>
  <c r="F4043" i="2"/>
  <c r="G4043" i="2" s="1"/>
  <c r="F4042" i="2"/>
  <c r="G4042" i="2" s="1"/>
  <c r="F4041" i="2"/>
  <c r="G4041" i="2" s="1"/>
  <c r="F4040" i="2"/>
  <c r="G4040" i="2" s="1"/>
  <c r="F4039" i="2"/>
  <c r="G4039" i="2" s="1"/>
  <c r="F4038" i="2"/>
  <c r="G4038" i="2"/>
  <c r="F4037" i="2"/>
  <c r="G4037" i="2" s="1"/>
  <c r="F4036" i="2"/>
  <c r="G4036" i="2" s="1"/>
  <c r="F4035" i="2"/>
  <c r="G4035" i="2" s="1"/>
  <c r="F4034" i="2"/>
  <c r="G4034" i="2" s="1"/>
  <c r="F4033" i="2"/>
  <c r="G4033" i="2" s="1"/>
  <c r="F4032" i="2"/>
  <c r="G4032" i="2" s="1"/>
  <c r="F4031" i="2"/>
  <c r="G4031" i="2" s="1"/>
  <c r="F4030" i="2"/>
  <c r="G4030" i="2" s="1"/>
  <c r="F4029" i="2"/>
  <c r="G4029" i="2" s="1"/>
  <c r="F4028" i="2"/>
  <c r="G4028" i="2" s="1"/>
  <c r="F4027" i="2"/>
  <c r="G4027" i="2" s="1"/>
  <c r="F4026" i="2"/>
  <c r="G4026" i="2" s="1"/>
  <c r="F4025" i="2"/>
  <c r="G4025" i="2" s="1"/>
  <c r="F4024" i="2"/>
  <c r="G4024" i="2" s="1"/>
  <c r="F4023" i="2"/>
  <c r="G4023" i="2" s="1"/>
  <c r="F4022" i="2"/>
  <c r="G4022" i="2" s="1"/>
  <c r="F4021" i="2"/>
  <c r="G4021" i="2" s="1"/>
  <c r="F4020" i="2"/>
  <c r="G4020" i="2" s="1"/>
  <c r="F4019" i="2"/>
  <c r="G4019" i="2" s="1"/>
  <c r="F4018" i="2"/>
  <c r="G4018" i="2" s="1"/>
  <c r="F4017" i="2"/>
  <c r="G4017" i="2" s="1"/>
  <c r="F4016" i="2"/>
  <c r="G4016" i="2" s="1"/>
  <c r="F4015" i="2"/>
  <c r="G4015" i="2" s="1"/>
  <c r="F4014" i="2"/>
  <c r="G4014" i="2" s="1"/>
  <c r="F4013" i="2"/>
  <c r="G4013" i="2" s="1"/>
  <c r="F4012" i="2"/>
  <c r="G4012" i="2" s="1"/>
  <c r="F4011" i="2"/>
  <c r="G4011" i="2" s="1"/>
  <c r="F4010" i="2"/>
  <c r="G4010" i="2" s="1"/>
  <c r="F4009" i="2"/>
  <c r="G4009" i="2" s="1"/>
  <c r="F4008" i="2"/>
  <c r="G4008" i="2" s="1"/>
  <c r="F4007" i="2"/>
  <c r="G4007" i="2" s="1"/>
  <c r="F4006" i="2"/>
  <c r="G4006" i="2" s="1"/>
  <c r="F4005" i="2"/>
  <c r="G4005" i="2" s="1"/>
  <c r="F4004" i="2"/>
  <c r="G4004" i="2" s="1"/>
  <c r="F4003" i="2"/>
  <c r="G4003" i="2" s="1"/>
  <c r="F4002" i="2"/>
  <c r="G4002" i="2" s="1"/>
  <c r="F4001" i="2"/>
  <c r="G4001" i="2" s="1"/>
  <c r="F4000" i="2"/>
  <c r="G4000" i="2" s="1"/>
  <c r="F3999" i="2"/>
  <c r="G3999" i="2" s="1"/>
  <c r="F3998" i="2"/>
  <c r="G3998" i="2" s="1"/>
  <c r="F3997" i="2"/>
  <c r="G3997" i="2" s="1"/>
  <c r="F3996" i="2"/>
  <c r="G3996" i="2" s="1"/>
  <c r="F3995" i="2"/>
  <c r="G3995" i="2" s="1"/>
  <c r="F3994" i="2"/>
  <c r="G3994" i="2" s="1"/>
  <c r="F3993" i="2"/>
  <c r="G3993" i="2" s="1"/>
  <c r="F3992" i="2"/>
  <c r="G3992" i="2" s="1"/>
  <c r="F3991" i="2"/>
  <c r="G3991" i="2" s="1"/>
  <c r="F3990" i="2"/>
  <c r="G3990" i="2" s="1"/>
  <c r="F3989" i="2"/>
  <c r="G3989" i="2" s="1"/>
  <c r="F3988" i="2"/>
  <c r="G3988" i="2" s="1"/>
  <c r="F3987" i="2"/>
  <c r="G3987" i="2" s="1"/>
  <c r="F3986" i="2"/>
  <c r="G3986" i="2" s="1"/>
  <c r="F3985" i="2"/>
  <c r="G3985" i="2" s="1"/>
  <c r="F3984" i="2"/>
  <c r="G3984" i="2" s="1"/>
  <c r="F3983" i="2"/>
  <c r="G3983" i="2" s="1"/>
  <c r="F3982" i="2"/>
  <c r="G3982" i="2" s="1"/>
  <c r="F3981" i="2"/>
  <c r="G3981" i="2" s="1"/>
  <c r="F3980" i="2"/>
  <c r="G3980" i="2" s="1"/>
  <c r="F3979" i="2"/>
  <c r="G3979" i="2" s="1"/>
  <c r="F3978" i="2"/>
  <c r="G3978" i="2" s="1"/>
  <c r="F3977" i="2"/>
  <c r="G3977" i="2" s="1"/>
  <c r="F3976" i="2"/>
  <c r="G3976" i="2" s="1"/>
  <c r="F3975" i="2"/>
  <c r="G3975" i="2" s="1"/>
  <c r="F3974" i="2"/>
  <c r="G3974" i="2" s="1"/>
  <c r="F3973" i="2"/>
  <c r="G3973" i="2" s="1"/>
  <c r="F3972" i="2"/>
  <c r="G3972" i="2" s="1"/>
  <c r="F3971" i="2"/>
  <c r="G3971" i="2" s="1"/>
  <c r="F3970" i="2"/>
  <c r="G3970" i="2" s="1"/>
  <c r="F3969" i="2"/>
  <c r="G3969" i="2" s="1"/>
  <c r="F3968" i="2"/>
  <c r="G3968" i="2" s="1"/>
  <c r="F3967" i="2"/>
  <c r="G3967" i="2" s="1"/>
  <c r="F3966" i="2"/>
  <c r="G3966" i="2" s="1"/>
  <c r="F3965" i="2"/>
  <c r="G3965" i="2" s="1"/>
  <c r="F3964" i="2"/>
  <c r="G3964" i="2" s="1"/>
  <c r="F3963" i="2"/>
  <c r="G3963" i="2" s="1"/>
  <c r="F3962" i="2"/>
  <c r="G3962" i="2" s="1"/>
  <c r="F3961" i="2"/>
  <c r="G3961" i="2" s="1"/>
  <c r="F3960" i="2"/>
  <c r="G3960" i="2" s="1"/>
  <c r="F3959" i="2"/>
  <c r="G3959" i="2" s="1"/>
  <c r="F3958" i="2"/>
  <c r="G3958" i="2" s="1"/>
  <c r="F3957" i="2"/>
  <c r="G3957" i="2" s="1"/>
  <c r="F3956" i="2"/>
  <c r="G3956" i="2" s="1"/>
  <c r="F3955" i="2"/>
  <c r="G3955" i="2" s="1"/>
  <c r="F3954" i="2"/>
  <c r="G3954" i="2" s="1"/>
  <c r="F3953" i="2"/>
  <c r="G3953" i="2" s="1"/>
  <c r="F3952" i="2"/>
  <c r="G3952" i="2" s="1"/>
  <c r="F3951" i="2"/>
  <c r="G3951" i="2" s="1"/>
  <c r="F3950" i="2"/>
  <c r="G3950" i="2" s="1"/>
  <c r="F3949" i="2"/>
  <c r="G3949" i="2" s="1"/>
  <c r="F3948" i="2"/>
  <c r="G3948" i="2" s="1"/>
  <c r="F3947" i="2"/>
  <c r="G3947" i="2" s="1"/>
  <c r="F3946" i="2"/>
  <c r="G3946" i="2" s="1"/>
  <c r="F3945" i="2"/>
  <c r="G3945" i="2" s="1"/>
  <c r="F3944" i="2"/>
  <c r="G3944" i="2" s="1"/>
  <c r="F3943" i="2"/>
  <c r="G3943" i="2" s="1"/>
  <c r="F3942" i="2"/>
  <c r="G3942" i="2" s="1"/>
  <c r="F3941" i="2"/>
  <c r="G3941" i="2" s="1"/>
  <c r="F3940" i="2"/>
  <c r="G3940" i="2" s="1"/>
  <c r="F3939" i="2"/>
  <c r="G3939" i="2" s="1"/>
  <c r="F3938" i="2"/>
  <c r="G3938" i="2" s="1"/>
  <c r="F3937" i="2"/>
  <c r="G3937" i="2" s="1"/>
  <c r="F3936" i="2"/>
  <c r="G3936" i="2" s="1"/>
  <c r="F3935" i="2"/>
  <c r="G3935" i="2" s="1"/>
  <c r="F3934" i="2"/>
  <c r="G3934" i="2" s="1"/>
  <c r="F3933" i="2"/>
  <c r="G3933" i="2" s="1"/>
  <c r="F3932" i="2"/>
  <c r="G3932" i="2" s="1"/>
  <c r="F3931" i="2"/>
  <c r="G3931" i="2" s="1"/>
  <c r="F3930" i="2"/>
  <c r="G3930" i="2" s="1"/>
  <c r="F3929" i="2"/>
  <c r="G3929" i="2" s="1"/>
  <c r="F3928" i="2"/>
  <c r="G3928" i="2" s="1"/>
  <c r="F3927" i="2"/>
  <c r="G3927" i="2" s="1"/>
  <c r="F3926" i="2"/>
  <c r="G3926" i="2" s="1"/>
  <c r="F3925" i="2"/>
  <c r="G3925" i="2" s="1"/>
  <c r="F3924" i="2"/>
  <c r="G3924" i="2" s="1"/>
  <c r="F3923" i="2"/>
  <c r="G3923" i="2" s="1"/>
  <c r="F3922" i="2"/>
  <c r="G3922" i="2" s="1"/>
  <c r="F3921" i="2"/>
  <c r="G3921" i="2" s="1"/>
  <c r="F3920" i="2"/>
  <c r="G3920" i="2" s="1"/>
  <c r="F3919" i="2"/>
  <c r="G3919" i="2" s="1"/>
  <c r="F3918" i="2"/>
  <c r="G3918" i="2" s="1"/>
  <c r="F3917" i="2"/>
  <c r="G3917" i="2" s="1"/>
  <c r="F3916" i="2"/>
  <c r="G3916" i="2" s="1"/>
  <c r="F3915" i="2"/>
  <c r="G3915" i="2" s="1"/>
  <c r="F3914" i="2"/>
  <c r="G3914" i="2" s="1"/>
  <c r="F3913" i="2"/>
  <c r="G3913" i="2" s="1"/>
  <c r="F3912" i="2"/>
  <c r="G3912" i="2" s="1"/>
  <c r="F3911" i="2"/>
  <c r="G3911" i="2" s="1"/>
  <c r="F3910" i="2"/>
  <c r="G3910" i="2" s="1"/>
  <c r="F3909" i="2"/>
  <c r="G3909" i="2" s="1"/>
  <c r="F3908" i="2"/>
  <c r="G3908" i="2" s="1"/>
  <c r="F3907" i="2"/>
  <c r="G3907" i="2" s="1"/>
  <c r="F3906" i="2"/>
  <c r="G3906" i="2" s="1"/>
  <c r="F3905" i="2"/>
  <c r="G3905" i="2" s="1"/>
  <c r="F3904" i="2"/>
  <c r="G3904" i="2" s="1"/>
  <c r="F3903" i="2"/>
  <c r="G3903" i="2" s="1"/>
  <c r="F3902" i="2"/>
  <c r="G3902" i="2" s="1"/>
  <c r="F3901" i="2"/>
  <c r="G3901" i="2" s="1"/>
  <c r="F3900" i="2"/>
  <c r="G3900" i="2" s="1"/>
  <c r="F3899" i="2"/>
  <c r="G3899" i="2" s="1"/>
  <c r="F3898" i="2"/>
  <c r="G3898" i="2" s="1"/>
  <c r="F3897" i="2"/>
  <c r="G3897" i="2" s="1"/>
  <c r="F3896" i="2"/>
  <c r="G3896" i="2" s="1"/>
  <c r="F3895" i="2"/>
  <c r="G3895" i="2" s="1"/>
  <c r="F3894" i="2"/>
  <c r="G3894" i="2" s="1"/>
  <c r="F3893" i="2"/>
  <c r="G3893" i="2" s="1"/>
  <c r="F3892" i="2"/>
  <c r="G3892" i="2" s="1"/>
  <c r="F3891" i="2"/>
  <c r="G3891" i="2" s="1"/>
  <c r="F3890" i="2"/>
  <c r="G3890" i="2" s="1"/>
  <c r="F3889" i="2"/>
  <c r="G3889" i="2" s="1"/>
  <c r="F3888" i="2"/>
  <c r="G3888" i="2" s="1"/>
  <c r="F3887" i="2"/>
  <c r="G3887" i="2" s="1"/>
  <c r="F3886" i="2"/>
  <c r="G3886" i="2" s="1"/>
  <c r="F3885" i="2"/>
  <c r="G3885" i="2" s="1"/>
  <c r="F3884" i="2"/>
  <c r="G3884" i="2" s="1"/>
  <c r="F3883" i="2"/>
  <c r="G3883" i="2" s="1"/>
  <c r="F3882" i="2"/>
  <c r="G3882" i="2" s="1"/>
  <c r="F3881" i="2"/>
  <c r="G3881" i="2" s="1"/>
  <c r="F3880" i="2"/>
  <c r="G3880" i="2" s="1"/>
  <c r="F3879" i="2"/>
  <c r="G3879" i="2" s="1"/>
  <c r="F3878" i="2"/>
  <c r="G3878" i="2" s="1"/>
  <c r="F3877" i="2"/>
  <c r="G3877" i="2" s="1"/>
  <c r="F3876" i="2"/>
  <c r="G3876" i="2" s="1"/>
  <c r="F3875" i="2"/>
  <c r="G3875" i="2" s="1"/>
  <c r="F3874" i="2"/>
  <c r="G3874" i="2" s="1"/>
  <c r="F3873" i="2"/>
  <c r="G3873" i="2" s="1"/>
  <c r="F3872" i="2"/>
  <c r="G3872" i="2" s="1"/>
  <c r="F3871" i="2"/>
  <c r="G3871" i="2" s="1"/>
  <c r="F3870" i="2"/>
  <c r="G3870" i="2" s="1"/>
  <c r="F3869" i="2"/>
  <c r="G3869" i="2" s="1"/>
  <c r="F3868" i="2"/>
  <c r="G3868" i="2" s="1"/>
  <c r="F3867" i="2"/>
  <c r="G3867" i="2" s="1"/>
  <c r="F3866" i="2"/>
  <c r="G3866" i="2" s="1"/>
  <c r="F3865" i="2"/>
  <c r="G3865" i="2" s="1"/>
  <c r="F3864" i="2"/>
  <c r="G3864" i="2" s="1"/>
  <c r="F3863" i="2"/>
  <c r="G3863" i="2" s="1"/>
  <c r="F3862" i="2"/>
  <c r="G3862" i="2" s="1"/>
  <c r="F3861" i="2"/>
  <c r="G3861" i="2" s="1"/>
  <c r="F3860" i="2"/>
  <c r="G3860" i="2" s="1"/>
  <c r="F3859" i="2"/>
  <c r="G3859" i="2" s="1"/>
  <c r="F3858" i="2"/>
  <c r="G3858" i="2" s="1"/>
  <c r="F3857" i="2"/>
  <c r="G3857" i="2" s="1"/>
  <c r="F3856" i="2"/>
  <c r="G3856" i="2" s="1"/>
  <c r="F3855" i="2"/>
  <c r="G3855" i="2" s="1"/>
  <c r="F3854" i="2"/>
  <c r="G3854" i="2" s="1"/>
  <c r="F3853" i="2"/>
  <c r="G3853" i="2" s="1"/>
  <c r="F3852" i="2"/>
  <c r="G3852" i="2" s="1"/>
  <c r="F3851" i="2"/>
  <c r="G3851" i="2" s="1"/>
  <c r="F3850" i="2"/>
  <c r="G3850" i="2" s="1"/>
  <c r="F3849" i="2"/>
  <c r="G3849" i="2" s="1"/>
  <c r="F3848" i="2"/>
  <c r="G3848" i="2" s="1"/>
  <c r="F3847" i="2"/>
  <c r="G3847" i="2" s="1"/>
  <c r="F3846" i="2"/>
  <c r="G3846" i="2" s="1"/>
  <c r="F3845" i="2"/>
  <c r="G3845" i="2" s="1"/>
  <c r="F3844" i="2"/>
  <c r="G3844" i="2" s="1"/>
  <c r="F3843" i="2"/>
  <c r="G3843" i="2" s="1"/>
  <c r="F3842" i="2"/>
  <c r="G3842" i="2" s="1"/>
  <c r="F3841" i="2"/>
  <c r="G3841" i="2" s="1"/>
  <c r="F3840" i="2"/>
  <c r="G3840" i="2" s="1"/>
  <c r="F3839" i="2"/>
  <c r="G3839" i="2" s="1"/>
  <c r="F3838" i="2"/>
  <c r="G3838" i="2" s="1"/>
  <c r="F3837" i="2"/>
  <c r="G3837" i="2" s="1"/>
  <c r="F3836" i="2"/>
  <c r="G3836" i="2" s="1"/>
  <c r="F3835" i="2"/>
  <c r="G3835" i="2" s="1"/>
  <c r="F3834" i="2"/>
  <c r="G3834" i="2" s="1"/>
  <c r="F3833" i="2"/>
  <c r="G3833" i="2" s="1"/>
  <c r="F3832" i="2"/>
  <c r="G3832" i="2" s="1"/>
  <c r="F3831" i="2"/>
  <c r="G3831" i="2" s="1"/>
  <c r="F3830" i="2"/>
  <c r="G3830" i="2" s="1"/>
  <c r="F3829" i="2"/>
  <c r="G3829" i="2" s="1"/>
  <c r="F3828" i="2"/>
  <c r="G3828" i="2"/>
  <c r="F3827" i="2"/>
  <c r="G3827" i="2" s="1"/>
  <c r="F3826" i="2"/>
  <c r="G3826" i="2" s="1"/>
  <c r="F3825" i="2"/>
  <c r="G3825" i="2" s="1"/>
  <c r="F3824" i="2"/>
  <c r="G3824" i="2" s="1"/>
  <c r="F3823" i="2"/>
  <c r="G3823" i="2" s="1"/>
  <c r="F3822" i="2"/>
  <c r="G3822" i="2" s="1"/>
  <c r="F3821" i="2"/>
  <c r="G3821" i="2" s="1"/>
  <c r="F3820" i="2"/>
  <c r="G3820" i="2" s="1"/>
  <c r="F3819" i="2"/>
  <c r="G3819" i="2" s="1"/>
  <c r="F3818" i="2"/>
  <c r="G3818" i="2" s="1"/>
  <c r="F3817" i="2"/>
  <c r="G3817" i="2" s="1"/>
  <c r="F3816" i="2"/>
  <c r="G3816" i="2" s="1"/>
  <c r="F3815" i="2"/>
  <c r="G3815" i="2" s="1"/>
  <c r="F3814" i="2"/>
  <c r="G3814" i="2" s="1"/>
  <c r="F3813" i="2"/>
  <c r="G3813" i="2" s="1"/>
  <c r="F3812" i="2"/>
  <c r="G3812" i="2" s="1"/>
  <c r="F3811" i="2"/>
  <c r="G3811" i="2" s="1"/>
  <c r="F3810" i="2"/>
  <c r="G3810" i="2" s="1"/>
  <c r="F3809" i="2"/>
  <c r="G3809" i="2" s="1"/>
  <c r="F3808" i="2"/>
  <c r="G3808" i="2" s="1"/>
  <c r="F3807" i="2"/>
  <c r="G3807" i="2" s="1"/>
  <c r="F3806" i="2"/>
  <c r="G3806" i="2"/>
  <c r="F3805" i="2"/>
  <c r="G3805" i="2" s="1"/>
  <c r="F3804" i="2"/>
  <c r="G3804" i="2" s="1"/>
  <c r="F3803" i="2"/>
  <c r="G3803" i="2" s="1"/>
  <c r="F3802" i="2"/>
  <c r="G3802" i="2" s="1"/>
  <c r="F3801" i="2"/>
  <c r="G3801" i="2" s="1"/>
  <c r="F3800" i="2"/>
  <c r="G3800" i="2" s="1"/>
  <c r="F3799" i="2"/>
  <c r="G3799" i="2" s="1"/>
  <c r="F3798" i="2"/>
  <c r="G3798" i="2" s="1"/>
  <c r="F3797" i="2"/>
  <c r="G3797" i="2" s="1"/>
  <c r="F3796" i="2"/>
  <c r="G3796" i="2" s="1"/>
  <c r="F3795" i="2"/>
  <c r="G3795" i="2" s="1"/>
  <c r="F3794" i="2"/>
  <c r="G3794" i="2" s="1"/>
  <c r="F3793" i="2"/>
  <c r="G3793" i="2" s="1"/>
  <c r="F3792" i="2"/>
  <c r="G3792" i="2" s="1"/>
  <c r="F3791" i="2"/>
  <c r="G3791" i="2" s="1"/>
  <c r="F3790" i="2"/>
  <c r="G3790" i="2" s="1"/>
  <c r="F3789" i="2"/>
  <c r="G3789" i="2" s="1"/>
  <c r="F3788" i="2"/>
  <c r="G3788" i="2" s="1"/>
  <c r="F3787" i="2"/>
  <c r="G3787" i="2" s="1"/>
  <c r="F3786" i="2"/>
  <c r="G3786" i="2" s="1"/>
  <c r="F3785" i="2"/>
  <c r="G3785" i="2" s="1"/>
  <c r="F3784" i="2"/>
  <c r="G3784" i="2" s="1"/>
  <c r="F3783" i="2"/>
  <c r="G3783" i="2" s="1"/>
  <c r="F3782" i="2"/>
  <c r="G3782" i="2" s="1"/>
  <c r="F3781" i="2"/>
  <c r="G3781" i="2" s="1"/>
  <c r="F3780" i="2"/>
  <c r="G3780" i="2" s="1"/>
  <c r="F3779" i="2"/>
  <c r="G3779" i="2" s="1"/>
  <c r="F3778" i="2"/>
  <c r="G3778" i="2" s="1"/>
  <c r="F3777" i="2"/>
  <c r="G3777" i="2" s="1"/>
  <c r="F3776" i="2"/>
  <c r="G3776" i="2" s="1"/>
  <c r="F3775" i="2"/>
  <c r="G3775" i="2" s="1"/>
  <c r="F3774" i="2"/>
  <c r="G3774" i="2" s="1"/>
  <c r="F3773" i="2"/>
  <c r="G3773" i="2" s="1"/>
  <c r="F3772" i="2"/>
  <c r="G3772" i="2" s="1"/>
  <c r="F3771" i="2"/>
  <c r="G3771" i="2" s="1"/>
  <c r="F3770" i="2"/>
  <c r="G3770" i="2" s="1"/>
  <c r="F3769" i="2"/>
  <c r="G3769" i="2" s="1"/>
  <c r="F3768" i="2"/>
  <c r="G3768" i="2" s="1"/>
  <c r="F3767" i="2"/>
  <c r="G3767" i="2" s="1"/>
  <c r="F3766" i="2"/>
  <c r="G3766" i="2" s="1"/>
  <c r="F3765" i="2"/>
  <c r="G3765" i="2" s="1"/>
  <c r="F3764" i="2"/>
  <c r="G3764" i="2" s="1"/>
  <c r="F3763" i="2"/>
  <c r="G3763" i="2" s="1"/>
  <c r="F3762" i="2"/>
  <c r="G3762" i="2" s="1"/>
  <c r="F3761" i="2"/>
  <c r="G3761" i="2" s="1"/>
  <c r="F3760" i="2"/>
  <c r="G3760" i="2" s="1"/>
  <c r="F3759" i="2"/>
  <c r="G3759" i="2" s="1"/>
  <c r="F3758" i="2"/>
  <c r="G3758" i="2" s="1"/>
  <c r="F3757" i="2"/>
  <c r="G3757" i="2" s="1"/>
  <c r="F3756" i="2"/>
  <c r="G3756" i="2" s="1"/>
  <c r="F3755" i="2"/>
  <c r="G3755" i="2" s="1"/>
  <c r="F3754" i="2"/>
  <c r="G3754" i="2" s="1"/>
  <c r="F3753" i="2"/>
  <c r="G3753" i="2" s="1"/>
  <c r="F3752" i="2"/>
  <c r="G3752" i="2" s="1"/>
  <c r="F3751" i="2"/>
  <c r="G3751" i="2" s="1"/>
  <c r="F3750" i="2"/>
  <c r="G3750" i="2" s="1"/>
  <c r="F3749" i="2"/>
  <c r="G3749" i="2" s="1"/>
  <c r="F3748" i="2"/>
  <c r="G3748" i="2" s="1"/>
  <c r="F3747" i="2"/>
  <c r="G3747" i="2" s="1"/>
  <c r="F3746" i="2"/>
  <c r="G3746" i="2" s="1"/>
  <c r="F3745" i="2"/>
  <c r="G3745" i="2" s="1"/>
  <c r="F3744" i="2"/>
  <c r="G3744" i="2" s="1"/>
  <c r="F3743" i="2"/>
  <c r="G3743" i="2" s="1"/>
  <c r="F3742" i="2"/>
  <c r="G3742" i="2" s="1"/>
  <c r="F3741" i="2"/>
  <c r="G3741" i="2" s="1"/>
  <c r="F3740" i="2"/>
  <c r="G3740" i="2" s="1"/>
  <c r="F3739" i="2"/>
  <c r="G3739" i="2" s="1"/>
  <c r="F3738" i="2"/>
  <c r="G3738" i="2" s="1"/>
  <c r="F3737" i="2"/>
  <c r="G3737" i="2" s="1"/>
  <c r="F3736" i="2"/>
  <c r="G3736" i="2" s="1"/>
  <c r="F3735" i="2"/>
  <c r="G3735" i="2" s="1"/>
  <c r="F3734" i="2"/>
  <c r="G3734" i="2" s="1"/>
  <c r="F3733" i="2"/>
  <c r="G3733" i="2" s="1"/>
  <c r="F3732" i="2"/>
  <c r="G3732" i="2" s="1"/>
  <c r="F3731" i="2"/>
  <c r="G3731" i="2" s="1"/>
  <c r="F3730" i="2"/>
  <c r="G3730" i="2" s="1"/>
  <c r="F3729" i="2"/>
  <c r="G3729" i="2" s="1"/>
  <c r="F3728" i="2"/>
  <c r="G3728" i="2" s="1"/>
  <c r="F3727" i="2"/>
  <c r="G3727" i="2" s="1"/>
  <c r="F3726" i="2"/>
  <c r="G3726" i="2" s="1"/>
  <c r="F3725" i="2"/>
  <c r="G3725" i="2" s="1"/>
  <c r="F3724" i="2"/>
  <c r="G3724" i="2" s="1"/>
  <c r="F3723" i="2"/>
  <c r="G3723" i="2" s="1"/>
  <c r="F3722" i="2"/>
  <c r="G3722" i="2" s="1"/>
  <c r="F3721" i="2"/>
  <c r="G3721" i="2" s="1"/>
  <c r="F3720" i="2"/>
  <c r="G3720" i="2" s="1"/>
  <c r="F3719" i="2"/>
  <c r="G3719" i="2" s="1"/>
  <c r="F3718" i="2"/>
  <c r="G3718" i="2" s="1"/>
  <c r="F3717" i="2"/>
  <c r="G3717" i="2" s="1"/>
  <c r="F3716" i="2"/>
  <c r="G3716" i="2" s="1"/>
  <c r="F3715" i="2"/>
  <c r="G3715" i="2" s="1"/>
  <c r="F3714" i="2"/>
  <c r="G3714" i="2" s="1"/>
  <c r="F3713" i="2"/>
  <c r="G3713" i="2" s="1"/>
  <c r="F3712" i="2"/>
  <c r="G3712" i="2" s="1"/>
  <c r="F3711" i="2"/>
  <c r="G3711" i="2" s="1"/>
  <c r="F3710" i="2"/>
  <c r="G3710" i="2" s="1"/>
  <c r="F3709" i="2"/>
  <c r="G3709" i="2" s="1"/>
  <c r="F3708" i="2"/>
  <c r="G3708" i="2" s="1"/>
  <c r="F3707" i="2"/>
  <c r="G3707" i="2" s="1"/>
  <c r="F3706" i="2"/>
  <c r="G3706" i="2" s="1"/>
  <c r="F3705" i="2"/>
  <c r="G3705" i="2" s="1"/>
  <c r="F3704" i="2"/>
  <c r="G3704" i="2" s="1"/>
  <c r="F3703" i="2"/>
  <c r="G3703" i="2" s="1"/>
  <c r="F3702" i="2"/>
  <c r="G3702" i="2" s="1"/>
  <c r="F3701" i="2"/>
  <c r="G3701" i="2" s="1"/>
  <c r="F3700" i="2"/>
  <c r="G3700" i="2" s="1"/>
  <c r="F3699" i="2"/>
  <c r="G3699" i="2" s="1"/>
  <c r="F3698" i="2"/>
  <c r="G3698" i="2" s="1"/>
  <c r="F3697" i="2"/>
  <c r="G3697" i="2" s="1"/>
  <c r="F3696" i="2"/>
  <c r="G3696" i="2" s="1"/>
  <c r="F3695" i="2"/>
  <c r="G3695" i="2" s="1"/>
  <c r="F3694" i="2"/>
  <c r="G3694" i="2" s="1"/>
  <c r="F3693" i="2"/>
  <c r="G3693" i="2" s="1"/>
  <c r="F3692" i="2"/>
  <c r="G3692" i="2" s="1"/>
  <c r="F3691" i="2"/>
  <c r="G3691" i="2" s="1"/>
  <c r="F3690" i="2"/>
  <c r="G3690" i="2" s="1"/>
  <c r="F3689" i="2"/>
  <c r="G3689" i="2" s="1"/>
  <c r="F3688" i="2"/>
  <c r="G3688" i="2" s="1"/>
  <c r="F3687" i="2"/>
  <c r="G3687" i="2" s="1"/>
  <c r="F3686" i="2"/>
  <c r="G3686" i="2" s="1"/>
  <c r="F3685" i="2"/>
  <c r="G3685" i="2" s="1"/>
  <c r="F3684" i="2"/>
  <c r="G3684" i="2" s="1"/>
  <c r="F3683" i="2"/>
  <c r="G3683" i="2" s="1"/>
  <c r="F3682" i="2"/>
  <c r="G3682" i="2" s="1"/>
  <c r="F3681" i="2"/>
  <c r="G3681" i="2" s="1"/>
  <c r="F3680" i="2"/>
  <c r="G3680" i="2" s="1"/>
  <c r="F3679" i="2"/>
  <c r="G3679" i="2" s="1"/>
  <c r="F3678" i="2"/>
  <c r="G3678" i="2" s="1"/>
  <c r="F3677" i="2"/>
  <c r="G3677" i="2" s="1"/>
  <c r="F3676" i="2"/>
  <c r="G3676" i="2" s="1"/>
  <c r="F3675" i="2"/>
  <c r="G3675" i="2" s="1"/>
  <c r="F3674" i="2"/>
  <c r="G3674" i="2" s="1"/>
  <c r="F3673" i="2"/>
  <c r="G3673" i="2" s="1"/>
  <c r="F3672" i="2"/>
  <c r="G3672" i="2" s="1"/>
  <c r="F3671" i="2"/>
  <c r="G3671" i="2" s="1"/>
  <c r="F3670" i="2"/>
  <c r="G3670" i="2" s="1"/>
  <c r="F3669" i="2"/>
  <c r="G3669" i="2" s="1"/>
  <c r="F3668" i="2"/>
  <c r="G3668" i="2" s="1"/>
  <c r="F3667" i="2"/>
  <c r="G3667" i="2" s="1"/>
  <c r="F3666" i="2"/>
  <c r="G3666" i="2"/>
  <c r="F3665" i="2"/>
  <c r="G3665" i="2" s="1"/>
  <c r="F3664" i="2"/>
  <c r="G3664" i="2" s="1"/>
  <c r="F3663" i="2"/>
  <c r="G3663" i="2" s="1"/>
  <c r="F3662" i="2"/>
  <c r="G3662" i="2" s="1"/>
  <c r="F3661" i="2"/>
  <c r="G3661" i="2" s="1"/>
  <c r="F3660" i="2"/>
  <c r="G3660" i="2" s="1"/>
  <c r="F3659" i="2"/>
  <c r="G3659" i="2" s="1"/>
  <c r="F3658" i="2"/>
  <c r="G3658" i="2" s="1"/>
  <c r="F3657" i="2"/>
  <c r="G3657" i="2" s="1"/>
  <c r="F3656" i="2"/>
  <c r="G3656" i="2" s="1"/>
  <c r="F3655" i="2"/>
  <c r="G3655" i="2" s="1"/>
  <c r="F3654" i="2"/>
  <c r="G3654" i="2" s="1"/>
  <c r="F3653" i="2"/>
  <c r="G3653" i="2" s="1"/>
  <c r="F3652" i="2"/>
  <c r="G3652" i="2" s="1"/>
  <c r="F3651" i="2"/>
  <c r="G3651" i="2" s="1"/>
  <c r="F3650" i="2"/>
  <c r="G3650" i="2" s="1"/>
  <c r="F3649" i="2"/>
  <c r="G3649" i="2" s="1"/>
  <c r="F3648" i="2"/>
  <c r="G3648" i="2" s="1"/>
  <c r="F3647" i="2"/>
  <c r="G3647" i="2" s="1"/>
  <c r="F3646" i="2"/>
  <c r="G3646" i="2" s="1"/>
  <c r="F3645" i="2"/>
  <c r="G3645" i="2" s="1"/>
  <c r="F3644" i="2"/>
  <c r="G3644" i="2" s="1"/>
  <c r="F3643" i="2"/>
  <c r="G3643" i="2" s="1"/>
  <c r="F3642" i="2"/>
  <c r="G3642" i="2" s="1"/>
  <c r="F3641" i="2"/>
  <c r="G3641" i="2" s="1"/>
  <c r="F3640" i="2"/>
  <c r="G3640" i="2" s="1"/>
  <c r="F3639" i="2"/>
  <c r="G3639" i="2" s="1"/>
  <c r="F3638" i="2"/>
  <c r="G3638" i="2" s="1"/>
  <c r="F3637" i="2"/>
  <c r="G3637" i="2" s="1"/>
  <c r="F3636" i="2"/>
  <c r="G3636" i="2" s="1"/>
  <c r="F3635" i="2"/>
  <c r="G3635" i="2" s="1"/>
  <c r="F3634" i="2"/>
  <c r="G3634" i="2" s="1"/>
  <c r="F3633" i="2"/>
  <c r="G3633" i="2" s="1"/>
  <c r="F3632" i="2"/>
  <c r="G3632" i="2" s="1"/>
  <c r="F3631" i="2"/>
  <c r="G3631" i="2" s="1"/>
  <c r="F3630" i="2"/>
  <c r="G3630" i="2" s="1"/>
  <c r="F3629" i="2"/>
  <c r="G3629" i="2" s="1"/>
  <c r="F3628" i="2"/>
  <c r="G3628" i="2" s="1"/>
  <c r="F3627" i="2"/>
  <c r="G3627" i="2" s="1"/>
  <c r="F3626" i="2"/>
  <c r="G3626" i="2" s="1"/>
  <c r="F3625" i="2"/>
  <c r="G3625" i="2" s="1"/>
  <c r="F3624" i="2"/>
  <c r="G3624" i="2" s="1"/>
  <c r="F3623" i="2"/>
  <c r="G3623" i="2" s="1"/>
  <c r="F3622" i="2"/>
  <c r="G3622" i="2" s="1"/>
  <c r="F3621" i="2"/>
  <c r="G3621" i="2" s="1"/>
  <c r="F3620" i="2"/>
  <c r="G3620" i="2" s="1"/>
  <c r="F3619" i="2"/>
  <c r="G3619" i="2" s="1"/>
  <c r="F3618" i="2"/>
  <c r="G3618" i="2" s="1"/>
  <c r="F3617" i="2"/>
  <c r="G3617" i="2" s="1"/>
  <c r="F3616" i="2"/>
  <c r="G3616" i="2" s="1"/>
  <c r="F3615" i="2"/>
  <c r="G3615" i="2" s="1"/>
  <c r="F3614" i="2"/>
  <c r="G3614" i="2" s="1"/>
  <c r="F3613" i="2"/>
  <c r="G3613" i="2" s="1"/>
  <c r="F3612" i="2"/>
  <c r="G3612" i="2"/>
  <c r="F3611" i="2"/>
  <c r="G3611" i="2" s="1"/>
  <c r="F3610" i="2"/>
  <c r="G3610" i="2" s="1"/>
  <c r="F3609" i="2"/>
  <c r="G3609" i="2" s="1"/>
  <c r="F3608" i="2"/>
  <c r="G3608" i="2" s="1"/>
  <c r="F3607" i="2"/>
  <c r="G3607" i="2" s="1"/>
  <c r="F3606" i="2"/>
  <c r="G3606" i="2" s="1"/>
  <c r="F3605" i="2"/>
  <c r="G3605" i="2" s="1"/>
  <c r="F3604" i="2"/>
  <c r="G3604" i="2" s="1"/>
  <c r="F3603" i="2"/>
  <c r="G3603" i="2" s="1"/>
  <c r="F3602" i="2"/>
  <c r="G3602" i="2" s="1"/>
  <c r="F3601" i="2"/>
  <c r="G3601" i="2" s="1"/>
  <c r="F3600" i="2"/>
  <c r="G3600" i="2" s="1"/>
  <c r="F3599" i="2"/>
  <c r="G3599" i="2" s="1"/>
  <c r="F3598" i="2"/>
  <c r="G3598" i="2" s="1"/>
  <c r="F3597" i="2"/>
  <c r="G3597" i="2" s="1"/>
  <c r="F3596" i="2"/>
  <c r="G3596" i="2" s="1"/>
  <c r="F3595" i="2"/>
  <c r="G3595" i="2" s="1"/>
  <c r="F3594" i="2"/>
  <c r="G3594" i="2" s="1"/>
  <c r="F3593" i="2"/>
  <c r="G3593" i="2" s="1"/>
  <c r="F3592" i="2"/>
  <c r="G3592" i="2" s="1"/>
  <c r="F3591" i="2"/>
  <c r="G3591" i="2" s="1"/>
  <c r="F3590" i="2"/>
  <c r="G3590" i="2" s="1"/>
  <c r="F3589" i="2"/>
  <c r="G3589" i="2" s="1"/>
  <c r="F3588" i="2"/>
  <c r="G3588" i="2" s="1"/>
  <c r="F3587" i="2"/>
  <c r="G3587" i="2" s="1"/>
  <c r="F3586" i="2"/>
  <c r="G3586" i="2" s="1"/>
  <c r="F3585" i="2"/>
  <c r="G3585" i="2" s="1"/>
  <c r="F3584" i="2"/>
  <c r="G3584" i="2" s="1"/>
  <c r="F3583" i="2"/>
  <c r="G3583" i="2" s="1"/>
  <c r="F3582" i="2"/>
  <c r="G3582" i="2" s="1"/>
  <c r="F3581" i="2"/>
  <c r="G3581" i="2" s="1"/>
  <c r="F3580" i="2"/>
  <c r="G3580" i="2" s="1"/>
  <c r="F3579" i="2"/>
  <c r="G3579" i="2" s="1"/>
  <c r="F3578" i="2"/>
  <c r="G3578" i="2" s="1"/>
  <c r="F3577" i="2"/>
  <c r="G3577" i="2" s="1"/>
  <c r="F3576" i="2"/>
  <c r="G3576" i="2" s="1"/>
  <c r="F3575" i="2"/>
  <c r="G3575" i="2" s="1"/>
  <c r="F3574" i="2"/>
  <c r="G3574" i="2" s="1"/>
  <c r="F3573" i="2"/>
  <c r="G3573" i="2" s="1"/>
  <c r="F3572" i="2"/>
  <c r="G3572" i="2" s="1"/>
  <c r="F3571" i="2"/>
  <c r="G3571" i="2" s="1"/>
  <c r="F3570" i="2"/>
  <c r="G3570" i="2" s="1"/>
  <c r="F3569" i="2"/>
  <c r="G3569" i="2" s="1"/>
  <c r="F3568" i="2"/>
  <c r="G3568" i="2" s="1"/>
  <c r="F3567" i="2"/>
  <c r="G3567" i="2" s="1"/>
  <c r="F3566" i="2"/>
  <c r="G3566" i="2" s="1"/>
  <c r="F3565" i="2"/>
  <c r="G3565" i="2" s="1"/>
  <c r="F3564" i="2"/>
  <c r="G3564" i="2" s="1"/>
  <c r="F3563" i="2"/>
  <c r="G3563" i="2" s="1"/>
  <c r="F3562" i="2"/>
  <c r="G3562" i="2" s="1"/>
  <c r="F3561" i="2"/>
  <c r="G3561" i="2" s="1"/>
  <c r="F3560" i="2"/>
  <c r="G3560" i="2" s="1"/>
  <c r="F3559" i="2"/>
  <c r="G3559" i="2" s="1"/>
  <c r="F3558" i="2"/>
  <c r="G3558" i="2"/>
  <c r="F3557" i="2"/>
  <c r="G3557" i="2" s="1"/>
  <c r="F3556" i="2"/>
  <c r="G3556" i="2" s="1"/>
  <c r="F3555" i="2"/>
  <c r="G3555" i="2" s="1"/>
  <c r="F3554" i="2"/>
  <c r="G3554" i="2" s="1"/>
  <c r="F3553" i="2"/>
  <c r="G3553" i="2" s="1"/>
  <c r="F3552" i="2"/>
  <c r="G3552" i="2" s="1"/>
  <c r="F3551" i="2"/>
  <c r="G3551" i="2" s="1"/>
  <c r="F3550" i="2"/>
  <c r="G3550" i="2" s="1"/>
  <c r="F3549" i="2"/>
  <c r="G3549" i="2" s="1"/>
  <c r="F3548" i="2"/>
  <c r="G3548" i="2" s="1"/>
  <c r="F3547" i="2"/>
  <c r="G3547" i="2" s="1"/>
  <c r="F3546" i="2"/>
  <c r="G3546" i="2" s="1"/>
  <c r="F3545" i="2"/>
  <c r="G3545" i="2" s="1"/>
  <c r="F3544" i="2"/>
  <c r="G3544" i="2" s="1"/>
  <c r="F3543" i="2"/>
  <c r="G3543" i="2" s="1"/>
  <c r="F3542" i="2"/>
  <c r="G3542" i="2" s="1"/>
  <c r="F3541" i="2"/>
  <c r="G3541" i="2" s="1"/>
  <c r="F3540" i="2"/>
  <c r="G3540" i="2" s="1"/>
  <c r="F3539" i="2"/>
  <c r="G3539" i="2" s="1"/>
  <c r="F3538" i="2"/>
  <c r="G3538" i="2" s="1"/>
  <c r="F3537" i="2"/>
  <c r="G3537" i="2" s="1"/>
  <c r="F3536" i="2"/>
  <c r="G3536" i="2" s="1"/>
  <c r="F3535" i="2"/>
  <c r="G3535" i="2" s="1"/>
  <c r="F3534" i="2"/>
  <c r="G3534" i="2" s="1"/>
  <c r="F3533" i="2"/>
  <c r="G3533" i="2" s="1"/>
  <c r="F3532" i="2"/>
  <c r="G3532" i="2" s="1"/>
  <c r="F3531" i="2"/>
  <c r="G3531" i="2" s="1"/>
  <c r="F3530" i="2"/>
  <c r="G3530" i="2" s="1"/>
  <c r="F3529" i="2"/>
  <c r="G3529" i="2" s="1"/>
  <c r="F3528" i="2"/>
  <c r="G3528" i="2" s="1"/>
  <c r="F3527" i="2"/>
  <c r="G3527" i="2" s="1"/>
  <c r="F3526" i="2"/>
  <c r="G3526" i="2" s="1"/>
  <c r="F3525" i="2"/>
  <c r="G3525" i="2" s="1"/>
  <c r="F3524" i="2"/>
  <c r="G3524" i="2" s="1"/>
  <c r="F3523" i="2"/>
  <c r="G3523" i="2" s="1"/>
  <c r="F3522" i="2"/>
  <c r="G3522" i="2" s="1"/>
  <c r="F3521" i="2"/>
  <c r="G3521" i="2" s="1"/>
  <c r="F3520" i="2"/>
  <c r="G3520" i="2" s="1"/>
  <c r="F3519" i="2"/>
  <c r="G3519" i="2" s="1"/>
  <c r="F3518" i="2"/>
  <c r="G3518" i="2" s="1"/>
  <c r="F3517" i="2"/>
  <c r="G3517" i="2" s="1"/>
  <c r="F3516" i="2"/>
  <c r="G3516" i="2" s="1"/>
  <c r="F3515" i="2"/>
  <c r="G3515" i="2" s="1"/>
  <c r="F3514" i="2"/>
  <c r="G3514" i="2" s="1"/>
  <c r="F3513" i="2"/>
  <c r="G3513" i="2" s="1"/>
  <c r="F3512" i="2"/>
  <c r="G3512" i="2" s="1"/>
  <c r="F3511" i="2"/>
  <c r="G3511" i="2" s="1"/>
  <c r="F3510" i="2"/>
  <c r="G3510" i="2" s="1"/>
  <c r="F3509" i="2"/>
  <c r="G3509" i="2" s="1"/>
  <c r="F3508" i="2"/>
  <c r="G3508" i="2" s="1"/>
  <c r="F3507" i="2"/>
  <c r="G3507" i="2" s="1"/>
  <c r="F3506" i="2"/>
  <c r="G3506" i="2" s="1"/>
  <c r="F3505" i="2"/>
  <c r="G3505" i="2" s="1"/>
  <c r="F3504" i="2"/>
  <c r="G3504" i="2" s="1"/>
  <c r="F3503" i="2"/>
  <c r="G3503" i="2" s="1"/>
  <c r="F3502" i="2"/>
  <c r="G3502" i="2" s="1"/>
  <c r="F3501" i="2"/>
  <c r="G3501" i="2" s="1"/>
  <c r="F3500" i="2"/>
  <c r="G3500" i="2" s="1"/>
  <c r="F3499" i="2"/>
  <c r="G3499" i="2" s="1"/>
  <c r="F3498" i="2"/>
  <c r="G3498" i="2" s="1"/>
  <c r="F3497" i="2"/>
  <c r="G3497" i="2" s="1"/>
  <c r="F3496" i="2"/>
  <c r="G3496" i="2" s="1"/>
  <c r="F3495" i="2"/>
  <c r="G3495" i="2" s="1"/>
  <c r="F3494" i="2"/>
  <c r="G3494" i="2" s="1"/>
  <c r="F3493" i="2"/>
  <c r="G3493" i="2" s="1"/>
  <c r="F3492" i="2"/>
  <c r="G3492" i="2" s="1"/>
  <c r="F3491" i="2"/>
  <c r="G3491" i="2" s="1"/>
  <c r="F3490" i="2"/>
  <c r="G3490" i="2" s="1"/>
  <c r="F3489" i="2"/>
  <c r="G3489" i="2" s="1"/>
  <c r="F3488" i="2"/>
  <c r="G3488" i="2" s="1"/>
  <c r="F3487" i="2"/>
  <c r="G3487" i="2" s="1"/>
  <c r="F3486" i="2"/>
  <c r="G3486" i="2" s="1"/>
  <c r="F3485" i="2"/>
  <c r="G3485" i="2" s="1"/>
  <c r="F3484" i="2"/>
  <c r="G3484" i="2" s="1"/>
  <c r="F3483" i="2"/>
  <c r="G3483" i="2" s="1"/>
  <c r="F3482" i="2"/>
  <c r="G3482" i="2" s="1"/>
  <c r="H1361" i="1" s="1"/>
  <c r="F3481" i="2"/>
  <c r="G3481" i="2" s="1"/>
  <c r="F3480" i="2"/>
  <c r="G3480" i="2" s="1"/>
  <c r="F3479" i="2"/>
  <c r="G3479" i="2" s="1"/>
  <c r="F3478" i="2"/>
  <c r="G3478" i="2" s="1"/>
  <c r="F3477" i="2"/>
  <c r="G3477" i="2" s="1"/>
  <c r="F3476" i="2"/>
  <c r="G3476" i="2" s="1"/>
  <c r="F3475" i="2"/>
  <c r="G3475" i="2" s="1"/>
  <c r="F3474" i="2"/>
  <c r="G3474" i="2" s="1"/>
  <c r="F3473" i="2"/>
  <c r="G3473" i="2" s="1"/>
  <c r="F3472" i="2"/>
  <c r="G3472" i="2" s="1"/>
  <c r="F3471" i="2"/>
  <c r="G3471" i="2" s="1"/>
  <c r="F3470" i="2"/>
  <c r="G3470" i="2" s="1"/>
  <c r="F3469" i="2"/>
  <c r="G3469" i="2" s="1"/>
  <c r="F3468" i="2"/>
  <c r="G3468" i="2" s="1"/>
  <c r="H996" i="1" s="1"/>
  <c r="F3467" i="2"/>
  <c r="G3467" i="2" s="1"/>
  <c r="F3466" i="2"/>
  <c r="G3466" i="2"/>
  <c r="F3465" i="2"/>
  <c r="G3465" i="2" s="1"/>
  <c r="F3464" i="2"/>
  <c r="G3464" i="2" s="1"/>
  <c r="F3463" i="2"/>
  <c r="G3463" i="2" s="1"/>
  <c r="F3462" i="2"/>
  <c r="G3462" i="2" s="1"/>
  <c r="F3461" i="2"/>
  <c r="G3461" i="2" s="1"/>
  <c r="F3460" i="2"/>
  <c r="G3460" i="2" s="1"/>
  <c r="F3459" i="2"/>
  <c r="G3459" i="2" s="1"/>
  <c r="F3458" i="2"/>
  <c r="G3458" i="2" s="1"/>
  <c r="F3457" i="2"/>
  <c r="G3457" i="2" s="1"/>
  <c r="F3456" i="2"/>
  <c r="G3456" i="2" s="1"/>
  <c r="F3455" i="2"/>
  <c r="G3455" i="2" s="1"/>
  <c r="F3454" i="2"/>
  <c r="G3454" i="2" s="1"/>
  <c r="F3453" i="2"/>
  <c r="G3453" i="2" s="1"/>
  <c r="F3452" i="2"/>
  <c r="G3452" i="2" s="1"/>
  <c r="F3451" i="2"/>
  <c r="G3451" i="2" s="1"/>
  <c r="F3450" i="2"/>
  <c r="G3450" i="2" s="1"/>
  <c r="F3449" i="2"/>
  <c r="G3449" i="2" s="1"/>
  <c r="F3448" i="2"/>
  <c r="G3448" i="2" s="1"/>
  <c r="F3447" i="2"/>
  <c r="G3447" i="2" s="1"/>
  <c r="F3446" i="2"/>
  <c r="G3446" i="2" s="1"/>
  <c r="F3445" i="2"/>
  <c r="G3445" i="2" s="1"/>
  <c r="F3444" i="2"/>
  <c r="G3444" i="2" s="1"/>
  <c r="F3443" i="2"/>
  <c r="G3443" i="2" s="1"/>
  <c r="F3442" i="2"/>
  <c r="G3442" i="2" s="1"/>
  <c r="F3441" i="2"/>
  <c r="G3441" i="2" s="1"/>
  <c r="F3440" i="2"/>
  <c r="G3440" i="2" s="1"/>
  <c r="H1143" i="1" s="1"/>
  <c r="F3439" i="2"/>
  <c r="G3439" i="2" s="1"/>
  <c r="F3438" i="2"/>
  <c r="G3438" i="2" s="1"/>
  <c r="F3437" i="2"/>
  <c r="G3437" i="2" s="1"/>
  <c r="F3436" i="2"/>
  <c r="G3436" i="2" s="1"/>
  <c r="F3435" i="2"/>
  <c r="G3435" i="2" s="1"/>
  <c r="F3434" i="2"/>
  <c r="G3434" i="2" s="1"/>
  <c r="F3433" i="2"/>
  <c r="G3433" i="2" s="1"/>
  <c r="F3432" i="2"/>
  <c r="G3432" i="2" s="1"/>
  <c r="F3431" i="2"/>
  <c r="G3431" i="2" s="1"/>
  <c r="F3430" i="2"/>
  <c r="G3430" i="2" s="1"/>
  <c r="F3429" i="2"/>
  <c r="G3429" i="2" s="1"/>
  <c r="F3428" i="2"/>
  <c r="G3428" i="2" s="1"/>
  <c r="F3427" i="2"/>
  <c r="G3427" i="2" s="1"/>
  <c r="F3426" i="2"/>
  <c r="G3426" i="2" s="1"/>
  <c r="F3425" i="2"/>
  <c r="G3425" i="2" s="1"/>
  <c r="F3424" i="2"/>
  <c r="G3424" i="2" s="1"/>
  <c r="F3423" i="2"/>
  <c r="G3423" i="2" s="1"/>
  <c r="F3422" i="2"/>
  <c r="G3422" i="2" s="1"/>
  <c r="F3421" i="2"/>
  <c r="G3421" i="2" s="1"/>
  <c r="F3420" i="2"/>
  <c r="G3420" i="2" s="1"/>
  <c r="F3419" i="2"/>
  <c r="G3419" i="2" s="1"/>
  <c r="F3418" i="2"/>
  <c r="G3418" i="2" s="1"/>
  <c r="F3417" i="2"/>
  <c r="G3417" i="2" s="1"/>
  <c r="F3416" i="2"/>
  <c r="G3416" i="2" s="1"/>
  <c r="F3415" i="2"/>
  <c r="G3415" i="2" s="1"/>
  <c r="F3414" i="2"/>
  <c r="G3414" i="2" s="1"/>
  <c r="F3413" i="2"/>
  <c r="G3413" i="2" s="1"/>
  <c r="F3412" i="2"/>
  <c r="G3412" i="2" s="1"/>
  <c r="F3411" i="2"/>
  <c r="G3411" i="2" s="1"/>
  <c r="F3410" i="2"/>
  <c r="G3410" i="2" s="1"/>
  <c r="F3409" i="2"/>
  <c r="G3409" i="2" s="1"/>
  <c r="F3408" i="2"/>
  <c r="G3408" i="2" s="1"/>
  <c r="F3407" i="2"/>
  <c r="G3407" i="2" s="1"/>
  <c r="F3406" i="2"/>
  <c r="G3406" i="2" s="1"/>
  <c r="F3405" i="2"/>
  <c r="G3405" i="2" s="1"/>
  <c r="F3404" i="2"/>
  <c r="G3404" i="2"/>
  <c r="F3403" i="2"/>
  <c r="G3403" i="2" s="1"/>
  <c r="F3402" i="2"/>
  <c r="G3402" i="2" s="1"/>
  <c r="F3401" i="2"/>
  <c r="G3401" i="2" s="1"/>
  <c r="F3400" i="2"/>
  <c r="G3400" i="2" s="1"/>
  <c r="F3399" i="2"/>
  <c r="G3399" i="2" s="1"/>
  <c r="F3398" i="2"/>
  <c r="G3398" i="2" s="1"/>
  <c r="F3397" i="2"/>
  <c r="G3397" i="2" s="1"/>
  <c r="F3396" i="2"/>
  <c r="G3396" i="2" s="1"/>
  <c r="F3395" i="2"/>
  <c r="G3395" i="2" s="1"/>
  <c r="F3394" i="2"/>
  <c r="G3394" i="2" s="1"/>
  <c r="F3393" i="2"/>
  <c r="G3393" i="2" s="1"/>
  <c r="F3392" i="2"/>
  <c r="G3392" i="2" s="1"/>
  <c r="F3391" i="2"/>
  <c r="G3391" i="2" s="1"/>
  <c r="F3390" i="2"/>
  <c r="G3390" i="2" s="1"/>
  <c r="F3389" i="2"/>
  <c r="G3389" i="2" s="1"/>
  <c r="F3388" i="2"/>
  <c r="G3388" i="2" s="1"/>
  <c r="F3387" i="2"/>
  <c r="G3387" i="2" s="1"/>
  <c r="F3386" i="2"/>
  <c r="G3386" i="2" s="1"/>
  <c r="F3385" i="2"/>
  <c r="G3385" i="2" s="1"/>
  <c r="F3384" i="2"/>
  <c r="G3384" i="2" s="1"/>
  <c r="F3383" i="2"/>
  <c r="G3383" i="2" s="1"/>
  <c r="F3382" i="2"/>
  <c r="G3382" i="2" s="1"/>
  <c r="F3381" i="2"/>
  <c r="G3381" i="2" s="1"/>
  <c r="F3380" i="2"/>
  <c r="G3380" i="2" s="1"/>
  <c r="F3379" i="2"/>
  <c r="G3379" i="2" s="1"/>
  <c r="F3378" i="2"/>
  <c r="G3378" i="2" s="1"/>
  <c r="F3377" i="2"/>
  <c r="G3377" i="2" s="1"/>
  <c r="F3376" i="2"/>
  <c r="G3376" i="2" s="1"/>
  <c r="F3375" i="2"/>
  <c r="G3375" i="2" s="1"/>
  <c r="F3374" i="2"/>
  <c r="G3374" i="2" s="1"/>
  <c r="F3373" i="2"/>
  <c r="G3373" i="2" s="1"/>
  <c r="F3372" i="2"/>
  <c r="G3372" i="2" s="1"/>
  <c r="F3371" i="2"/>
  <c r="G3371" i="2" s="1"/>
  <c r="F3370" i="2"/>
  <c r="G3370" i="2" s="1"/>
  <c r="F3369" i="2"/>
  <c r="G3369" i="2" s="1"/>
  <c r="F3368" i="2"/>
  <c r="G3368" i="2" s="1"/>
  <c r="F3367" i="2"/>
  <c r="G3367" i="2" s="1"/>
  <c r="F3366" i="2"/>
  <c r="G3366" i="2" s="1"/>
  <c r="F3365" i="2"/>
  <c r="G3365" i="2" s="1"/>
  <c r="F3364" i="2"/>
  <c r="G3364" i="2" s="1"/>
  <c r="F3363" i="2"/>
  <c r="G3363" i="2" s="1"/>
  <c r="F3362" i="2"/>
  <c r="G3362" i="2" s="1"/>
  <c r="F3361" i="2"/>
  <c r="G3361" i="2" s="1"/>
  <c r="F3360" i="2"/>
  <c r="G3360" i="2" s="1"/>
  <c r="F3359" i="2"/>
  <c r="G3359" i="2" s="1"/>
  <c r="F3358" i="2"/>
  <c r="G3358" i="2" s="1"/>
  <c r="H1035" i="1" s="1"/>
  <c r="F3357" i="2"/>
  <c r="G3357" i="2" s="1"/>
  <c r="F3356" i="2"/>
  <c r="G3356" i="2" s="1"/>
  <c r="F3355" i="2"/>
  <c r="G3355" i="2" s="1"/>
  <c r="F3354" i="2"/>
  <c r="G3354" i="2" s="1"/>
  <c r="F3353" i="2"/>
  <c r="G3353" i="2" s="1"/>
  <c r="F3352" i="2"/>
  <c r="G3352" i="2" s="1"/>
  <c r="F3351" i="2"/>
  <c r="G3351" i="2" s="1"/>
  <c r="F3350" i="2"/>
  <c r="G3350" i="2" s="1"/>
  <c r="F3349" i="2"/>
  <c r="G3349" i="2" s="1"/>
  <c r="F3348" i="2"/>
  <c r="G3348" i="2" s="1"/>
  <c r="F3347" i="2"/>
  <c r="G3347" i="2" s="1"/>
  <c r="F3346" i="2"/>
  <c r="G3346" i="2" s="1"/>
  <c r="F3345" i="2"/>
  <c r="G3345" i="2" s="1"/>
  <c r="F3344" i="2"/>
  <c r="G3344" i="2" s="1"/>
  <c r="F3343" i="2"/>
  <c r="G3343" i="2" s="1"/>
  <c r="F3342" i="2"/>
  <c r="G3342" i="2" s="1"/>
  <c r="F3341" i="2"/>
  <c r="G3341" i="2" s="1"/>
  <c r="F3340" i="2"/>
  <c r="G3340" i="2" s="1"/>
  <c r="F3339" i="2"/>
  <c r="G3339" i="2" s="1"/>
  <c r="F3338" i="2"/>
  <c r="G3338" i="2" s="1"/>
  <c r="F3337" i="2"/>
  <c r="G3337" i="2" s="1"/>
  <c r="F3336" i="2"/>
  <c r="G3336" i="2" s="1"/>
  <c r="F3335" i="2"/>
  <c r="G3335" i="2" s="1"/>
  <c r="F3334" i="2"/>
  <c r="G3334" i="2" s="1"/>
  <c r="F3333" i="2"/>
  <c r="G3333" i="2" s="1"/>
  <c r="F3332" i="2"/>
  <c r="G3332" i="2" s="1"/>
  <c r="F3331" i="2"/>
  <c r="G3331" i="2" s="1"/>
  <c r="F3330" i="2"/>
  <c r="G3330" i="2" s="1"/>
  <c r="F3329" i="2"/>
  <c r="G3329" i="2" s="1"/>
  <c r="F3328" i="2"/>
  <c r="G3328" i="2" s="1"/>
  <c r="F3327" i="2"/>
  <c r="G3327" i="2" s="1"/>
  <c r="F3326" i="2"/>
  <c r="G3326" i="2" s="1"/>
  <c r="F3325" i="2"/>
  <c r="G3325" i="2" s="1"/>
  <c r="F3324" i="2"/>
  <c r="G3324" i="2" s="1"/>
  <c r="F3323" i="2"/>
  <c r="G3323" i="2" s="1"/>
  <c r="F3322" i="2"/>
  <c r="G3322" i="2" s="1"/>
  <c r="F3321" i="2"/>
  <c r="G3321" i="2" s="1"/>
  <c r="F3320" i="2"/>
  <c r="G3320" i="2" s="1"/>
  <c r="F3319" i="2"/>
  <c r="G3319" i="2" s="1"/>
  <c r="F3318" i="2"/>
  <c r="G3318" i="2" s="1"/>
  <c r="F3317" i="2"/>
  <c r="G3317" i="2" s="1"/>
  <c r="F3316" i="2"/>
  <c r="G3316" i="2" s="1"/>
  <c r="F3315" i="2"/>
  <c r="G3315" i="2" s="1"/>
  <c r="F3314" i="2"/>
  <c r="G3314" i="2" s="1"/>
  <c r="F3313" i="2"/>
  <c r="G3313" i="2" s="1"/>
  <c r="F3312" i="2"/>
  <c r="G3312" i="2" s="1"/>
  <c r="F3311" i="2"/>
  <c r="G3311" i="2" s="1"/>
  <c r="F3310" i="2"/>
  <c r="G3310" i="2" s="1"/>
  <c r="F3309" i="2"/>
  <c r="G3309" i="2" s="1"/>
  <c r="F3308" i="2"/>
  <c r="G3308" i="2" s="1"/>
  <c r="F3307" i="2"/>
  <c r="G3307" i="2" s="1"/>
  <c r="F3306" i="2"/>
  <c r="G3306" i="2" s="1"/>
  <c r="F3305" i="2"/>
  <c r="G3305" i="2" s="1"/>
  <c r="F3304" i="2"/>
  <c r="G3304" i="2" s="1"/>
  <c r="F3303" i="2"/>
  <c r="G3303" i="2" s="1"/>
  <c r="F3302" i="2"/>
  <c r="G3302" i="2" s="1"/>
  <c r="F3301" i="2"/>
  <c r="G3301" i="2" s="1"/>
  <c r="F3300" i="2"/>
  <c r="G3300" i="2" s="1"/>
  <c r="F3299" i="2"/>
  <c r="G3299" i="2" s="1"/>
  <c r="F3298" i="2"/>
  <c r="G3298" i="2" s="1"/>
  <c r="F3297" i="2"/>
  <c r="G3297" i="2" s="1"/>
  <c r="F3296" i="2"/>
  <c r="G3296" i="2" s="1"/>
  <c r="F3295" i="2"/>
  <c r="G3295" i="2" s="1"/>
  <c r="F3294" i="2"/>
  <c r="G3294" i="2" s="1"/>
  <c r="F3293" i="2"/>
  <c r="G3293" i="2" s="1"/>
  <c r="F3292" i="2"/>
  <c r="G3292" i="2" s="1"/>
  <c r="F3291" i="2"/>
  <c r="G3291" i="2" s="1"/>
  <c r="F3290" i="2"/>
  <c r="G3290" i="2" s="1"/>
  <c r="F3289" i="2"/>
  <c r="G3289" i="2" s="1"/>
  <c r="F3288" i="2"/>
  <c r="G3288" i="2" s="1"/>
  <c r="F3287" i="2"/>
  <c r="G3287" i="2" s="1"/>
  <c r="F3286" i="2"/>
  <c r="G3286" i="2" s="1"/>
  <c r="F3285" i="2"/>
  <c r="G3285" i="2" s="1"/>
  <c r="F3284" i="2"/>
  <c r="G3284" i="2" s="1"/>
  <c r="F3283" i="2"/>
  <c r="G3283" i="2" s="1"/>
  <c r="F3282" i="2"/>
  <c r="G3282" i="2" s="1"/>
  <c r="F3281" i="2"/>
  <c r="G3281" i="2" s="1"/>
  <c r="F3280" i="2"/>
  <c r="G3280" i="2" s="1"/>
  <c r="F3279" i="2"/>
  <c r="G3279" i="2" s="1"/>
  <c r="F3278" i="2"/>
  <c r="G3278" i="2" s="1"/>
  <c r="F3277" i="2"/>
  <c r="G3277" i="2" s="1"/>
  <c r="F3276" i="2"/>
  <c r="G3276" i="2" s="1"/>
  <c r="F3275" i="2"/>
  <c r="G3275" i="2" s="1"/>
  <c r="F3274" i="2"/>
  <c r="G3274" i="2" s="1"/>
  <c r="F3273" i="2"/>
  <c r="G3273" i="2" s="1"/>
  <c r="F3272" i="2"/>
  <c r="G3272" i="2" s="1"/>
  <c r="F3271" i="2"/>
  <c r="G3271" i="2" s="1"/>
  <c r="F3270" i="2"/>
  <c r="G3270" i="2" s="1"/>
  <c r="F3269" i="2"/>
  <c r="G3269" i="2" s="1"/>
  <c r="F3268" i="2"/>
  <c r="G3268" i="2" s="1"/>
  <c r="F3267" i="2"/>
  <c r="G3267" i="2" s="1"/>
  <c r="F3266" i="2"/>
  <c r="G3266" i="2" s="1"/>
  <c r="F3265" i="2"/>
  <c r="G3265" i="2" s="1"/>
  <c r="F3264" i="2"/>
  <c r="G3264" i="2" s="1"/>
  <c r="F3263" i="2"/>
  <c r="G3263" i="2" s="1"/>
  <c r="F3262" i="2"/>
  <c r="G3262" i="2" s="1"/>
  <c r="F3261" i="2"/>
  <c r="G3261" i="2" s="1"/>
  <c r="F3260" i="2"/>
  <c r="G3260" i="2" s="1"/>
  <c r="F3259" i="2"/>
  <c r="G3259" i="2" s="1"/>
  <c r="F3258" i="2"/>
  <c r="G3258" i="2" s="1"/>
  <c r="F3257" i="2"/>
  <c r="G3257" i="2" s="1"/>
  <c r="F3256" i="2"/>
  <c r="G3256" i="2" s="1"/>
  <c r="F3255" i="2"/>
  <c r="G3255" i="2" s="1"/>
  <c r="F3254" i="2"/>
  <c r="G3254" i="2" s="1"/>
  <c r="F3253" i="2"/>
  <c r="G3253" i="2" s="1"/>
  <c r="F3252" i="2"/>
  <c r="G3252" i="2" s="1"/>
  <c r="F3251" i="2"/>
  <c r="G3251" i="2" s="1"/>
  <c r="F3250" i="2"/>
  <c r="G3250" i="2" s="1"/>
  <c r="F3249" i="2"/>
  <c r="G3249" i="2" s="1"/>
  <c r="F3248" i="2"/>
  <c r="G3248" i="2" s="1"/>
  <c r="F3247" i="2"/>
  <c r="G3247" i="2" s="1"/>
  <c r="F3246" i="2"/>
  <c r="G3246" i="2" s="1"/>
  <c r="F3245" i="2"/>
  <c r="G3245" i="2" s="1"/>
  <c r="F3244" i="2"/>
  <c r="G3244" i="2" s="1"/>
  <c r="F3243" i="2"/>
  <c r="G3243" i="2" s="1"/>
  <c r="F3242" i="2"/>
  <c r="G3242" i="2" s="1"/>
  <c r="F3241" i="2"/>
  <c r="G3241" i="2" s="1"/>
  <c r="F3240" i="2"/>
  <c r="G3240" i="2" s="1"/>
  <c r="F3239" i="2"/>
  <c r="G3239" i="2" s="1"/>
  <c r="F3238" i="2"/>
  <c r="G3238" i="2" s="1"/>
  <c r="F3237" i="2"/>
  <c r="G3237" i="2" s="1"/>
  <c r="F3236" i="2"/>
  <c r="G3236" i="2" s="1"/>
  <c r="F3235" i="2"/>
  <c r="G3235" i="2" s="1"/>
  <c r="F3234" i="2"/>
  <c r="G3234" i="2" s="1"/>
  <c r="F3233" i="2"/>
  <c r="G3233" i="2" s="1"/>
  <c r="F3232" i="2"/>
  <c r="G3232" i="2" s="1"/>
  <c r="F3231" i="2"/>
  <c r="G3231" i="2" s="1"/>
  <c r="F3230" i="2"/>
  <c r="G3230" i="2" s="1"/>
  <c r="F3229" i="2"/>
  <c r="G3229" i="2" s="1"/>
  <c r="F3228" i="2"/>
  <c r="G3228" i="2" s="1"/>
  <c r="F3227" i="2"/>
  <c r="G3227" i="2" s="1"/>
  <c r="F3226" i="2"/>
  <c r="G3226" i="2" s="1"/>
  <c r="F3225" i="2"/>
  <c r="G3225" i="2" s="1"/>
  <c r="F3224" i="2"/>
  <c r="G3224" i="2" s="1"/>
  <c r="F3223" i="2"/>
  <c r="G3223" i="2" s="1"/>
  <c r="F3222" i="2"/>
  <c r="G3222" i="2" s="1"/>
  <c r="F3221" i="2"/>
  <c r="G3221" i="2" s="1"/>
  <c r="F3220" i="2"/>
  <c r="G3220" i="2" s="1"/>
  <c r="F3219" i="2"/>
  <c r="G3219" i="2" s="1"/>
  <c r="F3218" i="2"/>
  <c r="G3218" i="2" s="1"/>
  <c r="F3217" i="2"/>
  <c r="G3217" i="2" s="1"/>
  <c r="F3216" i="2"/>
  <c r="G3216" i="2" s="1"/>
  <c r="F3215" i="2"/>
  <c r="G3215" i="2" s="1"/>
  <c r="F3214" i="2"/>
  <c r="G3214" i="2" s="1"/>
  <c r="F3213" i="2"/>
  <c r="G3213" i="2" s="1"/>
  <c r="F3212" i="2"/>
  <c r="G3212" i="2" s="1"/>
  <c r="F3211" i="2"/>
  <c r="G3211" i="2" s="1"/>
  <c r="F3210" i="2"/>
  <c r="G3210" i="2" s="1"/>
  <c r="F3209" i="2"/>
  <c r="G3209" i="2" s="1"/>
  <c r="F3208" i="2"/>
  <c r="G3208" i="2" s="1"/>
  <c r="F3207" i="2"/>
  <c r="G3207" i="2" s="1"/>
  <c r="F3206" i="2"/>
  <c r="G3206" i="2" s="1"/>
  <c r="F3205" i="2"/>
  <c r="G3205" i="2" s="1"/>
  <c r="F3204" i="2"/>
  <c r="G3204" i="2" s="1"/>
  <c r="F3203" i="2"/>
  <c r="G3203" i="2" s="1"/>
  <c r="F3202" i="2"/>
  <c r="G3202" i="2" s="1"/>
  <c r="F3201" i="2"/>
  <c r="G3201" i="2" s="1"/>
  <c r="H349" i="1" s="1"/>
  <c r="F3200" i="2"/>
  <c r="G3200" i="2" s="1"/>
  <c r="F3199" i="2"/>
  <c r="G3199" i="2" s="1"/>
  <c r="F3198" i="2"/>
  <c r="G3198" i="2" s="1"/>
  <c r="F3197" i="2"/>
  <c r="G3197" i="2" s="1"/>
  <c r="F3196" i="2"/>
  <c r="G3196" i="2" s="1"/>
  <c r="F3195" i="2"/>
  <c r="G3195" i="2" s="1"/>
  <c r="F3194" i="2"/>
  <c r="G3194" i="2" s="1"/>
  <c r="F3193" i="2"/>
  <c r="G3193" i="2" s="1"/>
  <c r="F3192" i="2"/>
  <c r="G3192" i="2" s="1"/>
  <c r="F3191" i="2"/>
  <c r="G3191" i="2" s="1"/>
  <c r="F3190" i="2"/>
  <c r="G3190" i="2" s="1"/>
  <c r="F3189" i="2"/>
  <c r="G3189" i="2" s="1"/>
  <c r="F3188" i="2"/>
  <c r="G3188" i="2" s="1"/>
  <c r="F3187" i="2"/>
  <c r="G3187" i="2" s="1"/>
  <c r="F3186" i="2"/>
  <c r="G3186" i="2" s="1"/>
  <c r="F3185" i="2"/>
  <c r="G3185" i="2" s="1"/>
  <c r="F3184" i="2"/>
  <c r="G3184" i="2" s="1"/>
  <c r="F3183" i="2"/>
  <c r="G3183" i="2" s="1"/>
  <c r="F3182" i="2"/>
  <c r="G3182" i="2" s="1"/>
  <c r="F3181" i="2"/>
  <c r="G3181" i="2" s="1"/>
  <c r="F3180" i="2"/>
  <c r="G3180" i="2" s="1"/>
  <c r="F3179" i="2"/>
  <c r="G3179" i="2" s="1"/>
  <c r="F3178" i="2"/>
  <c r="G3178" i="2" s="1"/>
  <c r="F3177" i="2"/>
  <c r="G3177" i="2" s="1"/>
  <c r="F3176" i="2"/>
  <c r="G3176" i="2" s="1"/>
  <c r="F3175" i="2"/>
  <c r="G3175" i="2" s="1"/>
  <c r="F3174" i="2"/>
  <c r="G3174" i="2" s="1"/>
  <c r="F3173" i="2"/>
  <c r="G3173" i="2" s="1"/>
  <c r="F3172" i="2"/>
  <c r="G3172" i="2" s="1"/>
  <c r="F3171" i="2"/>
  <c r="G3171" i="2" s="1"/>
  <c r="F3170" i="2"/>
  <c r="G3170" i="2" s="1"/>
  <c r="F3169" i="2"/>
  <c r="G3169" i="2" s="1"/>
  <c r="F3168" i="2"/>
  <c r="G3168" i="2" s="1"/>
  <c r="F3167" i="2"/>
  <c r="G3167" i="2" s="1"/>
  <c r="F3166" i="2"/>
  <c r="G3166" i="2" s="1"/>
  <c r="F3165" i="2"/>
  <c r="G3165" i="2" s="1"/>
  <c r="F3164" i="2"/>
  <c r="G3164" i="2" s="1"/>
  <c r="F3163" i="2"/>
  <c r="G3163" i="2" s="1"/>
  <c r="F3162" i="2"/>
  <c r="G3162" i="2" s="1"/>
  <c r="F3161" i="2"/>
  <c r="G3161" i="2" s="1"/>
  <c r="F3160" i="2"/>
  <c r="G3160" i="2" s="1"/>
  <c r="F3159" i="2"/>
  <c r="G3159" i="2" s="1"/>
  <c r="F3158" i="2"/>
  <c r="G3158" i="2" s="1"/>
  <c r="F3157" i="2"/>
  <c r="G3157" i="2" s="1"/>
  <c r="F3156" i="2"/>
  <c r="G3156" i="2" s="1"/>
  <c r="F3155" i="2"/>
  <c r="G3155" i="2" s="1"/>
  <c r="F3154" i="2"/>
  <c r="G3154" i="2" s="1"/>
  <c r="F3153" i="2"/>
  <c r="G3153" i="2" s="1"/>
  <c r="F3152" i="2"/>
  <c r="G3152" i="2" s="1"/>
  <c r="F3151" i="2"/>
  <c r="G3151" i="2" s="1"/>
  <c r="F3150" i="2"/>
  <c r="G3150" i="2" s="1"/>
  <c r="F3149" i="2"/>
  <c r="G3149" i="2" s="1"/>
  <c r="F3148" i="2"/>
  <c r="G3148" i="2" s="1"/>
  <c r="F3147" i="2"/>
  <c r="G3147" i="2" s="1"/>
  <c r="F3146" i="2"/>
  <c r="G3146" i="2" s="1"/>
  <c r="F3145" i="2"/>
  <c r="G3145" i="2" s="1"/>
  <c r="F3144" i="2"/>
  <c r="G3144" i="2" s="1"/>
  <c r="F3143" i="2"/>
  <c r="G3143" i="2" s="1"/>
  <c r="F3142" i="2"/>
  <c r="G3142" i="2" s="1"/>
  <c r="F3141" i="2"/>
  <c r="G3141" i="2" s="1"/>
  <c r="F3140" i="2"/>
  <c r="G3140" i="2" s="1"/>
  <c r="F3139" i="2"/>
  <c r="G3139" i="2" s="1"/>
  <c r="F3138" i="2"/>
  <c r="G3138" i="2" s="1"/>
  <c r="F3137" i="2"/>
  <c r="G3137" i="2" s="1"/>
  <c r="F3136" i="2"/>
  <c r="G3136" i="2" s="1"/>
  <c r="F3135" i="2"/>
  <c r="G3135" i="2" s="1"/>
  <c r="F3134" i="2"/>
  <c r="G3134" i="2" s="1"/>
  <c r="F3133" i="2"/>
  <c r="G3133" i="2" s="1"/>
  <c r="F3132" i="2"/>
  <c r="G3132" i="2" s="1"/>
  <c r="F3131" i="2"/>
  <c r="G3131" i="2" s="1"/>
  <c r="F3130" i="2"/>
  <c r="G3130" i="2" s="1"/>
  <c r="F3129" i="2"/>
  <c r="G3129" i="2" s="1"/>
  <c r="F3128" i="2"/>
  <c r="G3128" i="2" s="1"/>
  <c r="F3127" i="2"/>
  <c r="G3127" i="2" s="1"/>
  <c r="F3126" i="2"/>
  <c r="G3126" i="2" s="1"/>
  <c r="F3125" i="2"/>
  <c r="G3125" i="2" s="1"/>
  <c r="F3124" i="2"/>
  <c r="G3124" i="2" s="1"/>
  <c r="F3123" i="2"/>
  <c r="G3123" i="2" s="1"/>
  <c r="F3122" i="2"/>
  <c r="G3122" i="2" s="1"/>
  <c r="F3121" i="2"/>
  <c r="G3121" i="2" s="1"/>
  <c r="F3120" i="2"/>
  <c r="G3120" i="2" s="1"/>
  <c r="F3119" i="2"/>
  <c r="G3119" i="2" s="1"/>
  <c r="F3118" i="2"/>
  <c r="G3118" i="2" s="1"/>
  <c r="F3117" i="2"/>
  <c r="G3117" i="2" s="1"/>
  <c r="F3116" i="2"/>
  <c r="G3116" i="2" s="1"/>
  <c r="F3115" i="2"/>
  <c r="G3115" i="2" s="1"/>
  <c r="F3114" i="2"/>
  <c r="G3114" i="2" s="1"/>
  <c r="F3113" i="2"/>
  <c r="G3113" i="2" s="1"/>
  <c r="F3112" i="2"/>
  <c r="G3112" i="2" s="1"/>
  <c r="F3111" i="2"/>
  <c r="G3111" i="2" s="1"/>
  <c r="F3110" i="2"/>
  <c r="G3110" i="2" s="1"/>
  <c r="F3109" i="2"/>
  <c r="G3109" i="2" s="1"/>
  <c r="F3108" i="2"/>
  <c r="G3108" i="2" s="1"/>
  <c r="F3107" i="2"/>
  <c r="G3107" i="2" s="1"/>
  <c r="F3106" i="2"/>
  <c r="G3106" i="2" s="1"/>
  <c r="F3105" i="2"/>
  <c r="G3105" i="2" s="1"/>
  <c r="F3104" i="2"/>
  <c r="G3104" i="2" s="1"/>
  <c r="F3103" i="2"/>
  <c r="G3103" i="2" s="1"/>
  <c r="F3102" i="2"/>
  <c r="G3102" i="2" s="1"/>
  <c r="F3101" i="2"/>
  <c r="G3101" i="2" s="1"/>
  <c r="F3100" i="2"/>
  <c r="G3100" i="2" s="1"/>
  <c r="F3099" i="2"/>
  <c r="G3099" i="2" s="1"/>
  <c r="F3098" i="2"/>
  <c r="G3098" i="2" s="1"/>
  <c r="F3097" i="2"/>
  <c r="G3097" i="2" s="1"/>
  <c r="F3096" i="2"/>
  <c r="G3096" i="2" s="1"/>
  <c r="F3095" i="2"/>
  <c r="G3095" i="2" s="1"/>
  <c r="F3094" i="2"/>
  <c r="G3094" i="2" s="1"/>
  <c r="F3093" i="2"/>
  <c r="G3093" i="2" s="1"/>
  <c r="F3092" i="2"/>
  <c r="G3092" i="2" s="1"/>
  <c r="F3091" i="2"/>
  <c r="G3091" i="2" s="1"/>
  <c r="F3090" i="2"/>
  <c r="G3090" i="2" s="1"/>
  <c r="F3089" i="2"/>
  <c r="G3089" i="2" s="1"/>
  <c r="F3088" i="2"/>
  <c r="G3088" i="2" s="1"/>
  <c r="F3087" i="2"/>
  <c r="G3087" i="2" s="1"/>
  <c r="F3086" i="2"/>
  <c r="G3086" i="2" s="1"/>
  <c r="F3085" i="2"/>
  <c r="G3085" i="2" s="1"/>
  <c r="F3084" i="2"/>
  <c r="G3084" i="2" s="1"/>
  <c r="F3083" i="2"/>
  <c r="G3083" i="2" s="1"/>
  <c r="F3082" i="2"/>
  <c r="G3082" i="2" s="1"/>
  <c r="F3081" i="2"/>
  <c r="G3081" i="2" s="1"/>
  <c r="F3080" i="2"/>
  <c r="G3080" i="2" s="1"/>
  <c r="F3079" i="2"/>
  <c r="G3079" i="2" s="1"/>
  <c r="F3078" i="2"/>
  <c r="G3078" i="2" s="1"/>
  <c r="F3077" i="2"/>
  <c r="G3077" i="2" s="1"/>
  <c r="F3076" i="2"/>
  <c r="G3076" i="2" s="1"/>
  <c r="F3075" i="2"/>
  <c r="G3075" i="2" s="1"/>
  <c r="F3074" i="2"/>
  <c r="G3074" i="2" s="1"/>
  <c r="F3073" i="2"/>
  <c r="G3073" i="2" s="1"/>
  <c r="F3072" i="2"/>
  <c r="G3072" i="2" s="1"/>
  <c r="F3071" i="2"/>
  <c r="G3071" i="2" s="1"/>
  <c r="F3070" i="2"/>
  <c r="G3070" i="2" s="1"/>
  <c r="F3069" i="2"/>
  <c r="G3069" i="2" s="1"/>
  <c r="F3068" i="2"/>
  <c r="G3068" i="2" s="1"/>
  <c r="F3067" i="2"/>
  <c r="G3067" i="2" s="1"/>
  <c r="F3066" i="2"/>
  <c r="G3066" i="2" s="1"/>
  <c r="F3065" i="2"/>
  <c r="G3065" i="2"/>
  <c r="F3064" i="2"/>
  <c r="G3064" i="2" s="1"/>
  <c r="F3063" i="2"/>
  <c r="G3063" i="2"/>
  <c r="F3062" i="2"/>
  <c r="G3062" i="2" s="1"/>
  <c r="F3061" i="2"/>
  <c r="G3061" i="2" s="1"/>
  <c r="F3060" i="2"/>
  <c r="G3060" i="2" s="1"/>
  <c r="F3059" i="2"/>
  <c r="G3059" i="2"/>
  <c r="F3058" i="2"/>
  <c r="G3058" i="2" s="1"/>
  <c r="F3057" i="2"/>
  <c r="G3057" i="2" s="1"/>
  <c r="F3056" i="2"/>
  <c r="G3056" i="2" s="1"/>
  <c r="F3055" i="2"/>
  <c r="G3055" i="2" s="1"/>
  <c r="F3054" i="2"/>
  <c r="G3054" i="2" s="1"/>
  <c r="F3053" i="2"/>
  <c r="G3053" i="2" s="1"/>
  <c r="F3052" i="2"/>
  <c r="G3052" i="2" s="1"/>
  <c r="F3051" i="2"/>
  <c r="G3051" i="2" s="1"/>
  <c r="F3050" i="2"/>
  <c r="G3050" i="2" s="1"/>
  <c r="F3049" i="2"/>
  <c r="G3049" i="2"/>
  <c r="F3048" i="2"/>
  <c r="G3048" i="2" s="1"/>
  <c r="F3047" i="2"/>
  <c r="G3047" i="2" s="1"/>
  <c r="F3046" i="2"/>
  <c r="G3046" i="2" s="1"/>
  <c r="F3045" i="2"/>
  <c r="G3045" i="2" s="1"/>
  <c r="F3044" i="2"/>
  <c r="G3044" i="2" s="1"/>
  <c r="F3043" i="2"/>
  <c r="G3043" i="2" s="1"/>
  <c r="F3042" i="2"/>
  <c r="G3042" i="2" s="1"/>
  <c r="F3041" i="2"/>
  <c r="G3041" i="2" s="1"/>
  <c r="F3040" i="2"/>
  <c r="G3040" i="2" s="1"/>
  <c r="F3039" i="2"/>
  <c r="G3039" i="2" s="1"/>
  <c r="F3038" i="2"/>
  <c r="G3038" i="2" s="1"/>
  <c r="F3037" i="2"/>
  <c r="G3037" i="2" s="1"/>
  <c r="F3036" i="2"/>
  <c r="G3036" i="2" s="1"/>
  <c r="F3035" i="2"/>
  <c r="G3035" i="2" s="1"/>
  <c r="F3034" i="2"/>
  <c r="G3034" i="2" s="1"/>
  <c r="F3033" i="2"/>
  <c r="G3033" i="2" s="1"/>
  <c r="F3032" i="2"/>
  <c r="G3032" i="2" s="1"/>
  <c r="F3031" i="2"/>
  <c r="G3031" i="2" s="1"/>
  <c r="F3030" i="2"/>
  <c r="G3030" i="2" s="1"/>
  <c r="F3029" i="2"/>
  <c r="G3029" i="2" s="1"/>
  <c r="F3028" i="2"/>
  <c r="G3028" i="2" s="1"/>
  <c r="F3027" i="2"/>
  <c r="G3027" i="2" s="1"/>
  <c r="F3026" i="2"/>
  <c r="G3026" i="2" s="1"/>
  <c r="F3025" i="2"/>
  <c r="G3025" i="2" s="1"/>
  <c r="F3024" i="2"/>
  <c r="G3024" i="2" s="1"/>
  <c r="F3023" i="2"/>
  <c r="G3023" i="2" s="1"/>
  <c r="F3022" i="2"/>
  <c r="G3022" i="2" s="1"/>
  <c r="F3021" i="2"/>
  <c r="G3021" i="2" s="1"/>
  <c r="F3020" i="2"/>
  <c r="G3020" i="2" s="1"/>
  <c r="F3019" i="2"/>
  <c r="G3019" i="2" s="1"/>
  <c r="F3018" i="2"/>
  <c r="G3018" i="2" s="1"/>
  <c r="F3017" i="2"/>
  <c r="G3017" i="2" s="1"/>
  <c r="F3016" i="2"/>
  <c r="G3016" i="2" s="1"/>
  <c r="F3015" i="2"/>
  <c r="G3015" i="2" s="1"/>
  <c r="F3014" i="2"/>
  <c r="G3014" i="2" s="1"/>
  <c r="F3013" i="2"/>
  <c r="G3013" i="2" s="1"/>
  <c r="F3012" i="2"/>
  <c r="G3012" i="2" s="1"/>
  <c r="F3011" i="2"/>
  <c r="G3011" i="2" s="1"/>
  <c r="F3010" i="2"/>
  <c r="G3010" i="2" s="1"/>
  <c r="F3009" i="2"/>
  <c r="G3009" i="2" s="1"/>
  <c r="F3008" i="2"/>
  <c r="G3008" i="2" s="1"/>
  <c r="F3007" i="2"/>
  <c r="G3007" i="2" s="1"/>
  <c r="F3006" i="2"/>
  <c r="G3006" i="2" s="1"/>
  <c r="F3005" i="2"/>
  <c r="G3005" i="2" s="1"/>
  <c r="F3004" i="2"/>
  <c r="G3004" i="2" s="1"/>
  <c r="F3003" i="2"/>
  <c r="G3003" i="2" s="1"/>
  <c r="F3002" i="2"/>
  <c r="G3002" i="2" s="1"/>
  <c r="F3001" i="2"/>
  <c r="G3001" i="2" s="1"/>
  <c r="F3000" i="2"/>
  <c r="G3000" i="2" s="1"/>
  <c r="F2999" i="2"/>
  <c r="G2999" i="2"/>
  <c r="F2998" i="2"/>
  <c r="G2998" i="2" s="1"/>
  <c r="F2997" i="2"/>
  <c r="G2997" i="2" s="1"/>
  <c r="F2996" i="2"/>
  <c r="G2996" i="2" s="1"/>
  <c r="F2995" i="2"/>
  <c r="G2995" i="2" s="1"/>
  <c r="F2994" i="2"/>
  <c r="G2994" i="2" s="1"/>
  <c r="F2993" i="2"/>
  <c r="G2993" i="2" s="1"/>
  <c r="F2992" i="2"/>
  <c r="G2992" i="2" s="1"/>
  <c r="F2991" i="2"/>
  <c r="G2991" i="2" s="1"/>
  <c r="F2990" i="2"/>
  <c r="G2990" i="2" s="1"/>
  <c r="F2989" i="2"/>
  <c r="G2989" i="2" s="1"/>
  <c r="F2988" i="2"/>
  <c r="G2988" i="2" s="1"/>
  <c r="F2987" i="2"/>
  <c r="G2987" i="2" s="1"/>
  <c r="F2986" i="2"/>
  <c r="G2986" i="2" s="1"/>
  <c r="F2985" i="2"/>
  <c r="G2985" i="2" s="1"/>
  <c r="F2984" i="2"/>
  <c r="G2984" i="2" s="1"/>
  <c r="F2983" i="2"/>
  <c r="G2983" i="2" s="1"/>
  <c r="F2982" i="2"/>
  <c r="G2982" i="2" s="1"/>
  <c r="F2981" i="2"/>
  <c r="G2981" i="2" s="1"/>
  <c r="F2980" i="2"/>
  <c r="G2980" i="2" s="1"/>
  <c r="F2979" i="2"/>
  <c r="G2979" i="2" s="1"/>
  <c r="F2978" i="2"/>
  <c r="G2978" i="2" s="1"/>
  <c r="F2977" i="2"/>
  <c r="G2977" i="2" s="1"/>
  <c r="F2976" i="2"/>
  <c r="G2976" i="2" s="1"/>
  <c r="F2975" i="2"/>
  <c r="G2975" i="2" s="1"/>
  <c r="F2974" i="2"/>
  <c r="G2974" i="2" s="1"/>
  <c r="F2973" i="2"/>
  <c r="G2973" i="2" s="1"/>
  <c r="F2972" i="2"/>
  <c r="G2972" i="2" s="1"/>
  <c r="F2971" i="2"/>
  <c r="G2971" i="2" s="1"/>
  <c r="F2970" i="2"/>
  <c r="G2970" i="2" s="1"/>
  <c r="F2969" i="2"/>
  <c r="G2969" i="2" s="1"/>
  <c r="F2968" i="2"/>
  <c r="G2968" i="2" s="1"/>
  <c r="F2967" i="2"/>
  <c r="G2967" i="2" s="1"/>
  <c r="F2966" i="2"/>
  <c r="G2966" i="2" s="1"/>
  <c r="F2965" i="2"/>
  <c r="G2965" i="2" s="1"/>
  <c r="F2964" i="2"/>
  <c r="G2964" i="2" s="1"/>
  <c r="F2963" i="2"/>
  <c r="G2963" i="2" s="1"/>
  <c r="F2962" i="2"/>
  <c r="G2962" i="2" s="1"/>
  <c r="F2961" i="2"/>
  <c r="G2961" i="2" s="1"/>
  <c r="F2960" i="2"/>
  <c r="G2960" i="2" s="1"/>
  <c r="F2959" i="2"/>
  <c r="G2959" i="2"/>
  <c r="F2958" i="2"/>
  <c r="G2958" i="2" s="1"/>
  <c r="F2957" i="2"/>
  <c r="G2957" i="2" s="1"/>
  <c r="F2956" i="2"/>
  <c r="G2956" i="2" s="1"/>
  <c r="F2955" i="2"/>
  <c r="G2955" i="2" s="1"/>
  <c r="F2954" i="2"/>
  <c r="G2954" i="2" s="1"/>
  <c r="F2953" i="2"/>
  <c r="G2953" i="2" s="1"/>
  <c r="F2952" i="2"/>
  <c r="G2952" i="2" s="1"/>
  <c r="F2951" i="2"/>
  <c r="G2951" i="2" s="1"/>
  <c r="F2950" i="2"/>
  <c r="G2950" i="2" s="1"/>
  <c r="F2949" i="2"/>
  <c r="G2949" i="2" s="1"/>
  <c r="F2948" i="2"/>
  <c r="G2948" i="2" s="1"/>
  <c r="F2947" i="2"/>
  <c r="G2947" i="2" s="1"/>
  <c r="F2946" i="2"/>
  <c r="G2946" i="2" s="1"/>
  <c r="F2945" i="2"/>
  <c r="G2945" i="2" s="1"/>
  <c r="F2944" i="2"/>
  <c r="G2944" i="2" s="1"/>
  <c r="F2943" i="2"/>
  <c r="G2943" i="2" s="1"/>
  <c r="F2942" i="2"/>
  <c r="G2942" i="2" s="1"/>
  <c r="F2941" i="2"/>
  <c r="G2941" i="2" s="1"/>
  <c r="F2940" i="2"/>
  <c r="G2940" i="2" s="1"/>
  <c r="F2939" i="2"/>
  <c r="G2939" i="2" s="1"/>
  <c r="F2938" i="2"/>
  <c r="G2938" i="2" s="1"/>
  <c r="F2937" i="2"/>
  <c r="G2937" i="2" s="1"/>
  <c r="F2936" i="2"/>
  <c r="G2936" i="2" s="1"/>
  <c r="F2935" i="2"/>
  <c r="G2935" i="2" s="1"/>
  <c r="F2934" i="2"/>
  <c r="G2934" i="2" s="1"/>
  <c r="F2933" i="2"/>
  <c r="G2933" i="2" s="1"/>
  <c r="F2932" i="2"/>
  <c r="G2932" i="2" s="1"/>
  <c r="F2931" i="2"/>
  <c r="G2931" i="2" s="1"/>
  <c r="F2930" i="2"/>
  <c r="G2930" i="2" s="1"/>
  <c r="F2929" i="2"/>
  <c r="G2929" i="2" s="1"/>
  <c r="F2928" i="2"/>
  <c r="G2928" i="2" s="1"/>
  <c r="F2927" i="2"/>
  <c r="G2927" i="2" s="1"/>
  <c r="F2926" i="2"/>
  <c r="G2926" i="2" s="1"/>
  <c r="F2925" i="2"/>
  <c r="G2925" i="2" s="1"/>
  <c r="F2924" i="2"/>
  <c r="G2924" i="2" s="1"/>
  <c r="F2923" i="2"/>
  <c r="G2923" i="2" s="1"/>
  <c r="F2922" i="2"/>
  <c r="G2922" i="2" s="1"/>
  <c r="F2921" i="2"/>
  <c r="G2921" i="2"/>
  <c r="F2920" i="2"/>
  <c r="G2920" i="2" s="1"/>
  <c r="F2919" i="2"/>
  <c r="G2919" i="2" s="1"/>
  <c r="F2918" i="2"/>
  <c r="G2918" i="2" s="1"/>
  <c r="F2917" i="2"/>
  <c r="G2917" i="2" s="1"/>
  <c r="F2916" i="2"/>
  <c r="G2916" i="2" s="1"/>
  <c r="F2915" i="2"/>
  <c r="G2915" i="2" s="1"/>
  <c r="F2914" i="2"/>
  <c r="G2914" i="2" s="1"/>
  <c r="F2913" i="2"/>
  <c r="G2913" i="2" s="1"/>
  <c r="F2912" i="2"/>
  <c r="G2912" i="2" s="1"/>
  <c r="F2911" i="2"/>
  <c r="G2911" i="2" s="1"/>
  <c r="F2910" i="2"/>
  <c r="G2910" i="2" s="1"/>
  <c r="F2909" i="2"/>
  <c r="G2909" i="2" s="1"/>
  <c r="F2908" i="2"/>
  <c r="G2908" i="2" s="1"/>
  <c r="F2907" i="2"/>
  <c r="G2907" i="2" s="1"/>
  <c r="F2906" i="2"/>
  <c r="G2906" i="2" s="1"/>
  <c r="F2905" i="2"/>
  <c r="G2905" i="2" s="1"/>
  <c r="F2904" i="2"/>
  <c r="G2904" i="2" s="1"/>
  <c r="F2903" i="2"/>
  <c r="G2903" i="2" s="1"/>
  <c r="F2902" i="2"/>
  <c r="G2902" i="2" s="1"/>
  <c r="F2901" i="2"/>
  <c r="G2901" i="2" s="1"/>
  <c r="F2900" i="2"/>
  <c r="G2900" i="2" s="1"/>
  <c r="F2899" i="2"/>
  <c r="G2899" i="2" s="1"/>
  <c r="F2898" i="2"/>
  <c r="G2898" i="2" s="1"/>
  <c r="F2897" i="2"/>
  <c r="G2897" i="2" s="1"/>
  <c r="F2896" i="2"/>
  <c r="G2896" i="2" s="1"/>
  <c r="F2895" i="2"/>
  <c r="G2895" i="2"/>
  <c r="F2894" i="2"/>
  <c r="G2894" i="2" s="1"/>
  <c r="F2893" i="2"/>
  <c r="G2893" i="2" s="1"/>
  <c r="F2892" i="2"/>
  <c r="G2892" i="2" s="1"/>
  <c r="F2891" i="2"/>
  <c r="G2891" i="2" s="1"/>
  <c r="F2890" i="2"/>
  <c r="G2890" i="2" s="1"/>
  <c r="F2889" i="2"/>
  <c r="G2889" i="2" s="1"/>
  <c r="F2888" i="2"/>
  <c r="G2888" i="2" s="1"/>
  <c r="F2887" i="2"/>
  <c r="G2887" i="2" s="1"/>
  <c r="F2886" i="2"/>
  <c r="G2886" i="2" s="1"/>
  <c r="F2885" i="2"/>
  <c r="G2885" i="2" s="1"/>
  <c r="F2884" i="2"/>
  <c r="G2884" i="2" s="1"/>
  <c r="F2883" i="2"/>
  <c r="G2883" i="2" s="1"/>
  <c r="F2882" i="2"/>
  <c r="G2882" i="2" s="1"/>
  <c r="F2881" i="2"/>
  <c r="G2881" i="2" s="1"/>
  <c r="F2880" i="2"/>
  <c r="G2880" i="2" s="1"/>
  <c r="F2879" i="2"/>
  <c r="G2879" i="2" s="1"/>
  <c r="F2878" i="2"/>
  <c r="G2878" i="2" s="1"/>
  <c r="F2877" i="2"/>
  <c r="G2877" i="2" s="1"/>
  <c r="F2876" i="2"/>
  <c r="G2876" i="2" s="1"/>
  <c r="F2875" i="2"/>
  <c r="G2875" i="2" s="1"/>
  <c r="F2874" i="2"/>
  <c r="G2874" i="2" s="1"/>
  <c r="F2873" i="2"/>
  <c r="G2873" i="2" s="1"/>
  <c r="F2872" i="2"/>
  <c r="G2872" i="2" s="1"/>
  <c r="F2871" i="2"/>
  <c r="G2871" i="2" s="1"/>
  <c r="F2870" i="2"/>
  <c r="G2870" i="2" s="1"/>
  <c r="F2869" i="2"/>
  <c r="G2869" i="2" s="1"/>
  <c r="F2868" i="2"/>
  <c r="G2868" i="2" s="1"/>
  <c r="F2867" i="2"/>
  <c r="G2867" i="2" s="1"/>
  <c r="F2866" i="2"/>
  <c r="G2866" i="2" s="1"/>
  <c r="F2865" i="2"/>
  <c r="G2865" i="2" s="1"/>
  <c r="F2864" i="2"/>
  <c r="G2864" i="2" s="1"/>
  <c r="F2863" i="2"/>
  <c r="G2863" i="2" s="1"/>
  <c r="F2862" i="2"/>
  <c r="G2862" i="2" s="1"/>
  <c r="F2861" i="2"/>
  <c r="G2861" i="2" s="1"/>
  <c r="F2860" i="2"/>
  <c r="G2860" i="2" s="1"/>
  <c r="F2859" i="2"/>
  <c r="G2859" i="2" s="1"/>
  <c r="F2858" i="2"/>
  <c r="G2858" i="2" s="1"/>
  <c r="F2857" i="2"/>
  <c r="G2857" i="2" s="1"/>
  <c r="F2856" i="2"/>
  <c r="G2856" i="2" s="1"/>
  <c r="F2855" i="2"/>
  <c r="G2855" i="2" s="1"/>
  <c r="F2854" i="2"/>
  <c r="G2854" i="2" s="1"/>
  <c r="F2853" i="2"/>
  <c r="G2853" i="2" s="1"/>
  <c r="F2852" i="2"/>
  <c r="G2852" i="2" s="1"/>
  <c r="F2851" i="2"/>
  <c r="G2851" i="2" s="1"/>
  <c r="F2850" i="2"/>
  <c r="G2850" i="2" s="1"/>
  <c r="F2849" i="2"/>
  <c r="G2849" i="2" s="1"/>
  <c r="F2848" i="2"/>
  <c r="G2848" i="2" s="1"/>
  <c r="F2847" i="2"/>
  <c r="G2847" i="2" s="1"/>
  <c r="F2846" i="2"/>
  <c r="G2846" i="2" s="1"/>
  <c r="F2845" i="2"/>
  <c r="G2845" i="2" s="1"/>
  <c r="F2844" i="2"/>
  <c r="G2844" i="2" s="1"/>
  <c r="F2843" i="2"/>
  <c r="G2843" i="2" s="1"/>
  <c r="F2842" i="2"/>
  <c r="G2842" i="2" s="1"/>
  <c r="F2841" i="2"/>
  <c r="G2841" i="2" s="1"/>
  <c r="F2840" i="2"/>
  <c r="G2840" i="2" s="1"/>
  <c r="F2839" i="2"/>
  <c r="G2839" i="2" s="1"/>
  <c r="F2838" i="2"/>
  <c r="G2838" i="2" s="1"/>
  <c r="F2837" i="2"/>
  <c r="G2837" i="2" s="1"/>
  <c r="F2836" i="2"/>
  <c r="G2836" i="2" s="1"/>
  <c r="F2835" i="2"/>
  <c r="G2835" i="2" s="1"/>
  <c r="F2834" i="2"/>
  <c r="G2834" i="2" s="1"/>
  <c r="F2833" i="2"/>
  <c r="G2833" i="2" s="1"/>
  <c r="F2832" i="2"/>
  <c r="G2832" i="2" s="1"/>
  <c r="F2831" i="2"/>
  <c r="G2831" i="2" s="1"/>
  <c r="F2830" i="2"/>
  <c r="G2830" i="2" s="1"/>
  <c r="F2829" i="2"/>
  <c r="G2829" i="2" s="1"/>
  <c r="F2828" i="2"/>
  <c r="G2828" i="2" s="1"/>
  <c r="F2827" i="2"/>
  <c r="G2827" i="2" s="1"/>
  <c r="F2826" i="2"/>
  <c r="G2826" i="2" s="1"/>
  <c r="F2825" i="2"/>
  <c r="G2825" i="2" s="1"/>
  <c r="F2824" i="2"/>
  <c r="G2824" i="2" s="1"/>
  <c r="F2823" i="2"/>
  <c r="G2823" i="2" s="1"/>
  <c r="F2822" i="2"/>
  <c r="G2822" i="2" s="1"/>
  <c r="F2821" i="2"/>
  <c r="G2821" i="2" s="1"/>
  <c r="F2820" i="2"/>
  <c r="G2820" i="2" s="1"/>
  <c r="F2819" i="2"/>
  <c r="G2819" i="2"/>
  <c r="F2818" i="2"/>
  <c r="G2818" i="2" s="1"/>
  <c r="F2817" i="2"/>
  <c r="G2817" i="2" s="1"/>
  <c r="F2816" i="2"/>
  <c r="G2816" i="2" s="1"/>
  <c r="F2815" i="2"/>
  <c r="G2815" i="2" s="1"/>
  <c r="F2814" i="2"/>
  <c r="G2814" i="2" s="1"/>
  <c r="F2813" i="2"/>
  <c r="G2813" i="2" s="1"/>
  <c r="F2812" i="2"/>
  <c r="G2812" i="2" s="1"/>
  <c r="F2811" i="2"/>
  <c r="G2811" i="2" s="1"/>
  <c r="F2810" i="2"/>
  <c r="G2810" i="2" s="1"/>
  <c r="F2809" i="2"/>
  <c r="G2809" i="2" s="1"/>
  <c r="F2808" i="2"/>
  <c r="G2808" i="2" s="1"/>
  <c r="F2807" i="2"/>
  <c r="G2807" i="2" s="1"/>
  <c r="F2806" i="2"/>
  <c r="G2806" i="2" s="1"/>
  <c r="F2805" i="2"/>
  <c r="G2805" i="2" s="1"/>
  <c r="F2804" i="2"/>
  <c r="G2804" i="2" s="1"/>
  <c r="F2803" i="2"/>
  <c r="G2803" i="2" s="1"/>
  <c r="F2802" i="2"/>
  <c r="G2802" i="2" s="1"/>
  <c r="F2801" i="2"/>
  <c r="G2801" i="2" s="1"/>
  <c r="F2800" i="2"/>
  <c r="G2800" i="2" s="1"/>
  <c r="F2799" i="2"/>
  <c r="G2799" i="2" s="1"/>
  <c r="F2798" i="2"/>
  <c r="G2798" i="2" s="1"/>
  <c r="F2797" i="2"/>
  <c r="G2797" i="2" s="1"/>
  <c r="F2796" i="2"/>
  <c r="G2796" i="2" s="1"/>
  <c r="F2795" i="2"/>
  <c r="G2795" i="2" s="1"/>
  <c r="F2794" i="2"/>
  <c r="G2794" i="2" s="1"/>
  <c r="F2793" i="2"/>
  <c r="G2793" i="2" s="1"/>
  <c r="F2792" i="2"/>
  <c r="G2792" i="2" s="1"/>
  <c r="F2791" i="2"/>
  <c r="G2791" i="2" s="1"/>
  <c r="F2790" i="2"/>
  <c r="G2790" i="2" s="1"/>
  <c r="F2789" i="2"/>
  <c r="G2789" i="2" s="1"/>
  <c r="F2788" i="2"/>
  <c r="G2788" i="2" s="1"/>
  <c r="F2787" i="2"/>
  <c r="G2787" i="2" s="1"/>
  <c r="F2786" i="2"/>
  <c r="G2786" i="2" s="1"/>
  <c r="F2785" i="2"/>
  <c r="G2785" i="2"/>
  <c r="F2784" i="2"/>
  <c r="G2784" i="2" s="1"/>
  <c r="F2783" i="2"/>
  <c r="G2783" i="2" s="1"/>
  <c r="F2782" i="2"/>
  <c r="G2782" i="2" s="1"/>
  <c r="F2781" i="2"/>
  <c r="G2781" i="2" s="1"/>
  <c r="F2780" i="2"/>
  <c r="G2780" i="2" s="1"/>
  <c r="F2779" i="2"/>
  <c r="G2779" i="2"/>
  <c r="F2778" i="2"/>
  <c r="G2778" i="2" s="1"/>
  <c r="F2777" i="2"/>
  <c r="G2777" i="2" s="1"/>
  <c r="F2776" i="2"/>
  <c r="G2776" i="2" s="1"/>
  <c r="F2775" i="2"/>
  <c r="G2775" i="2" s="1"/>
  <c r="F2774" i="2"/>
  <c r="G2774" i="2" s="1"/>
  <c r="F2773" i="2"/>
  <c r="G2773" i="2" s="1"/>
  <c r="F2772" i="2"/>
  <c r="G2772" i="2" s="1"/>
  <c r="F2771" i="2"/>
  <c r="G2771" i="2" s="1"/>
  <c r="F2770" i="2"/>
  <c r="G2770" i="2" s="1"/>
  <c r="F2769" i="2"/>
  <c r="G2769" i="2" s="1"/>
  <c r="F2768" i="2"/>
  <c r="G2768" i="2" s="1"/>
  <c r="F2767" i="2"/>
  <c r="G2767" i="2" s="1"/>
  <c r="F2766" i="2"/>
  <c r="G2766" i="2" s="1"/>
  <c r="F2765" i="2"/>
  <c r="G2765" i="2" s="1"/>
  <c r="F2764" i="2"/>
  <c r="G2764" i="2" s="1"/>
  <c r="F2763" i="2"/>
  <c r="G2763" i="2" s="1"/>
  <c r="F2762" i="2"/>
  <c r="G2762" i="2" s="1"/>
  <c r="F2761" i="2"/>
  <c r="G2761" i="2" s="1"/>
  <c r="F2760" i="2"/>
  <c r="G2760" i="2" s="1"/>
  <c r="F2759" i="2"/>
  <c r="G2759" i="2" s="1"/>
  <c r="F2758" i="2"/>
  <c r="G2758" i="2" s="1"/>
  <c r="F2757" i="2"/>
  <c r="G2757" i="2" s="1"/>
  <c r="F2756" i="2"/>
  <c r="G2756" i="2" s="1"/>
  <c r="F2755" i="2"/>
  <c r="G2755" i="2" s="1"/>
  <c r="F2754" i="2"/>
  <c r="G2754" i="2" s="1"/>
  <c r="F2753" i="2"/>
  <c r="G2753" i="2" s="1"/>
  <c r="F2752" i="2"/>
  <c r="G2752" i="2" s="1"/>
  <c r="F2751" i="2"/>
  <c r="G2751" i="2"/>
  <c r="F2750" i="2"/>
  <c r="G2750" i="2" s="1"/>
  <c r="F2749" i="2"/>
  <c r="G2749" i="2" s="1"/>
  <c r="F2748" i="2"/>
  <c r="G2748" i="2" s="1"/>
  <c r="F2747" i="2"/>
  <c r="G2747" i="2" s="1"/>
  <c r="F2746" i="2"/>
  <c r="G2746" i="2" s="1"/>
  <c r="F2745" i="2"/>
  <c r="G2745" i="2" s="1"/>
  <c r="F2744" i="2"/>
  <c r="G2744" i="2" s="1"/>
  <c r="F2743" i="2"/>
  <c r="G2743" i="2" s="1"/>
  <c r="F2742" i="2"/>
  <c r="G2742" i="2" s="1"/>
  <c r="F2741" i="2"/>
  <c r="G2741" i="2" s="1"/>
  <c r="F2740" i="2"/>
  <c r="G2740" i="2" s="1"/>
  <c r="F2739" i="2"/>
  <c r="G2739" i="2" s="1"/>
  <c r="F2738" i="2"/>
  <c r="G2738" i="2" s="1"/>
  <c r="F2737" i="2"/>
  <c r="G2737" i="2" s="1"/>
  <c r="F2736" i="2"/>
  <c r="G2736" i="2" s="1"/>
  <c r="F2735" i="2"/>
  <c r="G2735" i="2" s="1"/>
  <c r="F2734" i="2"/>
  <c r="G2734" i="2" s="1"/>
  <c r="F2733" i="2"/>
  <c r="G2733" i="2" s="1"/>
  <c r="F2732" i="2"/>
  <c r="G2732" i="2" s="1"/>
  <c r="F2731" i="2"/>
  <c r="G2731" i="2" s="1"/>
  <c r="F2730" i="2"/>
  <c r="G2730" i="2" s="1"/>
  <c r="F2729" i="2"/>
  <c r="G2729" i="2" s="1"/>
  <c r="F2728" i="2"/>
  <c r="G2728" i="2" s="1"/>
  <c r="F2727" i="2"/>
  <c r="G2727" i="2" s="1"/>
  <c r="F2726" i="2"/>
  <c r="G2726" i="2" s="1"/>
  <c r="F2725" i="2"/>
  <c r="G2725" i="2" s="1"/>
  <c r="F2724" i="2"/>
  <c r="G2724" i="2" s="1"/>
  <c r="F2723" i="2"/>
  <c r="G2723" i="2" s="1"/>
  <c r="F2722" i="2"/>
  <c r="G2722" i="2" s="1"/>
  <c r="F2721" i="2"/>
  <c r="G2721" i="2" s="1"/>
  <c r="F2720" i="2"/>
  <c r="G2720" i="2" s="1"/>
  <c r="F2719" i="2"/>
  <c r="G2719" i="2" s="1"/>
  <c r="F2718" i="2"/>
  <c r="G2718" i="2" s="1"/>
  <c r="F2717" i="2"/>
  <c r="G2717" i="2" s="1"/>
  <c r="F2716" i="2"/>
  <c r="G2716" i="2" s="1"/>
  <c r="F2715" i="2"/>
  <c r="G2715" i="2" s="1"/>
  <c r="F2714" i="2"/>
  <c r="G2714" i="2" s="1"/>
  <c r="F2713" i="2"/>
  <c r="G2713" i="2" s="1"/>
  <c r="F2712" i="2"/>
  <c r="G2712" i="2" s="1"/>
  <c r="F2711" i="2"/>
  <c r="G2711" i="2" s="1"/>
  <c r="F2710" i="2"/>
  <c r="G2710" i="2" s="1"/>
  <c r="F2709" i="2"/>
  <c r="G2709" i="2" s="1"/>
  <c r="F2708" i="2"/>
  <c r="G2708" i="2" s="1"/>
  <c r="F2707" i="2"/>
  <c r="G2707" i="2" s="1"/>
  <c r="F2706" i="2"/>
  <c r="G2706" i="2" s="1"/>
  <c r="F2705" i="2"/>
  <c r="G2705" i="2" s="1"/>
  <c r="F2704" i="2"/>
  <c r="G2704" i="2" s="1"/>
  <c r="F2703" i="2"/>
  <c r="G2703" i="2" s="1"/>
  <c r="F2702" i="2"/>
  <c r="G2702" i="2" s="1"/>
  <c r="F2701" i="2"/>
  <c r="G2701" i="2" s="1"/>
  <c r="F2700" i="2"/>
  <c r="G2700" i="2" s="1"/>
  <c r="F2699" i="2"/>
  <c r="G2699" i="2" s="1"/>
  <c r="F2698" i="2"/>
  <c r="G2698" i="2" s="1"/>
  <c r="F2697" i="2"/>
  <c r="G2697" i="2" s="1"/>
  <c r="F2696" i="2"/>
  <c r="G2696" i="2" s="1"/>
  <c r="F2695" i="2"/>
  <c r="G2695" i="2" s="1"/>
  <c r="F2694" i="2"/>
  <c r="G2694" i="2" s="1"/>
  <c r="F2693" i="2"/>
  <c r="G2693" i="2" s="1"/>
  <c r="F2692" i="2"/>
  <c r="G2692" i="2" s="1"/>
  <c r="F2691" i="2"/>
  <c r="G2691" i="2" s="1"/>
  <c r="F2690" i="2"/>
  <c r="G2690" i="2" s="1"/>
  <c r="F2689" i="2"/>
  <c r="G2689" i="2" s="1"/>
  <c r="F2688" i="2"/>
  <c r="G2688" i="2" s="1"/>
  <c r="F2687" i="2"/>
  <c r="G2687" i="2" s="1"/>
  <c r="F2686" i="2"/>
  <c r="G2686" i="2" s="1"/>
  <c r="F2685" i="2"/>
  <c r="G2685" i="2" s="1"/>
  <c r="F2684" i="2"/>
  <c r="G2684" i="2" s="1"/>
  <c r="F2683" i="2"/>
  <c r="G2683" i="2" s="1"/>
  <c r="F2682" i="2"/>
  <c r="G2682" i="2" s="1"/>
  <c r="F2681" i="2"/>
  <c r="G2681" i="2" s="1"/>
  <c r="F2680" i="2"/>
  <c r="G2680" i="2" s="1"/>
  <c r="F2679" i="2"/>
  <c r="G2679" i="2" s="1"/>
  <c r="F2678" i="2"/>
  <c r="G2678" i="2" s="1"/>
  <c r="F2677" i="2"/>
  <c r="G2677" i="2" s="1"/>
  <c r="F2676" i="2"/>
  <c r="G2676" i="2" s="1"/>
  <c r="F2675" i="2"/>
  <c r="G2675" i="2" s="1"/>
  <c r="F2674" i="2"/>
  <c r="G2674" i="2" s="1"/>
  <c r="F2673" i="2"/>
  <c r="G2673" i="2" s="1"/>
  <c r="F2672" i="2"/>
  <c r="G2672" i="2" s="1"/>
  <c r="F2671" i="2"/>
  <c r="G2671" i="2" s="1"/>
  <c r="F2670" i="2"/>
  <c r="G2670" i="2" s="1"/>
  <c r="F2669" i="2"/>
  <c r="G2669" i="2" s="1"/>
  <c r="F2668" i="2"/>
  <c r="G2668" i="2" s="1"/>
  <c r="F2667" i="2"/>
  <c r="G2667" i="2" s="1"/>
  <c r="F2666" i="2"/>
  <c r="G2666" i="2" s="1"/>
  <c r="F2665" i="2"/>
  <c r="G2665" i="2" s="1"/>
  <c r="F2664" i="2"/>
  <c r="G2664" i="2" s="1"/>
  <c r="F2663" i="2"/>
  <c r="G2663" i="2" s="1"/>
  <c r="F2662" i="2"/>
  <c r="G2662" i="2" s="1"/>
  <c r="F2661" i="2"/>
  <c r="G2661" i="2" s="1"/>
  <c r="F2660" i="2"/>
  <c r="G2660" i="2" s="1"/>
  <c r="F2659" i="2"/>
  <c r="G2659" i="2" s="1"/>
  <c r="F2658" i="2"/>
  <c r="G2658" i="2" s="1"/>
  <c r="F2657" i="2"/>
  <c r="G2657" i="2" s="1"/>
  <c r="F2656" i="2"/>
  <c r="G2656" i="2" s="1"/>
  <c r="F2655" i="2"/>
  <c r="G2655" i="2" s="1"/>
  <c r="F2654" i="2"/>
  <c r="G2654" i="2" s="1"/>
  <c r="F2653" i="2"/>
  <c r="G2653" i="2" s="1"/>
  <c r="F2652" i="2"/>
  <c r="G2652" i="2" s="1"/>
  <c r="F2651" i="2"/>
  <c r="G2651" i="2" s="1"/>
  <c r="F2650" i="2"/>
  <c r="G2650" i="2" s="1"/>
  <c r="F2649" i="2"/>
  <c r="G2649" i="2" s="1"/>
  <c r="F2648" i="2"/>
  <c r="G2648" i="2" s="1"/>
  <c r="F2647" i="2"/>
  <c r="G2647" i="2" s="1"/>
  <c r="F2646" i="2"/>
  <c r="G2646" i="2" s="1"/>
  <c r="F2645" i="2"/>
  <c r="G2645" i="2" s="1"/>
  <c r="F2644" i="2"/>
  <c r="G2644" i="2" s="1"/>
  <c r="F2643" i="2"/>
  <c r="G2643" i="2" s="1"/>
  <c r="F2642" i="2"/>
  <c r="G2642" i="2" s="1"/>
  <c r="F2641" i="2"/>
  <c r="G2641" i="2" s="1"/>
  <c r="F2640" i="2"/>
  <c r="G2640" i="2" s="1"/>
  <c r="F2639" i="2"/>
  <c r="G2639" i="2" s="1"/>
  <c r="F2638" i="2"/>
  <c r="G2638" i="2" s="1"/>
  <c r="F2637" i="2"/>
  <c r="G2637" i="2" s="1"/>
  <c r="F2636" i="2"/>
  <c r="G2636" i="2" s="1"/>
  <c r="F2635" i="2"/>
  <c r="G2635" i="2" s="1"/>
  <c r="F2634" i="2"/>
  <c r="G2634" i="2" s="1"/>
  <c r="F2633" i="2"/>
  <c r="G2633" i="2" s="1"/>
  <c r="F2632" i="2"/>
  <c r="G2632" i="2" s="1"/>
  <c r="F2631" i="2"/>
  <c r="G2631" i="2" s="1"/>
  <c r="F2630" i="2"/>
  <c r="G2630" i="2" s="1"/>
  <c r="F2629" i="2"/>
  <c r="G2629" i="2" s="1"/>
  <c r="F2628" i="2"/>
  <c r="G2628" i="2" s="1"/>
  <c r="F2627" i="2"/>
  <c r="G2627" i="2" s="1"/>
  <c r="F2626" i="2"/>
  <c r="G2626" i="2" s="1"/>
  <c r="F2625" i="2"/>
  <c r="G2625" i="2" s="1"/>
  <c r="F2624" i="2"/>
  <c r="G2624" i="2" s="1"/>
  <c r="F2623" i="2"/>
  <c r="G2623" i="2" s="1"/>
  <c r="F2622" i="2"/>
  <c r="G2622" i="2" s="1"/>
  <c r="F2621" i="2"/>
  <c r="G2621" i="2" s="1"/>
  <c r="F2620" i="2"/>
  <c r="G2620" i="2" s="1"/>
  <c r="F2619" i="2"/>
  <c r="G2619" i="2" s="1"/>
  <c r="F2618" i="2"/>
  <c r="G2618" i="2" s="1"/>
  <c r="F2617" i="2"/>
  <c r="G2617" i="2" s="1"/>
  <c r="F2616" i="2"/>
  <c r="G2616" i="2" s="1"/>
  <c r="F2615" i="2"/>
  <c r="G2615" i="2" s="1"/>
  <c r="F2614" i="2"/>
  <c r="G2614" i="2" s="1"/>
  <c r="F2613" i="2"/>
  <c r="G2613" i="2" s="1"/>
  <c r="F2612" i="2"/>
  <c r="G2612" i="2" s="1"/>
  <c r="F2611" i="2"/>
  <c r="G2611" i="2" s="1"/>
  <c r="F2610" i="2"/>
  <c r="G2610" i="2"/>
  <c r="F2609" i="2"/>
  <c r="G2609" i="2" s="1"/>
  <c r="F2608" i="2"/>
  <c r="G2608" i="2" s="1"/>
  <c r="F2607" i="2"/>
  <c r="G2607" i="2" s="1"/>
  <c r="F2606" i="2"/>
  <c r="G2606" i="2" s="1"/>
  <c r="F2605" i="2"/>
  <c r="G2605" i="2" s="1"/>
  <c r="F2604" i="2"/>
  <c r="G2604" i="2" s="1"/>
  <c r="F2603" i="2"/>
  <c r="G2603" i="2" s="1"/>
  <c r="F2602" i="2"/>
  <c r="G2602" i="2" s="1"/>
  <c r="F2601" i="2"/>
  <c r="G2601" i="2" s="1"/>
  <c r="F2600" i="2"/>
  <c r="G2600" i="2" s="1"/>
  <c r="F2599" i="2"/>
  <c r="G2599" i="2" s="1"/>
  <c r="F2598" i="2"/>
  <c r="G2598" i="2" s="1"/>
  <c r="F2597" i="2"/>
  <c r="G2597" i="2" s="1"/>
  <c r="F2596" i="2"/>
  <c r="G2596" i="2" s="1"/>
  <c r="F2595" i="2"/>
  <c r="G2595" i="2" s="1"/>
  <c r="F2594" i="2"/>
  <c r="G2594" i="2" s="1"/>
  <c r="F2593" i="2"/>
  <c r="G2593" i="2" s="1"/>
  <c r="F2592" i="2"/>
  <c r="G2592" i="2" s="1"/>
  <c r="F2591" i="2"/>
  <c r="G2591" i="2" s="1"/>
  <c r="F2590" i="2"/>
  <c r="G2590" i="2" s="1"/>
  <c r="F2589" i="2"/>
  <c r="G2589" i="2" s="1"/>
  <c r="F2588" i="2"/>
  <c r="G2588" i="2" s="1"/>
  <c r="F2587" i="2"/>
  <c r="G2587" i="2" s="1"/>
  <c r="F2586" i="2"/>
  <c r="G2586" i="2" s="1"/>
  <c r="F2585" i="2"/>
  <c r="G2585" i="2" s="1"/>
  <c r="F2584" i="2"/>
  <c r="G2584" i="2" s="1"/>
  <c r="F2583" i="2"/>
  <c r="G2583" i="2" s="1"/>
  <c r="F2582" i="2"/>
  <c r="G2582" i="2" s="1"/>
  <c r="F2581" i="2"/>
  <c r="G2581" i="2" s="1"/>
  <c r="F2580" i="2"/>
  <c r="G2580" i="2" s="1"/>
  <c r="F2579" i="2"/>
  <c r="G2579" i="2" s="1"/>
  <c r="F2578" i="2"/>
  <c r="G2578" i="2" s="1"/>
  <c r="F2577" i="2"/>
  <c r="G2577" i="2" s="1"/>
  <c r="F2576" i="2"/>
  <c r="G2576" i="2" s="1"/>
  <c r="F2575" i="2"/>
  <c r="G2575" i="2" s="1"/>
  <c r="F2574" i="2"/>
  <c r="G2574" i="2" s="1"/>
  <c r="F2573" i="2"/>
  <c r="G2573" i="2" s="1"/>
  <c r="F2572" i="2"/>
  <c r="G2572" i="2" s="1"/>
  <c r="F2571" i="2"/>
  <c r="G2571" i="2" s="1"/>
  <c r="F2570" i="2"/>
  <c r="G2570" i="2" s="1"/>
  <c r="F2569" i="2"/>
  <c r="G2569" i="2" s="1"/>
  <c r="F2568" i="2"/>
  <c r="G2568" i="2" s="1"/>
  <c r="F2567" i="2"/>
  <c r="G2567" i="2" s="1"/>
  <c r="F2566" i="2"/>
  <c r="G2566" i="2" s="1"/>
  <c r="F2565" i="2"/>
  <c r="G2565" i="2" s="1"/>
  <c r="F2564" i="2"/>
  <c r="G2564" i="2" s="1"/>
  <c r="F2563" i="2"/>
  <c r="G2563" i="2" s="1"/>
  <c r="F2562" i="2"/>
  <c r="G2562" i="2" s="1"/>
  <c r="F2561" i="2"/>
  <c r="G2561" i="2" s="1"/>
  <c r="F2560" i="2"/>
  <c r="G2560" i="2" s="1"/>
  <c r="F2559" i="2"/>
  <c r="G2559" i="2" s="1"/>
  <c r="F2558" i="2"/>
  <c r="G2558" i="2" s="1"/>
  <c r="F2557" i="2"/>
  <c r="G2557" i="2" s="1"/>
  <c r="F2556" i="2"/>
  <c r="G2556" i="2" s="1"/>
  <c r="F2555" i="2"/>
  <c r="G2555" i="2" s="1"/>
  <c r="F2554" i="2"/>
  <c r="G2554" i="2" s="1"/>
  <c r="F2553" i="2"/>
  <c r="G2553" i="2" s="1"/>
  <c r="F2552" i="2"/>
  <c r="G2552" i="2" s="1"/>
  <c r="F2551" i="2"/>
  <c r="G2551" i="2"/>
  <c r="F2550" i="2"/>
  <c r="G2550" i="2" s="1"/>
  <c r="F2549" i="2"/>
  <c r="G2549" i="2" s="1"/>
  <c r="F2548" i="2"/>
  <c r="G2548" i="2" s="1"/>
  <c r="F2547" i="2"/>
  <c r="G2547" i="2" s="1"/>
  <c r="F2546" i="2"/>
  <c r="G2546" i="2" s="1"/>
  <c r="F2545" i="2"/>
  <c r="G2545" i="2" s="1"/>
  <c r="F2544" i="2"/>
  <c r="G2544" i="2" s="1"/>
  <c r="F2543" i="2"/>
  <c r="G2543" i="2" s="1"/>
  <c r="F2542" i="2"/>
  <c r="G2542" i="2" s="1"/>
  <c r="F2541" i="2"/>
  <c r="G2541" i="2" s="1"/>
  <c r="F2540" i="2"/>
  <c r="G2540" i="2" s="1"/>
  <c r="F2539" i="2"/>
  <c r="G2539" i="2" s="1"/>
  <c r="F2538" i="2"/>
  <c r="G2538" i="2" s="1"/>
  <c r="F2537" i="2"/>
  <c r="G2537" i="2" s="1"/>
  <c r="F2536" i="2"/>
  <c r="G2536" i="2" s="1"/>
  <c r="F2535" i="2"/>
  <c r="G2535" i="2" s="1"/>
  <c r="F2534" i="2"/>
  <c r="G2534" i="2" s="1"/>
  <c r="F2533" i="2"/>
  <c r="G2533" i="2" s="1"/>
  <c r="F2532" i="2"/>
  <c r="G2532" i="2" s="1"/>
  <c r="F2531" i="2"/>
  <c r="G2531" i="2" s="1"/>
  <c r="F2530" i="2"/>
  <c r="G2530" i="2" s="1"/>
  <c r="F2529" i="2"/>
  <c r="G2529" i="2" s="1"/>
  <c r="F2528" i="2"/>
  <c r="G2528" i="2" s="1"/>
  <c r="F2527" i="2"/>
  <c r="G2527" i="2" s="1"/>
  <c r="F2526" i="2"/>
  <c r="G2526" i="2" s="1"/>
  <c r="F2525" i="2"/>
  <c r="G2525" i="2" s="1"/>
  <c r="F2524" i="2"/>
  <c r="G2524" i="2" s="1"/>
  <c r="F2523" i="2"/>
  <c r="G2523" i="2" s="1"/>
  <c r="F2522" i="2"/>
  <c r="G2522" i="2" s="1"/>
  <c r="F2521" i="2"/>
  <c r="G2521" i="2" s="1"/>
  <c r="F2520" i="2"/>
  <c r="G2520" i="2"/>
  <c r="F2519" i="2"/>
  <c r="G2519" i="2" s="1"/>
  <c r="F2518" i="2"/>
  <c r="G2518" i="2" s="1"/>
  <c r="F2517" i="2"/>
  <c r="G2517" i="2" s="1"/>
  <c r="F2516" i="2"/>
  <c r="G2516" i="2" s="1"/>
  <c r="F2515" i="2"/>
  <c r="G2515" i="2" s="1"/>
  <c r="F2514" i="2"/>
  <c r="G2514" i="2" s="1"/>
  <c r="F2513" i="2"/>
  <c r="G2513" i="2" s="1"/>
  <c r="F2512" i="2"/>
  <c r="G2512" i="2" s="1"/>
  <c r="F2511" i="2"/>
  <c r="G2511" i="2" s="1"/>
  <c r="F2510" i="2"/>
  <c r="G2510" i="2" s="1"/>
  <c r="F2509" i="2"/>
  <c r="G2509" i="2" s="1"/>
  <c r="F2508" i="2"/>
  <c r="G2508" i="2" s="1"/>
  <c r="F2507" i="2"/>
  <c r="G2507" i="2" s="1"/>
  <c r="F2506" i="2"/>
  <c r="G2506" i="2" s="1"/>
  <c r="F2505" i="2"/>
  <c r="G2505" i="2" s="1"/>
  <c r="F2504" i="2"/>
  <c r="G2504" i="2" s="1"/>
  <c r="F2503" i="2"/>
  <c r="G2503" i="2" s="1"/>
  <c r="F2502" i="2"/>
  <c r="G2502" i="2" s="1"/>
  <c r="F2501" i="2"/>
  <c r="G2501" i="2" s="1"/>
  <c r="F2500" i="2"/>
  <c r="G2500" i="2" s="1"/>
  <c r="F2499" i="2"/>
  <c r="G2499" i="2" s="1"/>
  <c r="F2498" i="2"/>
  <c r="G2498" i="2" s="1"/>
  <c r="F2497" i="2"/>
  <c r="G2497" i="2" s="1"/>
  <c r="F2496" i="2"/>
  <c r="G2496" i="2" s="1"/>
  <c r="F2495" i="2"/>
  <c r="G2495" i="2" s="1"/>
  <c r="F2494" i="2"/>
  <c r="G2494" i="2" s="1"/>
  <c r="F2493" i="2"/>
  <c r="G2493" i="2" s="1"/>
  <c r="F2492" i="2"/>
  <c r="G2492" i="2" s="1"/>
  <c r="F2491" i="2"/>
  <c r="G2491" i="2" s="1"/>
  <c r="F2490" i="2"/>
  <c r="G2490" i="2" s="1"/>
  <c r="F2489" i="2"/>
  <c r="G2489" i="2" s="1"/>
  <c r="F2488" i="2"/>
  <c r="G2488" i="2" s="1"/>
  <c r="F2487" i="2"/>
  <c r="G2487" i="2" s="1"/>
  <c r="F2486" i="2"/>
  <c r="G2486" i="2" s="1"/>
  <c r="F2485" i="2"/>
  <c r="G2485" i="2" s="1"/>
  <c r="F2484" i="2"/>
  <c r="G2484" i="2" s="1"/>
  <c r="F2483" i="2"/>
  <c r="G2483" i="2" s="1"/>
  <c r="F2482" i="2"/>
  <c r="G2482" i="2" s="1"/>
  <c r="F2481" i="2"/>
  <c r="G2481" i="2" s="1"/>
  <c r="F2480" i="2"/>
  <c r="G2480" i="2" s="1"/>
  <c r="F2479" i="2"/>
  <c r="G2479" i="2" s="1"/>
  <c r="F2478" i="2"/>
  <c r="G2478" i="2" s="1"/>
  <c r="F2477" i="2"/>
  <c r="G2477" i="2" s="1"/>
  <c r="F2476" i="2"/>
  <c r="G2476" i="2" s="1"/>
  <c r="F2475" i="2"/>
  <c r="G2475" i="2" s="1"/>
  <c r="F2474" i="2"/>
  <c r="G2474" i="2" s="1"/>
  <c r="F2473" i="2"/>
  <c r="G2473" i="2" s="1"/>
  <c r="F2472" i="2"/>
  <c r="G2472" i="2" s="1"/>
  <c r="F2471" i="2"/>
  <c r="G2471" i="2" s="1"/>
  <c r="F2470" i="2"/>
  <c r="G2470" i="2" s="1"/>
  <c r="F2469" i="2"/>
  <c r="G2469" i="2" s="1"/>
  <c r="F2468" i="2"/>
  <c r="G2468" i="2" s="1"/>
  <c r="F2467" i="2"/>
  <c r="G2467" i="2" s="1"/>
  <c r="F2466" i="2"/>
  <c r="G2466" i="2" s="1"/>
  <c r="F2465" i="2"/>
  <c r="G2465" i="2" s="1"/>
  <c r="F2464" i="2"/>
  <c r="G2464" i="2" s="1"/>
  <c r="F2463" i="2"/>
  <c r="G2463" i="2" s="1"/>
  <c r="F2462" i="2"/>
  <c r="G2462" i="2" s="1"/>
  <c r="F2461" i="2"/>
  <c r="G2461" i="2" s="1"/>
  <c r="F2460" i="2"/>
  <c r="G2460" i="2" s="1"/>
  <c r="F2459" i="2"/>
  <c r="G2459" i="2" s="1"/>
  <c r="F2458" i="2"/>
  <c r="G2458" i="2" s="1"/>
  <c r="F2457" i="2"/>
  <c r="G2457" i="2" s="1"/>
  <c r="F2456" i="2"/>
  <c r="G2456" i="2" s="1"/>
  <c r="F2455" i="2"/>
  <c r="G2455" i="2" s="1"/>
  <c r="F2454" i="2"/>
  <c r="G2454" i="2" s="1"/>
  <c r="F2453" i="2"/>
  <c r="G2453" i="2" s="1"/>
  <c r="F2452" i="2"/>
  <c r="G2452" i="2" s="1"/>
  <c r="F2451" i="2"/>
  <c r="G2451" i="2" s="1"/>
  <c r="F2450" i="2"/>
  <c r="G2450" i="2" s="1"/>
  <c r="F2449" i="2"/>
  <c r="G2449" i="2" s="1"/>
  <c r="F2448" i="2"/>
  <c r="G2448" i="2" s="1"/>
  <c r="F2447" i="2"/>
  <c r="G2447" i="2" s="1"/>
  <c r="F2446" i="2"/>
  <c r="G2446" i="2" s="1"/>
  <c r="F2445" i="2"/>
  <c r="G2445" i="2" s="1"/>
  <c r="F2444" i="2"/>
  <c r="G2444" i="2" s="1"/>
  <c r="F2443" i="2"/>
  <c r="G2443" i="2" s="1"/>
  <c r="F2442" i="2"/>
  <c r="G2442" i="2" s="1"/>
  <c r="F2441" i="2"/>
  <c r="G2441" i="2" s="1"/>
  <c r="F2440" i="2"/>
  <c r="G2440" i="2" s="1"/>
  <c r="F2439" i="2"/>
  <c r="G2439" i="2" s="1"/>
  <c r="F2438" i="2"/>
  <c r="G2438" i="2" s="1"/>
  <c r="F2437" i="2"/>
  <c r="G2437" i="2"/>
  <c r="F2436" i="2"/>
  <c r="G2436" i="2" s="1"/>
  <c r="F2435" i="2"/>
  <c r="G2435" i="2" s="1"/>
  <c r="F2434" i="2"/>
  <c r="G2434" i="2" s="1"/>
  <c r="F2433" i="2"/>
  <c r="G2433" i="2" s="1"/>
  <c r="F2432" i="2"/>
  <c r="G2432" i="2" s="1"/>
  <c r="F2431" i="2"/>
  <c r="G2431" i="2" s="1"/>
  <c r="F2430" i="2"/>
  <c r="G2430" i="2" s="1"/>
  <c r="F2429" i="2"/>
  <c r="G2429" i="2" s="1"/>
  <c r="F2428" i="2"/>
  <c r="G2428" i="2" s="1"/>
  <c r="F2427" i="2"/>
  <c r="G2427" i="2"/>
  <c r="F2426" i="2"/>
  <c r="G2426" i="2" s="1"/>
  <c r="F2425" i="2"/>
  <c r="G2425" i="2" s="1"/>
  <c r="F2424" i="2"/>
  <c r="G2424" i="2" s="1"/>
  <c r="F2423" i="2"/>
  <c r="G2423" i="2" s="1"/>
  <c r="F2422" i="2"/>
  <c r="G2422" i="2" s="1"/>
  <c r="F2421" i="2"/>
  <c r="G2421" i="2" s="1"/>
  <c r="F2420" i="2"/>
  <c r="G2420" i="2" s="1"/>
  <c r="F2419" i="2"/>
  <c r="G2419" i="2" s="1"/>
  <c r="F2418" i="2"/>
  <c r="G2418" i="2" s="1"/>
  <c r="F2417" i="2"/>
  <c r="G2417" i="2" s="1"/>
  <c r="F2416" i="2"/>
  <c r="G2416" i="2" s="1"/>
  <c r="F2415" i="2"/>
  <c r="G2415" i="2" s="1"/>
  <c r="F2414" i="2"/>
  <c r="G2414" i="2" s="1"/>
  <c r="F2413" i="2"/>
  <c r="G2413" i="2" s="1"/>
  <c r="F2412" i="2"/>
  <c r="G2412" i="2" s="1"/>
  <c r="F2411" i="2"/>
  <c r="G2411" i="2" s="1"/>
  <c r="F2410" i="2"/>
  <c r="G2410" i="2" s="1"/>
  <c r="F2409" i="2"/>
  <c r="G2409" i="2" s="1"/>
  <c r="F2408" i="2"/>
  <c r="G2408" i="2" s="1"/>
  <c r="F2407" i="2"/>
  <c r="G2407" i="2" s="1"/>
  <c r="F2406" i="2"/>
  <c r="G2406" i="2" s="1"/>
  <c r="F2405" i="2"/>
  <c r="G2405" i="2" s="1"/>
  <c r="F2404" i="2"/>
  <c r="G2404" i="2" s="1"/>
  <c r="F2403" i="2"/>
  <c r="G2403" i="2" s="1"/>
  <c r="F2402" i="2"/>
  <c r="G2402" i="2" s="1"/>
  <c r="F2401" i="2"/>
  <c r="G2401" i="2" s="1"/>
  <c r="F2400" i="2"/>
  <c r="G2400" i="2" s="1"/>
  <c r="F2399" i="2"/>
  <c r="G2399" i="2" s="1"/>
  <c r="F2398" i="2"/>
  <c r="G2398" i="2" s="1"/>
  <c r="F2397" i="2"/>
  <c r="G2397" i="2" s="1"/>
  <c r="F2396" i="2"/>
  <c r="G2396" i="2" s="1"/>
  <c r="F2395" i="2"/>
  <c r="G2395" i="2" s="1"/>
  <c r="F2394" i="2"/>
  <c r="G2394" i="2" s="1"/>
  <c r="F2393" i="2"/>
  <c r="G2393" i="2" s="1"/>
  <c r="F2392" i="2"/>
  <c r="G2392" i="2" s="1"/>
  <c r="F2391" i="2"/>
  <c r="G2391" i="2" s="1"/>
  <c r="F2390" i="2"/>
  <c r="G2390" i="2" s="1"/>
  <c r="F2389" i="2"/>
  <c r="G2389" i="2" s="1"/>
  <c r="F2388" i="2"/>
  <c r="G2388" i="2" s="1"/>
  <c r="F2387" i="2"/>
  <c r="G2387" i="2" s="1"/>
  <c r="F2386" i="2"/>
  <c r="G2386" i="2" s="1"/>
  <c r="F2385" i="2"/>
  <c r="G2385" i="2" s="1"/>
  <c r="F2384" i="2"/>
  <c r="G2384" i="2" s="1"/>
  <c r="F2383" i="2"/>
  <c r="G2383" i="2" s="1"/>
  <c r="F2382" i="2"/>
  <c r="G2382" i="2" s="1"/>
  <c r="F2381" i="2"/>
  <c r="G2381" i="2" s="1"/>
  <c r="F2380" i="2"/>
  <c r="G2380" i="2" s="1"/>
  <c r="F2379" i="2"/>
  <c r="G2379" i="2" s="1"/>
  <c r="F2378" i="2"/>
  <c r="G2378" i="2" s="1"/>
  <c r="F2377" i="2"/>
  <c r="G2377" i="2" s="1"/>
  <c r="F2376" i="2"/>
  <c r="G2376" i="2" s="1"/>
  <c r="F2375" i="2"/>
  <c r="G2375" i="2" s="1"/>
  <c r="F2374" i="2"/>
  <c r="G2374" i="2" s="1"/>
  <c r="F2373" i="2"/>
  <c r="G2373" i="2" s="1"/>
  <c r="F2372" i="2"/>
  <c r="G2372" i="2" s="1"/>
  <c r="F2371" i="2"/>
  <c r="G2371" i="2" s="1"/>
  <c r="F2370" i="2"/>
  <c r="G2370" i="2" s="1"/>
  <c r="F2369" i="2"/>
  <c r="G2369" i="2" s="1"/>
  <c r="F2368" i="2"/>
  <c r="G2368" i="2" s="1"/>
  <c r="F2367" i="2"/>
  <c r="G2367" i="2" s="1"/>
  <c r="F2366" i="2"/>
  <c r="G2366" i="2" s="1"/>
  <c r="F2365" i="2"/>
  <c r="G2365" i="2" s="1"/>
  <c r="F2364" i="2"/>
  <c r="G2364" i="2" s="1"/>
  <c r="F2363" i="2"/>
  <c r="G2363" i="2" s="1"/>
  <c r="F2362" i="2"/>
  <c r="G2362" i="2" s="1"/>
  <c r="F2361" i="2"/>
  <c r="G2361" i="2" s="1"/>
  <c r="F2360" i="2"/>
  <c r="G2360" i="2" s="1"/>
  <c r="F2359" i="2"/>
  <c r="G2359" i="2" s="1"/>
  <c r="F2358" i="2"/>
  <c r="G2358" i="2" s="1"/>
  <c r="F2357" i="2"/>
  <c r="G2357" i="2" s="1"/>
  <c r="F2356" i="2"/>
  <c r="G2356" i="2" s="1"/>
  <c r="F2355" i="2"/>
  <c r="G2355" i="2" s="1"/>
  <c r="F2354" i="2"/>
  <c r="G2354" i="2" s="1"/>
  <c r="F2353" i="2"/>
  <c r="G2353" i="2" s="1"/>
  <c r="F2352" i="2"/>
  <c r="G2352" i="2" s="1"/>
  <c r="F2351" i="2"/>
  <c r="G2351" i="2" s="1"/>
  <c r="F2350" i="2"/>
  <c r="G2350" i="2" s="1"/>
  <c r="F2349" i="2"/>
  <c r="G2349" i="2" s="1"/>
  <c r="F2348" i="2"/>
  <c r="G2348" i="2" s="1"/>
  <c r="F2347" i="2"/>
  <c r="G2347" i="2" s="1"/>
  <c r="F2346" i="2"/>
  <c r="G2346" i="2" s="1"/>
  <c r="F2345" i="2"/>
  <c r="G2345" i="2" s="1"/>
  <c r="F2344" i="2"/>
  <c r="G2344" i="2" s="1"/>
  <c r="F2343" i="2"/>
  <c r="G2343" i="2" s="1"/>
  <c r="F2342" i="2"/>
  <c r="G2342" i="2" s="1"/>
  <c r="F2341" i="2"/>
  <c r="G2341" i="2" s="1"/>
  <c r="F2340" i="2"/>
  <c r="G2340" i="2" s="1"/>
  <c r="F2339" i="2"/>
  <c r="G2339" i="2" s="1"/>
  <c r="F2338" i="2"/>
  <c r="G2338" i="2" s="1"/>
  <c r="F2337" i="2"/>
  <c r="G2337" i="2" s="1"/>
  <c r="F2336" i="2"/>
  <c r="G2336" i="2" s="1"/>
  <c r="F2335" i="2"/>
  <c r="G2335" i="2" s="1"/>
  <c r="F2334" i="2"/>
  <c r="G2334" i="2" s="1"/>
  <c r="F2333" i="2"/>
  <c r="G2333" i="2" s="1"/>
  <c r="F2332" i="2"/>
  <c r="G2332" i="2" s="1"/>
  <c r="F2331" i="2"/>
  <c r="G2331" i="2" s="1"/>
  <c r="F2330" i="2"/>
  <c r="G2330" i="2" s="1"/>
  <c r="F2329" i="2"/>
  <c r="G2329" i="2" s="1"/>
  <c r="F2328" i="2"/>
  <c r="G2328" i="2" s="1"/>
  <c r="F2327" i="2"/>
  <c r="G2327" i="2" s="1"/>
  <c r="F2326" i="2"/>
  <c r="G2326" i="2" s="1"/>
  <c r="F2325" i="2"/>
  <c r="G2325" i="2" s="1"/>
  <c r="F2324" i="2"/>
  <c r="G2324" i="2" s="1"/>
  <c r="F2323" i="2"/>
  <c r="G2323" i="2" s="1"/>
  <c r="F2322" i="2"/>
  <c r="G2322" i="2" s="1"/>
  <c r="F2321" i="2"/>
  <c r="G2321" i="2" s="1"/>
  <c r="F2320" i="2"/>
  <c r="G2320" i="2" s="1"/>
  <c r="F2319" i="2"/>
  <c r="G2319" i="2" s="1"/>
  <c r="F2318" i="2"/>
  <c r="G2318" i="2" s="1"/>
  <c r="F2317" i="2"/>
  <c r="G2317" i="2" s="1"/>
  <c r="F2316" i="2"/>
  <c r="G2316" i="2" s="1"/>
  <c r="F2315" i="2"/>
  <c r="G2315" i="2" s="1"/>
  <c r="F2314" i="2"/>
  <c r="G2314" i="2" s="1"/>
  <c r="F2313" i="2"/>
  <c r="G2313" i="2" s="1"/>
  <c r="F2312" i="2"/>
  <c r="G2312" i="2" s="1"/>
  <c r="F2311" i="2"/>
  <c r="G2311" i="2" s="1"/>
  <c r="F2310" i="2"/>
  <c r="G2310" i="2" s="1"/>
  <c r="F2309" i="2"/>
  <c r="G2309" i="2" s="1"/>
  <c r="F2308" i="2"/>
  <c r="G2308" i="2" s="1"/>
  <c r="F2307" i="2"/>
  <c r="G2307" i="2" s="1"/>
  <c r="F2306" i="2"/>
  <c r="G2306" i="2" s="1"/>
  <c r="F2305" i="2"/>
  <c r="G2305" i="2" s="1"/>
  <c r="F2304" i="2"/>
  <c r="G2304" i="2" s="1"/>
  <c r="F2303" i="2"/>
  <c r="G2303" i="2" s="1"/>
  <c r="F2302" i="2"/>
  <c r="G2302" i="2" s="1"/>
  <c r="F2301" i="2"/>
  <c r="G2301" i="2" s="1"/>
  <c r="F2300" i="2"/>
  <c r="G2300" i="2" s="1"/>
  <c r="F2299" i="2"/>
  <c r="G2299" i="2" s="1"/>
  <c r="F2298" i="2"/>
  <c r="G2298" i="2" s="1"/>
  <c r="F2297" i="2"/>
  <c r="G2297" i="2" s="1"/>
  <c r="F2296" i="2"/>
  <c r="G2296" i="2" s="1"/>
  <c r="F2295" i="2"/>
  <c r="G2295" i="2" s="1"/>
  <c r="F2294" i="2"/>
  <c r="G2294" i="2" s="1"/>
  <c r="F2293" i="2"/>
  <c r="G2293" i="2" s="1"/>
  <c r="F2292" i="2"/>
  <c r="G2292" i="2" s="1"/>
  <c r="F2291" i="2"/>
  <c r="G2291" i="2" s="1"/>
  <c r="F2290" i="2"/>
  <c r="G2290" i="2" s="1"/>
  <c r="F2289" i="2"/>
  <c r="G2289" i="2" s="1"/>
  <c r="F2288" i="2"/>
  <c r="G2288" i="2" s="1"/>
  <c r="F2287" i="2"/>
  <c r="G2287" i="2" s="1"/>
  <c r="F2286" i="2"/>
  <c r="G2286" i="2" s="1"/>
  <c r="F2285" i="2"/>
  <c r="G2285" i="2" s="1"/>
  <c r="F2284" i="2"/>
  <c r="G2284" i="2" s="1"/>
  <c r="F2283" i="2"/>
  <c r="G2283" i="2" s="1"/>
  <c r="F2282" i="2"/>
  <c r="G2282" i="2" s="1"/>
  <c r="F2281" i="2"/>
  <c r="G2281" i="2" s="1"/>
  <c r="F2280" i="2"/>
  <c r="G2280" i="2" s="1"/>
  <c r="F2279" i="2"/>
  <c r="G2279" i="2" s="1"/>
  <c r="F2278" i="2"/>
  <c r="G2278" i="2" s="1"/>
  <c r="F2277" i="2"/>
  <c r="G2277" i="2" s="1"/>
  <c r="F2276" i="2"/>
  <c r="G2276" i="2" s="1"/>
  <c r="F2275" i="2"/>
  <c r="G2275" i="2" s="1"/>
  <c r="F2274" i="2"/>
  <c r="G2274" i="2" s="1"/>
  <c r="F2273" i="2"/>
  <c r="G2273" i="2" s="1"/>
  <c r="F2272" i="2"/>
  <c r="G2272" i="2" s="1"/>
  <c r="F2271" i="2"/>
  <c r="G2271" i="2" s="1"/>
  <c r="F2270" i="2"/>
  <c r="G2270" i="2" s="1"/>
  <c r="F2269" i="2"/>
  <c r="G2269" i="2" s="1"/>
  <c r="F2268" i="2"/>
  <c r="G2268" i="2" s="1"/>
  <c r="F2267" i="2"/>
  <c r="G2267" i="2" s="1"/>
  <c r="F2266" i="2"/>
  <c r="G2266" i="2" s="1"/>
  <c r="F2265" i="2"/>
  <c r="G2265" i="2" s="1"/>
  <c r="F2264" i="2"/>
  <c r="G2264" i="2" s="1"/>
  <c r="F2263" i="2"/>
  <c r="G2263" i="2" s="1"/>
  <c r="F2262" i="2"/>
  <c r="G2262" i="2" s="1"/>
  <c r="F2261" i="2"/>
  <c r="G2261" i="2" s="1"/>
  <c r="F2260" i="2"/>
  <c r="G2260" i="2" s="1"/>
  <c r="F2259" i="2"/>
  <c r="G2259" i="2" s="1"/>
  <c r="F2258" i="2"/>
  <c r="G2258" i="2" s="1"/>
  <c r="F2257" i="2"/>
  <c r="G2257" i="2" s="1"/>
  <c r="F2256" i="2"/>
  <c r="G2256" i="2" s="1"/>
  <c r="F2255" i="2"/>
  <c r="G2255" i="2" s="1"/>
  <c r="F2254" i="2"/>
  <c r="G2254" i="2" s="1"/>
  <c r="F2253" i="2"/>
  <c r="G2253" i="2" s="1"/>
  <c r="F2252" i="2"/>
  <c r="G2252" i="2" s="1"/>
  <c r="F2251" i="2"/>
  <c r="G2251" i="2" s="1"/>
  <c r="F2250" i="2"/>
  <c r="G2250" i="2" s="1"/>
  <c r="F2249" i="2"/>
  <c r="G2249" i="2" s="1"/>
  <c r="F2248" i="2"/>
  <c r="G2248" i="2" s="1"/>
  <c r="F2247" i="2"/>
  <c r="G2247" i="2" s="1"/>
  <c r="F2246" i="2"/>
  <c r="G2246" i="2" s="1"/>
  <c r="F2245" i="2"/>
  <c r="G2245" i="2" s="1"/>
  <c r="F2244" i="2"/>
  <c r="G2244" i="2" s="1"/>
  <c r="F2243" i="2"/>
  <c r="G2243" i="2" s="1"/>
  <c r="F2242" i="2"/>
  <c r="G2242" i="2" s="1"/>
  <c r="F2241" i="2"/>
  <c r="G2241" i="2" s="1"/>
  <c r="F2240" i="2"/>
  <c r="G2240" i="2" s="1"/>
  <c r="F2239" i="2"/>
  <c r="G2239" i="2" s="1"/>
  <c r="F2238" i="2"/>
  <c r="G2238" i="2" s="1"/>
  <c r="F2237" i="2"/>
  <c r="G2237" i="2" s="1"/>
  <c r="F2236" i="2"/>
  <c r="G2236" i="2" s="1"/>
  <c r="F2235" i="2"/>
  <c r="G2235" i="2" s="1"/>
  <c r="F2234" i="2"/>
  <c r="G2234" i="2" s="1"/>
  <c r="F2233" i="2"/>
  <c r="G2233" i="2" s="1"/>
  <c r="F2232" i="2"/>
  <c r="G2232" i="2" s="1"/>
  <c r="F2231" i="2"/>
  <c r="G2231" i="2" s="1"/>
  <c r="F2230" i="2"/>
  <c r="G2230" i="2" s="1"/>
  <c r="F2229" i="2"/>
  <c r="G2229" i="2" s="1"/>
  <c r="F2228" i="2"/>
  <c r="G2228" i="2" s="1"/>
  <c r="F2227" i="2"/>
  <c r="G2227" i="2" s="1"/>
  <c r="F2226" i="2"/>
  <c r="G2226" i="2" s="1"/>
  <c r="F2225" i="2"/>
  <c r="G2225" i="2" s="1"/>
  <c r="F2224" i="2"/>
  <c r="G2224" i="2" s="1"/>
  <c r="F2223" i="2"/>
  <c r="G2223" i="2" s="1"/>
  <c r="F2222" i="2"/>
  <c r="G2222" i="2" s="1"/>
  <c r="F2221" i="2"/>
  <c r="G2221" i="2" s="1"/>
  <c r="F2220" i="2"/>
  <c r="G2220" i="2" s="1"/>
  <c r="F2219" i="2"/>
  <c r="G2219" i="2" s="1"/>
  <c r="F2218" i="2"/>
  <c r="G2218" i="2" s="1"/>
  <c r="F2217" i="2"/>
  <c r="G2217" i="2" s="1"/>
  <c r="F2216" i="2"/>
  <c r="G2216" i="2" s="1"/>
  <c r="F2215" i="2"/>
  <c r="G2215" i="2" s="1"/>
  <c r="F2214" i="2"/>
  <c r="G2214" i="2" s="1"/>
  <c r="F2213" i="2"/>
  <c r="G2213" i="2" s="1"/>
  <c r="F2212" i="2"/>
  <c r="G2212" i="2" s="1"/>
  <c r="F2211" i="2"/>
  <c r="G2211" i="2" s="1"/>
  <c r="F2210" i="2"/>
  <c r="G2210" i="2" s="1"/>
  <c r="F2209" i="2"/>
  <c r="G2209" i="2" s="1"/>
  <c r="F2208" i="2"/>
  <c r="G2208" i="2" s="1"/>
  <c r="F2207" i="2"/>
  <c r="G2207" i="2" s="1"/>
  <c r="F2206" i="2"/>
  <c r="G2206" i="2" s="1"/>
  <c r="F2205" i="2"/>
  <c r="G2205" i="2" s="1"/>
  <c r="F2204" i="2"/>
  <c r="G2204" i="2" s="1"/>
  <c r="F2203" i="2"/>
  <c r="G2203" i="2" s="1"/>
  <c r="F2202" i="2"/>
  <c r="G2202" i="2" s="1"/>
  <c r="F2201" i="2"/>
  <c r="G2201" i="2" s="1"/>
  <c r="F2200" i="2"/>
  <c r="G2200" i="2" s="1"/>
  <c r="F2199" i="2"/>
  <c r="G2199" i="2" s="1"/>
  <c r="F2198" i="2"/>
  <c r="G2198" i="2" s="1"/>
  <c r="F2197" i="2"/>
  <c r="G2197" i="2" s="1"/>
  <c r="F2196" i="2"/>
  <c r="G2196" i="2" s="1"/>
  <c r="F2195" i="2"/>
  <c r="G2195" i="2" s="1"/>
  <c r="F2194" i="2"/>
  <c r="G2194" i="2" s="1"/>
  <c r="F2193" i="2"/>
  <c r="G2193" i="2" s="1"/>
  <c r="F2192" i="2"/>
  <c r="G2192" i="2" s="1"/>
  <c r="F2191" i="2"/>
  <c r="G2191" i="2" s="1"/>
  <c r="F2190" i="2"/>
  <c r="G2190" i="2" s="1"/>
  <c r="F2189" i="2"/>
  <c r="G2189" i="2" s="1"/>
  <c r="F2188" i="2"/>
  <c r="G2188" i="2" s="1"/>
  <c r="F2187" i="2"/>
  <c r="G2187" i="2" s="1"/>
  <c r="F2186" i="2"/>
  <c r="G2186" i="2" s="1"/>
  <c r="F2185" i="2"/>
  <c r="G2185" i="2" s="1"/>
  <c r="F2184" i="2"/>
  <c r="G2184" i="2" s="1"/>
  <c r="F2183" i="2"/>
  <c r="G2183" i="2" s="1"/>
  <c r="F2182" i="2"/>
  <c r="G2182" i="2" s="1"/>
  <c r="F2181" i="2"/>
  <c r="G2181" i="2" s="1"/>
  <c r="F2180" i="2"/>
  <c r="G2180" i="2" s="1"/>
  <c r="F2179" i="2"/>
  <c r="G2179" i="2" s="1"/>
  <c r="F2178" i="2"/>
  <c r="G2178" i="2" s="1"/>
  <c r="F2177" i="2"/>
  <c r="G2177" i="2" s="1"/>
  <c r="F2176" i="2"/>
  <c r="G2176" i="2" s="1"/>
  <c r="F2175" i="2"/>
  <c r="G2175" i="2" s="1"/>
  <c r="F2174" i="2"/>
  <c r="G2174" i="2" s="1"/>
  <c r="F2173" i="2"/>
  <c r="G2173" i="2" s="1"/>
  <c r="F2172" i="2"/>
  <c r="G2172" i="2" s="1"/>
  <c r="F2171" i="2"/>
  <c r="G2171" i="2" s="1"/>
  <c r="F2170" i="2"/>
  <c r="G2170" i="2" s="1"/>
  <c r="F2169" i="2"/>
  <c r="G2169" i="2" s="1"/>
  <c r="F2168" i="2"/>
  <c r="G2168" i="2" s="1"/>
  <c r="F2167" i="2"/>
  <c r="G2167" i="2" s="1"/>
  <c r="F2166" i="2"/>
  <c r="G2166" i="2" s="1"/>
  <c r="F2165" i="2"/>
  <c r="G2165" i="2" s="1"/>
  <c r="F2164" i="2"/>
  <c r="G2164" i="2" s="1"/>
  <c r="F2163" i="2"/>
  <c r="G2163" i="2" s="1"/>
  <c r="F2162" i="2"/>
  <c r="G2162" i="2" s="1"/>
  <c r="F2161" i="2"/>
  <c r="G2161" i="2" s="1"/>
  <c r="F2160" i="2"/>
  <c r="G2160" i="2" s="1"/>
  <c r="F2159" i="2"/>
  <c r="G2159" i="2" s="1"/>
  <c r="F2158" i="2"/>
  <c r="G2158" i="2" s="1"/>
  <c r="F2157" i="2"/>
  <c r="G2157" i="2" s="1"/>
  <c r="F2156" i="2"/>
  <c r="G2156" i="2" s="1"/>
  <c r="F2155" i="2"/>
  <c r="G2155" i="2" s="1"/>
  <c r="F2154" i="2"/>
  <c r="G2154" i="2" s="1"/>
  <c r="F2153" i="2"/>
  <c r="G2153" i="2" s="1"/>
  <c r="F2152" i="2"/>
  <c r="G2152" i="2" s="1"/>
  <c r="F2151" i="2"/>
  <c r="G2151" i="2" s="1"/>
  <c r="F2150" i="2"/>
  <c r="G2150" i="2" s="1"/>
  <c r="F2149" i="2"/>
  <c r="G2149" i="2" s="1"/>
  <c r="F2148" i="2"/>
  <c r="G2148" i="2" s="1"/>
  <c r="F2147" i="2"/>
  <c r="G2147" i="2" s="1"/>
  <c r="F2146" i="2"/>
  <c r="G2146" i="2" s="1"/>
  <c r="F2145" i="2"/>
  <c r="G2145" i="2" s="1"/>
  <c r="F2144" i="2"/>
  <c r="G2144" i="2" s="1"/>
  <c r="F2143" i="2"/>
  <c r="G2143" i="2" s="1"/>
  <c r="F2142" i="2"/>
  <c r="G2142" i="2" s="1"/>
  <c r="F2141" i="2"/>
  <c r="G2141" i="2" s="1"/>
  <c r="F2140" i="2"/>
  <c r="G2140" i="2" s="1"/>
  <c r="F2139" i="2"/>
  <c r="G2139" i="2" s="1"/>
  <c r="F2138" i="2"/>
  <c r="G2138" i="2" s="1"/>
  <c r="F2137" i="2"/>
  <c r="G2137" i="2" s="1"/>
  <c r="F2136" i="2"/>
  <c r="G2136" i="2" s="1"/>
  <c r="F2135" i="2"/>
  <c r="G2135" i="2" s="1"/>
  <c r="F2134" i="2"/>
  <c r="G2134" i="2" s="1"/>
  <c r="F2133" i="2"/>
  <c r="G2133" i="2" s="1"/>
  <c r="F2132" i="2"/>
  <c r="G2132" i="2" s="1"/>
  <c r="F2131" i="2"/>
  <c r="G2131" i="2" s="1"/>
  <c r="F2130" i="2"/>
  <c r="G2130" i="2" s="1"/>
  <c r="F2129" i="2"/>
  <c r="G2129" i="2" s="1"/>
  <c r="F2128" i="2"/>
  <c r="G2128" i="2" s="1"/>
  <c r="F2127" i="2"/>
  <c r="G2127" i="2" s="1"/>
  <c r="F2126" i="2"/>
  <c r="G2126" i="2" s="1"/>
  <c r="F2125" i="2"/>
  <c r="G2125" i="2" s="1"/>
  <c r="F2124" i="2"/>
  <c r="G2124" i="2" s="1"/>
  <c r="F2123" i="2"/>
  <c r="G2123" i="2" s="1"/>
  <c r="F2122" i="2"/>
  <c r="G2122" i="2" s="1"/>
  <c r="F2121" i="2"/>
  <c r="G2121" i="2" s="1"/>
  <c r="F2120" i="2"/>
  <c r="G2120" i="2" s="1"/>
  <c r="F2119" i="2"/>
  <c r="G2119" i="2" s="1"/>
  <c r="F2118" i="2"/>
  <c r="G2118" i="2" s="1"/>
  <c r="F2117" i="2"/>
  <c r="G2117" i="2" s="1"/>
  <c r="F2116" i="2"/>
  <c r="G2116" i="2" s="1"/>
  <c r="F2115" i="2"/>
  <c r="G2115" i="2" s="1"/>
  <c r="F2114" i="2"/>
  <c r="G2114" i="2" s="1"/>
  <c r="F2113" i="2"/>
  <c r="G2113" i="2" s="1"/>
  <c r="F2112" i="2"/>
  <c r="G2112" i="2" s="1"/>
  <c r="F2111" i="2"/>
  <c r="G2111" i="2"/>
  <c r="F2110" i="2"/>
  <c r="G2110" i="2" s="1"/>
  <c r="F2109" i="2"/>
  <c r="G2109" i="2" s="1"/>
  <c r="F2108" i="2"/>
  <c r="G2108" i="2" s="1"/>
  <c r="F2107" i="2"/>
  <c r="G2107" i="2" s="1"/>
  <c r="F2106" i="2"/>
  <c r="G2106" i="2" s="1"/>
  <c r="F2105" i="2"/>
  <c r="G2105" i="2" s="1"/>
  <c r="F2104" i="2"/>
  <c r="G2104" i="2" s="1"/>
  <c r="F2103" i="2"/>
  <c r="G2103" i="2" s="1"/>
  <c r="F2102" i="2"/>
  <c r="G2102" i="2" s="1"/>
  <c r="F2101" i="2"/>
  <c r="G2101" i="2" s="1"/>
  <c r="F2100" i="2"/>
  <c r="G2100" i="2" s="1"/>
  <c r="F2099" i="2"/>
  <c r="G2099" i="2" s="1"/>
  <c r="F2098" i="2"/>
  <c r="G2098" i="2" s="1"/>
  <c r="F2097" i="2"/>
  <c r="G2097" i="2" s="1"/>
  <c r="F2096" i="2"/>
  <c r="G2096" i="2" s="1"/>
  <c r="F2095" i="2"/>
  <c r="G2095" i="2" s="1"/>
  <c r="F2094" i="2"/>
  <c r="G2094" i="2" s="1"/>
  <c r="F2093" i="2"/>
  <c r="G2093" i="2" s="1"/>
  <c r="F2092" i="2"/>
  <c r="G2092" i="2" s="1"/>
  <c r="F2091" i="2"/>
  <c r="G2091" i="2" s="1"/>
  <c r="F2090" i="2"/>
  <c r="G2090" i="2" s="1"/>
  <c r="F2089" i="2"/>
  <c r="G2089" i="2" s="1"/>
  <c r="F2088" i="2"/>
  <c r="G2088" i="2" s="1"/>
  <c r="F2087" i="2"/>
  <c r="G2087" i="2" s="1"/>
  <c r="F2086" i="2"/>
  <c r="G2086" i="2" s="1"/>
  <c r="F2085" i="2"/>
  <c r="G2085" i="2" s="1"/>
  <c r="F2084" i="2"/>
  <c r="G2084" i="2" s="1"/>
  <c r="F2083" i="2"/>
  <c r="G2083" i="2" s="1"/>
  <c r="F2082" i="2"/>
  <c r="G2082" i="2" s="1"/>
  <c r="F2081" i="2"/>
  <c r="G2081" i="2" s="1"/>
  <c r="F2080" i="2"/>
  <c r="G2080" i="2" s="1"/>
  <c r="F2079" i="2"/>
  <c r="G2079" i="2"/>
  <c r="F2078" i="2"/>
  <c r="G2078" i="2" s="1"/>
  <c r="F2077" i="2"/>
  <c r="G2077" i="2" s="1"/>
  <c r="F2076" i="2"/>
  <c r="G2076" i="2" s="1"/>
  <c r="F2075" i="2"/>
  <c r="G2075" i="2" s="1"/>
  <c r="F2074" i="2"/>
  <c r="G2074" i="2" s="1"/>
  <c r="F2073" i="2"/>
  <c r="G2073" i="2"/>
  <c r="F2072" i="2"/>
  <c r="G2072" i="2" s="1"/>
  <c r="F2071" i="2"/>
  <c r="G2071" i="2" s="1"/>
  <c r="F2070" i="2"/>
  <c r="G2070" i="2" s="1"/>
  <c r="F2069" i="2"/>
  <c r="G2069" i="2" s="1"/>
  <c r="F2068" i="2"/>
  <c r="G2068" i="2" s="1"/>
  <c r="F2067" i="2"/>
  <c r="G2067" i="2" s="1"/>
  <c r="F2066" i="2"/>
  <c r="G2066" i="2" s="1"/>
  <c r="F2065" i="2"/>
  <c r="G2065" i="2" s="1"/>
  <c r="F2064" i="2"/>
  <c r="G2064" i="2" s="1"/>
  <c r="F2063" i="2"/>
  <c r="G2063" i="2" s="1"/>
  <c r="F2062" i="2"/>
  <c r="G2062" i="2" s="1"/>
  <c r="F2061" i="2"/>
  <c r="G2061" i="2" s="1"/>
  <c r="F2060" i="2"/>
  <c r="G2060" i="2" s="1"/>
  <c r="F2059" i="2"/>
  <c r="G2059" i="2" s="1"/>
  <c r="F2058" i="2"/>
  <c r="G2058" i="2" s="1"/>
  <c r="F2057" i="2"/>
  <c r="G2057" i="2" s="1"/>
  <c r="F2056" i="2"/>
  <c r="G2056" i="2" s="1"/>
  <c r="F2055" i="2"/>
  <c r="G2055" i="2" s="1"/>
  <c r="F2054" i="2"/>
  <c r="G2054" i="2" s="1"/>
  <c r="F2053" i="2"/>
  <c r="G2053" i="2" s="1"/>
  <c r="F2052" i="2"/>
  <c r="G2052" i="2" s="1"/>
  <c r="F2051" i="2"/>
  <c r="G2051" i="2" s="1"/>
  <c r="F2050" i="2"/>
  <c r="G2050" i="2" s="1"/>
  <c r="F2049" i="2"/>
  <c r="G2049" i="2" s="1"/>
  <c r="F2048" i="2"/>
  <c r="G2048" i="2" s="1"/>
  <c r="F2047" i="2"/>
  <c r="G2047" i="2" s="1"/>
  <c r="F2046" i="2"/>
  <c r="G2046" i="2" s="1"/>
  <c r="F2045" i="2"/>
  <c r="G2045" i="2" s="1"/>
  <c r="F2044" i="2"/>
  <c r="G2044" i="2" s="1"/>
  <c r="F2043" i="2"/>
  <c r="G2043" i="2" s="1"/>
  <c r="F2042" i="2"/>
  <c r="G2042" i="2" s="1"/>
  <c r="F2041" i="2"/>
  <c r="G2041" i="2" s="1"/>
  <c r="F2040" i="2"/>
  <c r="G2040" i="2" s="1"/>
  <c r="F2039" i="2"/>
  <c r="G2039" i="2" s="1"/>
  <c r="F2038" i="2"/>
  <c r="G2038" i="2" s="1"/>
  <c r="F2037" i="2"/>
  <c r="G2037" i="2" s="1"/>
  <c r="F2036" i="2"/>
  <c r="G2036" i="2" s="1"/>
  <c r="F2035" i="2"/>
  <c r="G2035" i="2" s="1"/>
  <c r="F2034" i="2"/>
  <c r="G2034" i="2" s="1"/>
  <c r="F2033" i="2"/>
  <c r="G2033" i="2" s="1"/>
  <c r="F2032" i="2"/>
  <c r="G2032" i="2" s="1"/>
  <c r="F2031" i="2"/>
  <c r="G2031" i="2" s="1"/>
  <c r="F2030" i="2"/>
  <c r="G2030" i="2" s="1"/>
  <c r="F2029" i="2"/>
  <c r="G2029" i="2" s="1"/>
  <c r="F2028" i="2"/>
  <c r="G2028" i="2" s="1"/>
  <c r="F2027" i="2"/>
  <c r="G2027" i="2" s="1"/>
  <c r="F2026" i="2"/>
  <c r="G2026" i="2" s="1"/>
  <c r="F2025" i="2"/>
  <c r="G2025" i="2" s="1"/>
  <c r="F2024" i="2"/>
  <c r="G2024" i="2" s="1"/>
  <c r="F2023" i="2"/>
  <c r="G2023" i="2" s="1"/>
  <c r="F2022" i="2"/>
  <c r="G2022" i="2" s="1"/>
  <c r="F2021" i="2"/>
  <c r="G2021" i="2" s="1"/>
  <c r="F2020" i="2"/>
  <c r="G2020" i="2" s="1"/>
  <c r="F2019" i="2"/>
  <c r="G2019" i="2" s="1"/>
  <c r="F2018" i="2"/>
  <c r="G2018" i="2" s="1"/>
  <c r="F2017" i="2"/>
  <c r="G2017" i="2" s="1"/>
  <c r="F2016" i="2"/>
  <c r="G2016" i="2" s="1"/>
  <c r="F2015" i="2"/>
  <c r="G2015" i="2" s="1"/>
  <c r="F2014" i="2"/>
  <c r="G2014" i="2" s="1"/>
  <c r="F2013" i="2"/>
  <c r="G2013" i="2" s="1"/>
  <c r="F2012" i="2"/>
  <c r="G2012" i="2" s="1"/>
  <c r="F2011" i="2"/>
  <c r="G2011" i="2" s="1"/>
  <c r="F2010" i="2"/>
  <c r="G2010" i="2" s="1"/>
  <c r="F2009" i="2"/>
  <c r="G2009" i="2" s="1"/>
  <c r="F2008" i="2"/>
  <c r="G2008" i="2" s="1"/>
  <c r="F2007" i="2"/>
  <c r="G2007" i="2" s="1"/>
  <c r="F2006" i="2"/>
  <c r="G2006" i="2" s="1"/>
  <c r="F2005" i="2"/>
  <c r="G2005" i="2" s="1"/>
  <c r="F2004" i="2"/>
  <c r="G2004" i="2" s="1"/>
  <c r="F2003" i="2"/>
  <c r="G2003" i="2" s="1"/>
  <c r="F2002" i="2"/>
  <c r="G2002" i="2" s="1"/>
  <c r="F2001" i="2"/>
  <c r="G2001" i="2" s="1"/>
  <c r="F2000" i="2"/>
  <c r="G2000" i="2" s="1"/>
  <c r="F1999" i="2"/>
  <c r="G1999" i="2" s="1"/>
  <c r="F1998" i="2"/>
  <c r="G1998" i="2" s="1"/>
  <c r="F1997" i="2"/>
  <c r="G1997" i="2" s="1"/>
  <c r="F1996" i="2"/>
  <c r="G1996" i="2" s="1"/>
  <c r="F1995" i="2"/>
  <c r="G1995" i="2" s="1"/>
  <c r="F1994" i="2"/>
  <c r="G1994" i="2" s="1"/>
  <c r="F1993" i="2"/>
  <c r="G1993" i="2" s="1"/>
  <c r="F1992" i="2"/>
  <c r="G1992" i="2" s="1"/>
  <c r="F1991" i="2"/>
  <c r="G1991" i="2" s="1"/>
  <c r="F1990" i="2"/>
  <c r="G1990" i="2" s="1"/>
  <c r="F1989" i="2"/>
  <c r="G1989" i="2" s="1"/>
  <c r="F1988" i="2"/>
  <c r="G1988" i="2" s="1"/>
  <c r="F1987" i="2"/>
  <c r="G1987" i="2" s="1"/>
  <c r="F1986" i="2"/>
  <c r="G1986" i="2" s="1"/>
  <c r="F1985" i="2"/>
  <c r="G1985" i="2" s="1"/>
  <c r="F1984" i="2"/>
  <c r="G1984" i="2" s="1"/>
  <c r="F1983" i="2"/>
  <c r="G1983" i="2" s="1"/>
  <c r="F1982" i="2"/>
  <c r="G1982" i="2" s="1"/>
  <c r="F1981" i="2"/>
  <c r="G1981" i="2" s="1"/>
  <c r="F1980" i="2"/>
  <c r="G1980" i="2" s="1"/>
  <c r="F1979" i="2"/>
  <c r="G1979" i="2" s="1"/>
  <c r="F1978" i="2"/>
  <c r="G1978" i="2" s="1"/>
  <c r="F1977" i="2"/>
  <c r="G1977" i="2" s="1"/>
  <c r="F1976" i="2"/>
  <c r="G1976" i="2" s="1"/>
  <c r="F1975" i="2"/>
  <c r="G1975" i="2" s="1"/>
  <c r="F1974" i="2"/>
  <c r="G1974" i="2" s="1"/>
  <c r="F1973" i="2"/>
  <c r="G1973" i="2" s="1"/>
  <c r="F1972" i="2"/>
  <c r="G1972" i="2" s="1"/>
  <c r="F1971" i="2"/>
  <c r="G1971" i="2" s="1"/>
  <c r="F1970" i="2"/>
  <c r="G1970" i="2" s="1"/>
  <c r="F1969" i="2"/>
  <c r="G1969" i="2" s="1"/>
  <c r="F1968" i="2"/>
  <c r="G1968" i="2" s="1"/>
  <c r="F1967" i="2"/>
  <c r="G1967" i="2" s="1"/>
  <c r="F1966" i="2"/>
  <c r="G1966" i="2" s="1"/>
  <c r="F1965" i="2"/>
  <c r="G1965" i="2" s="1"/>
  <c r="F1964" i="2"/>
  <c r="G1964" i="2" s="1"/>
  <c r="F1963" i="2"/>
  <c r="G1963" i="2" s="1"/>
  <c r="F1962" i="2"/>
  <c r="G1962" i="2" s="1"/>
  <c r="F1961" i="2"/>
  <c r="G1961" i="2" s="1"/>
  <c r="F1960" i="2"/>
  <c r="G1960" i="2" s="1"/>
  <c r="F1959" i="2"/>
  <c r="G1959" i="2" s="1"/>
  <c r="F1958" i="2"/>
  <c r="G1958" i="2" s="1"/>
  <c r="F1957" i="2"/>
  <c r="G1957" i="2" s="1"/>
  <c r="F1956" i="2"/>
  <c r="G1956" i="2" s="1"/>
  <c r="F1955" i="2"/>
  <c r="G1955" i="2" s="1"/>
  <c r="F1954" i="2"/>
  <c r="G1954" i="2" s="1"/>
  <c r="F1953" i="2"/>
  <c r="G1953" i="2" s="1"/>
  <c r="F1952" i="2"/>
  <c r="G1952" i="2" s="1"/>
  <c r="F1951" i="2"/>
  <c r="G1951" i="2" s="1"/>
  <c r="F1950" i="2"/>
  <c r="G1950" i="2" s="1"/>
  <c r="F1949" i="2"/>
  <c r="G1949" i="2" s="1"/>
  <c r="F1948" i="2"/>
  <c r="G1948" i="2" s="1"/>
  <c r="F1947" i="2"/>
  <c r="G1947" i="2" s="1"/>
  <c r="F1946" i="2"/>
  <c r="G1946" i="2" s="1"/>
  <c r="F1945" i="2"/>
  <c r="G1945" i="2" s="1"/>
  <c r="F1944" i="2"/>
  <c r="G1944" i="2" s="1"/>
  <c r="F1943" i="2"/>
  <c r="G1943" i="2" s="1"/>
  <c r="F1942" i="2"/>
  <c r="G1942" i="2" s="1"/>
  <c r="F1941" i="2"/>
  <c r="G1941" i="2" s="1"/>
  <c r="F1940" i="2"/>
  <c r="G1940" i="2" s="1"/>
  <c r="F1939" i="2"/>
  <c r="G1939" i="2" s="1"/>
  <c r="F1938" i="2"/>
  <c r="G1938" i="2" s="1"/>
  <c r="F1937" i="2"/>
  <c r="G1937" i="2" s="1"/>
  <c r="F1936" i="2"/>
  <c r="G1936" i="2" s="1"/>
  <c r="F1935" i="2"/>
  <c r="G1935" i="2" s="1"/>
  <c r="F1934" i="2"/>
  <c r="G1934" i="2" s="1"/>
  <c r="F1933" i="2"/>
  <c r="G1933" i="2" s="1"/>
  <c r="F1932" i="2"/>
  <c r="G1932" i="2" s="1"/>
  <c r="F1931" i="2"/>
  <c r="G1931" i="2" s="1"/>
  <c r="F1930" i="2"/>
  <c r="G1930" i="2" s="1"/>
  <c r="F1929" i="2"/>
  <c r="G1929" i="2" s="1"/>
  <c r="F1928" i="2"/>
  <c r="G1928" i="2" s="1"/>
  <c r="F1927" i="2"/>
  <c r="G1927" i="2" s="1"/>
  <c r="F1926" i="2"/>
  <c r="G1926" i="2" s="1"/>
  <c r="F1925" i="2"/>
  <c r="G1925" i="2" s="1"/>
  <c r="F1924" i="2"/>
  <c r="G1924" i="2" s="1"/>
  <c r="F1923" i="2"/>
  <c r="G1923" i="2" s="1"/>
  <c r="F1922" i="2"/>
  <c r="G1922" i="2" s="1"/>
  <c r="F1921" i="2"/>
  <c r="G1921" i="2" s="1"/>
  <c r="F1920" i="2"/>
  <c r="G1920" i="2" s="1"/>
  <c r="F1919" i="2"/>
  <c r="G1919" i="2" s="1"/>
  <c r="F1918" i="2"/>
  <c r="G1918" i="2" s="1"/>
  <c r="F1917" i="2"/>
  <c r="G1917" i="2" s="1"/>
  <c r="F1916" i="2"/>
  <c r="G1916" i="2" s="1"/>
  <c r="F1915" i="2"/>
  <c r="G1915" i="2" s="1"/>
  <c r="F1914" i="2"/>
  <c r="G1914" i="2" s="1"/>
  <c r="F1913" i="2"/>
  <c r="G1913" i="2" s="1"/>
  <c r="F1912" i="2"/>
  <c r="G1912" i="2" s="1"/>
  <c r="F1911" i="2"/>
  <c r="G1911" i="2" s="1"/>
  <c r="F1910" i="2"/>
  <c r="G1910" i="2" s="1"/>
  <c r="F1909" i="2"/>
  <c r="G1909" i="2" s="1"/>
  <c r="F1908" i="2"/>
  <c r="G1908" i="2" s="1"/>
  <c r="F1907" i="2"/>
  <c r="G1907" i="2" s="1"/>
  <c r="F1906" i="2"/>
  <c r="G1906" i="2" s="1"/>
  <c r="F1905" i="2"/>
  <c r="G1905" i="2" s="1"/>
  <c r="F1904" i="2"/>
  <c r="G1904" i="2" s="1"/>
  <c r="F1903" i="2"/>
  <c r="G1903" i="2" s="1"/>
  <c r="F1902" i="2"/>
  <c r="G1902" i="2" s="1"/>
  <c r="F1901" i="2"/>
  <c r="G1901" i="2" s="1"/>
  <c r="F1900" i="2"/>
  <c r="G1900" i="2" s="1"/>
  <c r="F1899" i="2"/>
  <c r="G1899" i="2" s="1"/>
  <c r="F1898" i="2"/>
  <c r="G1898" i="2" s="1"/>
  <c r="F1897" i="2"/>
  <c r="G1897" i="2" s="1"/>
  <c r="F1896" i="2"/>
  <c r="G1896" i="2" s="1"/>
  <c r="F1895" i="2"/>
  <c r="G1895" i="2" s="1"/>
  <c r="F1894" i="2"/>
  <c r="G1894" i="2" s="1"/>
  <c r="F1893" i="2"/>
  <c r="G1893" i="2" s="1"/>
  <c r="F1892" i="2"/>
  <c r="G1892" i="2" s="1"/>
  <c r="F1891" i="2"/>
  <c r="G1891" i="2" s="1"/>
  <c r="F1890" i="2"/>
  <c r="G1890" i="2" s="1"/>
  <c r="F1889" i="2"/>
  <c r="G1889" i="2" s="1"/>
  <c r="F1888" i="2"/>
  <c r="G1888" i="2" s="1"/>
  <c r="F1887" i="2"/>
  <c r="G1887" i="2" s="1"/>
  <c r="F1886" i="2"/>
  <c r="G1886" i="2" s="1"/>
  <c r="F1885" i="2"/>
  <c r="G1885" i="2" s="1"/>
  <c r="F1884" i="2"/>
  <c r="G1884" i="2" s="1"/>
  <c r="F1883" i="2"/>
  <c r="G1883" i="2" s="1"/>
  <c r="F1882" i="2"/>
  <c r="G1882" i="2" s="1"/>
  <c r="F1881" i="2"/>
  <c r="G1881" i="2" s="1"/>
  <c r="F1880" i="2"/>
  <c r="G1880" i="2" s="1"/>
  <c r="F1879" i="2"/>
  <c r="G1879" i="2" s="1"/>
  <c r="F1878" i="2"/>
  <c r="G1878" i="2" s="1"/>
  <c r="F1877" i="2"/>
  <c r="G1877" i="2" s="1"/>
  <c r="F1876" i="2"/>
  <c r="G1876" i="2" s="1"/>
  <c r="F1875" i="2"/>
  <c r="G1875" i="2" s="1"/>
  <c r="F1874" i="2"/>
  <c r="G1874" i="2" s="1"/>
  <c r="F1873" i="2"/>
  <c r="G1873" i="2" s="1"/>
  <c r="F1872" i="2"/>
  <c r="G1872" i="2" s="1"/>
  <c r="F1871" i="2"/>
  <c r="G1871" i="2" s="1"/>
  <c r="F1870" i="2"/>
  <c r="G1870" i="2" s="1"/>
  <c r="F1869" i="2"/>
  <c r="G1869" i="2" s="1"/>
  <c r="F1868" i="2"/>
  <c r="G1868" i="2" s="1"/>
  <c r="F1867" i="2"/>
  <c r="G1867" i="2" s="1"/>
  <c r="F1866" i="2"/>
  <c r="G1866" i="2" s="1"/>
  <c r="F1865" i="2"/>
  <c r="G1865" i="2" s="1"/>
  <c r="F1864" i="2"/>
  <c r="G1864" i="2" s="1"/>
  <c r="F1863" i="2"/>
  <c r="G1863" i="2" s="1"/>
  <c r="F1862" i="2"/>
  <c r="G1862" i="2" s="1"/>
  <c r="F1861" i="2"/>
  <c r="G1861" i="2" s="1"/>
  <c r="F1860" i="2"/>
  <c r="G1860" i="2" s="1"/>
  <c r="F1859" i="2"/>
  <c r="G1859" i="2" s="1"/>
  <c r="F1858" i="2"/>
  <c r="G1858" i="2" s="1"/>
  <c r="F1857" i="2"/>
  <c r="G1857" i="2" s="1"/>
  <c r="F1856" i="2"/>
  <c r="G1856" i="2" s="1"/>
  <c r="F1855" i="2"/>
  <c r="G1855" i="2" s="1"/>
  <c r="F1854" i="2"/>
  <c r="G1854" i="2" s="1"/>
  <c r="F1853" i="2"/>
  <c r="G1853" i="2" s="1"/>
  <c r="F1852" i="2"/>
  <c r="G1852" i="2" s="1"/>
  <c r="F1851" i="2"/>
  <c r="G1851" i="2" s="1"/>
  <c r="F1850" i="2"/>
  <c r="G1850" i="2" s="1"/>
  <c r="F1849" i="2"/>
  <c r="G1849" i="2" s="1"/>
  <c r="F1848" i="2"/>
  <c r="G1848" i="2" s="1"/>
  <c r="F1847" i="2"/>
  <c r="G1847" i="2" s="1"/>
  <c r="F1846" i="2"/>
  <c r="G1846" i="2" s="1"/>
  <c r="F1845" i="2"/>
  <c r="G1845" i="2" s="1"/>
  <c r="F1844" i="2"/>
  <c r="G1844" i="2" s="1"/>
  <c r="F1843" i="2"/>
  <c r="G1843" i="2" s="1"/>
  <c r="F1842" i="2"/>
  <c r="G1842" i="2" s="1"/>
  <c r="F1841" i="2"/>
  <c r="G1841" i="2" s="1"/>
  <c r="F1840" i="2"/>
  <c r="G1840" i="2" s="1"/>
  <c r="F1839" i="2"/>
  <c r="G1839" i="2" s="1"/>
  <c r="F1838" i="2"/>
  <c r="G1838" i="2" s="1"/>
  <c r="F1837" i="2"/>
  <c r="G1837" i="2" s="1"/>
  <c r="F1836" i="2"/>
  <c r="G1836" i="2" s="1"/>
  <c r="F1835" i="2"/>
  <c r="G1835" i="2" s="1"/>
  <c r="F1834" i="2"/>
  <c r="G1834" i="2" s="1"/>
  <c r="F1833" i="2"/>
  <c r="G1833" i="2" s="1"/>
  <c r="F1832" i="2"/>
  <c r="G1832" i="2" s="1"/>
  <c r="F1831" i="2"/>
  <c r="G1831" i="2" s="1"/>
  <c r="F1830" i="2"/>
  <c r="G1830" i="2" s="1"/>
  <c r="F1829" i="2"/>
  <c r="G1829" i="2" s="1"/>
  <c r="F1828" i="2"/>
  <c r="G1828" i="2" s="1"/>
  <c r="F1827" i="2"/>
  <c r="G1827" i="2" s="1"/>
  <c r="F1826" i="2"/>
  <c r="G1826" i="2" s="1"/>
  <c r="F1825" i="2"/>
  <c r="G1825" i="2" s="1"/>
  <c r="F1824" i="2"/>
  <c r="G1824" i="2" s="1"/>
  <c r="F1823" i="2"/>
  <c r="G1823" i="2" s="1"/>
  <c r="F1822" i="2"/>
  <c r="G1822" i="2" s="1"/>
  <c r="F1821" i="2"/>
  <c r="G1821" i="2" s="1"/>
  <c r="F1820" i="2"/>
  <c r="G1820" i="2" s="1"/>
  <c r="F1819" i="2"/>
  <c r="G1819" i="2" s="1"/>
  <c r="F1818" i="2"/>
  <c r="G1818" i="2" s="1"/>
  <c r="F1817" i="2"/>
  <c r="G1817" i="2" s="1"/>
  <c r="F1816" i="2"/>
  <c r="G1816" i="2" s="1"/>
  <c r="F1815" i="2"/>
  <c r="G1815" i="2" s="1"/>
  <c r="F1814" i="2"/>
  <c r="G1814" i="2" s="1"/>
  <c r="F1813" i="2"/>
  <c r="G1813" i="2" s="1"/>
  <c r="F1812" i="2"/>
  <c r="G1812" i="2" s="1"/>
  <c r="F1811" i="2"/>
  <c r="G1811" i="2" s="1"/>
  <c r="F1810" i="2"/>
  <c r="G1810" i="2" s="1"/>
  <c r="F1809" i="2"/>
  <c r="G1809" i="2" s="1"/>
  <c r="F1808" i="2"/>
  <c r="G1808" i="2" s="1"/>
  <c r="F1807" i="2"/>
  <c r="G1807" i="2" s="1"/>
  <c r="F1806" i="2"/>
  <c r="G1806" i="2" s="1"/>
  <c r="F1805" i="2"/>
  <c r="G1805" i="2" s="1"/>
  <c r="F1804" i="2"/>
  <c r="G1804" i="2" s="1"/>
  <c r="F1803" i="2"/>
  <c r="G1803" i="2" s="1"/>
  <c r="F1802" i="2"/>
  <c r="G1802" i="2" s="1"/>
  <c r="F1801" i="2"/>
  <c r="G1801" i="2" s="1"/>
  <c r="F1800" i="2"/>
  <c r="G1800" i="2" s="1"/>
  <c r="F1799" i="2"/>
  <c r="G1799" i="2" s="1"/>
  <c r="F1798" i="2"/>
  <c r="G1798" i="2" s="1"/>
  <c r="F1797" i="2"/>
  <c r="G1797" i="2" s="1"/>
  <c r="F1796" i="2"/>
  <c r="G1796" i="2" s="1"/>
  <c r="F1795" i="2"/>
  <c r="G1795" i="2" s="1"/>
  <c r="F1794" i="2"/>
  <c r="G1794" i="2" s="1"/>
  <c r="F1793" i="2"/>
  <c r="G1793" i="2" s="1"/>
  <c r="F1792" i="2"/>
  <c r="G1792" i="2" s="1"/>
  <c r="F1791" i="2"/>
  <c r="G1791" i="2" s="1"/>
  <c r="F1790" i="2"/>
  <c r="G1790" i="2" s="1"/>
  <c r="F1789" i="2"/>
  <c r="G1789" i="2" s="1"/>
  <c r="F1788" i="2"/>
  <c r="G1788" i="2" s="1"/>
  <c r="F1787" i="2"/>
  <c r="G1787" i="2" s="1"/>
  <c r="F1786" i="2"/>
  <c r="G1786" i="2" s="1"/>
  <c r="F1785" i="2"/>
  <c r="G1785" i="2" s="1"/>
  <c r="F1784" i="2"/>
  <c r="G1784" i="2" s="1"/>
  <c r="F1783" i="2"/>
  <c r="G1783" i="2" s="1"/>
  <c r="F1782" i="2"/>
  <c r="G1782" i="2" s="1"/>
  <c r="F1781" i="2"/>
  <c r="G1781" i="2" s="1"/>
  <c r="F1780" i="2"/>
  <c r="G1780" i="2" s="1"/>
  <c r="F1779" i="2"/>
  <c r="G1779" i="2" s="1"/>
  <c r="F1778" i="2"/>
  <c r="G1778" i="2" s="1"/>
  <c r="F1777" i="2"/>
  <c r="G1777" i="2" s="1"/>
  <c r="F1776" i="2"/>
  <c r="G1776" i="2" s="1"/>
  <c r="F1775" i="2"/>
  <c r="G1775" i="2" s="1"/>
  <c r="F1774" i="2"/>
  <c r="G1774" i="2" s="1"/>
  <c r="F1773" i="2"/>
  <c r="G1773" i="2" s="1"/>
  <c r="F1772" i="2"/>
  <c r="G1772" i="2" s="1"/>
  <c r="F1771" i="2"/>
  <c r="G1771" i="2" s="1"/>
  <c r="F1770" i="2"/>
  <c r="G1770" i="2" s="1"/>
  <c r="F1769" i="2"/>
  <c r="G1769" i="2" s="1"/>
  <c r="F1768" i="2"/>
  <c r="G1768" i="2" s="1"/>
  <c r="F1767" i="2"/>
  <c r="G1767" i="2" s="1"/>
  <c r="F1766" i="2"/>
  <c r="G1766" i="2" s="1"/>
  <c r="F1765" i="2"/>
  <c r="G1765" i="2" s="1"/>
  <c r="F1764" i="2"/>
  <c r="G1764" i="2" s="1"/>
  <c r="F1763" i="2"/>
  <c r="G1763" i="2" s="1"/>
  <c r="F1762" i="2"/>
  <c r="G1762" i="2" s="1"/>
  <c r="F1761" i="2"/>
  <c r="G1761" i="2" s="1"/>
  <c r="F1760" i="2"/>
  <c r="G1760" i="2" s="1"/>
  <c r="F1759" i="2"/>
  <c r="G1759" i="2" s="1"/>
  <c r="F1758" i="2"/>
  <c r="G1758" i="2" s="1"/>
  <c r="F1757" i="2"/>
  <c r="G1757" i="2" s="1"/>
  <c r="F1756" i="2"/>
  <c r="G1756" i="2" s="1"/>
  <c r="F1755" i="2"/>
  <c r="G1755" i="2" s="1"/>
  <c r="F1754" i="2"/>
  <c r="G1754" i="2" s="1"/>
  <c r="F1753" i="2"/>
  <c r="G1753" i="2" s="1"/>
  <c r="F1752" i="2"/>
  <c r="G1752" i="2" s="1"/>
  <c r="F1751" i="2"/>
  <c r="G1751" i="2" s="1"/>
  <c r="F1750" i="2"/>
  <c r="G1750" i="2" s="1"/>
  <c r="F1749" i="2"/>
  <c r="G1749" i="2" s="1"/>
  <c r="F1748" i="2"/>
  <c r="G1748" i="2" s="1"/>
  <c r="F1747" i="2"/>
  <c r="G1747" i="2" s="1"/>
  <c r="F1746" i="2"/>
  <c r="G1746" i="2"/>
  <c r="F1745" i="2"/>
  <c r="G1745" i="2" s="1"/>
  <c r="F1744" i="2"/>
  <c r="G1744" i="2" s="1"/>
  <c r="F1743" i="2"/>
  <c r="G1743" i="2" s="1"/>
  <c r="F1742" i="2"/>
  <c r="G1742" i="2" s="1"/>
  <c r="F1741" i="2"/>
  <c r="G1741" i="2" s="1"/>
  <c r="F1740" i="2"/>
  <c r="G1740" i="2" s="1"/>
  <c r="F1739" i="2"/>
  <c r="G1739" i="2" s="1"/>
  <c r="F1738" i="2"/>
  <c r="G1738" i="2" s="1"/>
  <c r="F1737" i="2"/>
  <c r="G1737" i="2" s="1"/>
  <c r="F1736" i="2"/>
  <c r="G1736" i="2" s="1"/>
  <c r="F1735" i="2"/>
  <c r="G1735" i="2" s="1"/>
  <c r="F1734" i="2"/>
  <c r="G1734" i="2" s="1"/>
  <c r="F1733" i="2"/>
  <c r="G1733" i="2" s="1"/>
  <c r="F1732" i="2"/>
  <c r="G1732" i="2" s="1"/>
  <c r="F1731" i="2"/>
  <c r="G1731" i="2" s="1"/>
  <c r="F1730" i="2"/>
  <c r="G1730" i="2" s="1"/>
  <c r="F1729" i="2"/>
  <c r="G1729" i="2" s="1"/>
  <c r="F1728" i="2"/>
  <c r="G1728" i="2" s="1"/>
  <c r="F1727" i="2"/>
  <c r="G1727" i="2" s="1"/>
  <c r="F1726" i="2"/>
  <c r="G1726" i="2" s="1"/>
  <c r="F1725" i="2"/>
  <c r="G1725" i="2" s="1"/>
  <c r="F1724" i="2"/>
  <c r="G1724" i="2" s="1"/>
  <c r="F1723" i="2"/>
  <c r="G1723" i="2" s="1"/>
  <c r="F1722" i="2"/>
  <c r="G1722" i="2" s="1"/>
  <c r="F1721" i="2"/>
  <c r="G1721" i="2" s="1"/>
  <c r="F1720" i="2"/>
  <c r="G1720" i="2" s="1"/>
  <c r="F1719" i="2"/>
  <c r="G1719" i="2" s="1"/>
  <c r="F1718" i="2"/>
  <c r="G1718" i="2" s="1"/>
  <c r="F1717" i="2"/>
  <c r="G1717" i="2" s="1"/>
  <c r="F1716" i="2"/>
  <c r="G1716" i="2" s="1"/>
  <c r="F1715" i="2"/>
  <c r="G1715" i="2" s="1"/>
  <c r="F1714" i="2"/>
  <c r="G1714" i="2" s="1"/>
  <c r="F1713" i="2"/>
  <c r="G1713" i="2" s="1"/>
  <c r="F1712" i="2"/>
  <c r="G1712" i="2" s="1"/>
  <c r="F1711" i="2"/>
  <c r="G1711" i="2" s="1"/>
  <c r="F1710" i="2"/>
  <c r="G1710" i="2" s="1"/>
  <c r="F1709" i="2"/>
  <c r="G1709" i="2" s="1"/>
  <c r="F1708" i="2"/>
  <c r="G1708" i="2" s="1"/>
  <c r="F1707" i="2"/>
  <c r="G1707" i="2" s="1"/>
  <c r="F1706" i="2"/>
  <c r="G1706" i="2" s="1"/>
  <c r="F1705" i="2"/>
  <c r="G1705" i="2" s="1"/>
  <c r="F1704" i="2"/>
  <c r="G1704" i="2" s="1"/>
  <c r="F1703" i="2"/>
  <c r="G1703" i="2" s="1"/>
  <c r="F1702" i="2"/>
  <c r="G1702" i="2" s="1"/>
  <c r="F1701" i="2"/>
  <c r="G1701" i="2" s="1"/>
  <c r="F1700" i="2"/>
  <c r="G1700" i="2" s="1"/>
  <c r="F1699" i="2"/>
  <c r="G1699" i="2" s="1"/>
  <c r="F1698" i="2"/>
  <c r="G1698" i="2" s="1"/>
  <c r="F1697" i="2"/>
  <c r="G1697" i="2" s="1"/>
  <c r="F1696" i="2"/>
  <c r="G1696" i="2" s="1"/>
  <c r="F1695" i="2"/>
  <c r="G1695" i="2" s="1"/>
  <c r="F1694" i="2"/>
  <c r="G1694" i="2" s="1"/>
  <c r="F1693" i="2"/>
  <c r="G1693" i="2" s="1"/>
  <c r="F1692" i="2"/>
  <c r="G1692" i="2" s="1"/>
  <c r="F1691" i="2"/>
  <c r="G1691" i="2" s="1"/>
  <c r="F1690" i="2"/>
  <c r="G1690" i="2" s="1"/>
  <c r="F1689" i="2"/>
  <c r="G1689" i="2" s="1"/>
  <c r="F1688" i="2"/>
  <c r="G1688" i="2" s="1"/>
  <c r="F1687" i="2"/>
  <c r="G1687" i="2" s="1"/>
  <c r="F1686" i="2"/>
  <c r="G1686" i="2" s="1"/>
  <c r="F1685" i="2"/>
  <c r="G1685" i="2" s="1"/>
  <c r="F1684" i="2"/>
  <c r="G1684" i="2" s="1"/>
  <c r="F1683" i="2"/>
  <c r="G1683" i="2" s="1"/>
  <c r="F1682" i="2"/>
  <c r="G1682" i="2" s="1"/>
  <c r="F1681" i="2"/>
  <c r="G1681" i="2" s="1"/>
  <c r="F1680" i="2"/>
  <c r="G1680" i="2" s="1"/>
  <c r="F1679" i="2"/>
  <c r="G1679" i="2" s="1"/>
  <c r="F1678" i="2"/>
  <c r="G1678" i="2" s="1"/>
  <c r="F1677" i="2"/>
  <c r="G1677" i="2" s="1"/>
  <c r="F1676" i="2"/>
  <c r="G1676" i="2" s="1"/>
  <c r="F1675" i="2"/>
  <c r="G1675" i="2" s="1"/>
  <c r="F1674" i="2"/>
  <c r="G1674" i="2" s="1"/>
  <c r="F1673" i="2"/>
  <c r="G1673" i="2" s="1"/>
  <c r="F1672" i="2"/>
  <c r="G1672" i="2" s="1"/>
  <c r="F1671" i="2"/>
  <c r="G1671" i="2" s="1"/>
  <c r="F1670" i="2"/>
  <c r="G1670" i="2" s="1"/>
  <c r="F1669" i="2"/>
  <c r="G1669" i="2" s="1"/>
  <c r="F1668" i="2"/>
  <c r="G1668" i="2" s="1"/>
  <c r="F1667" i="2"/>
  <c r="G1667" i="2" s="1"/>
  <c r="F1666" i="2"/>
  <c r="G1666" i="2" s="1"/>
  <c r="F1665" i="2"/>
  <c r="G1665" i="2" s="1"/>
  <c r="F1664" i="2"/>
  <c r="G1664" i="2" s="1"/>
  <c r="F1663" i="2"/>
  <c r="G1663" i="2" s="1"/>
  <c r="F1662" i="2"/>
  <c r="G1662" i="2" s="1"/>
  <c r="F1661" i="2"/>
  <c r="G1661" i="2" s="1"/>
  <c r="F1660" i="2"/>
  <c r="G1660" i="2" s="1"/>
  <c r="F1659" i="2"/>
  <c r="G1659" i="2" s="1"/>
  <c r="F1658" i="2"/>
  <c r="G1658" i="2" s="1"/>
  <c r="F1657" i="2"/>
  <c r="G1657" i="2" s="1"/>
  <c r="F1656" i="2"/>
  <c r="G1656" i="2"/>
  <c r="F1655" i="2"/>
  <c r="G1655" i="2" s="1"/>
  <c r="F1654" i="2"/>
  <c r="G1654" i="2" s="1"/>
  <c r="F1653" i="2"/>
  <c r="G1653" i="2" s="1"/>
  <c r="F1652" i="2"/>
  <c r="G1652" i="2" s="1"/>
  <c r="F1651" i="2"/>
  <c r="G1651" i="2" s="1"/>
  <c r="F1650" i="2"/>
  <c r="G1650" i="2" s="1"/>
  <c r="F1649" i="2"/>
  <c r="G1649" i="2" s="1"/>
  <c r="F1648" i="2"/>
  <c r="G1648" i="2" s="1"/>
  <c r="F1647" i="2"/>
  <c r="G1647" i="2" s="1"/>
  <c r="F1646" i="2"/>
  <c r="G1646" i="2" s="1"/>
  <c r="F1645" i="2"/>
  <c r="G1645" i="2" s="1"/>
  <c r="F1644" i="2"/>
  <c r="G1644" i="2" s="1"/>
  <c r="F1643" i="2"/>
  <c r="G1643" i="2" s="1"/>
  <c r="F1642" i="2"/>
  <c r="G1642" i="2" s="1"/>
  <c r="F1641" i="2"/>
  <c r="G1641" i="2" s="1"/>
  <c r="F1640" i="2"/>
  <c r="G1640" i="2" s="1"/>
  <c r="F1639" i="2"/>
  <c r="G1639" i="2" s="1"/>
  <c r="F1638" i="2"/>
  <c r="G1638" i="2" s="1"/>
  <c r="F1637" i="2"/>
  <c r="G1637" i="2" s="1"/>
  <c r="F1636" i="2"/>
  <c r="G1636" i="2" s="1"/>
  <c r="F1635" i="2"/>
  <c r="G1635" i="2" s="1"/>
  <c r="F1634" i="2"/>
  <c r="G1634" i="2" s="1"/>
  <c r="F1633" i="2"/>
  <c r="G1633" i="2" s="1"/>
  <c r="F1632" i="2"/>
  <c r="G1632" i="2" s="1"/>
  <c r="F1631" i="2"/>
  <c r="G1631" i="2" s="1"/>
  <c r="F1630" i="2"/>
  <c r="G1630" i="2" s="1"/>
  <c r="F1629" i="2"/>
  <c r="G1629" i="2" s="1"/>
  <c r="F1628" i="2"/>
  <c r="G1628" i="2" s="1"/>
  <c r="F1627" i="2"/>
  <c r="G1627" i="2" s="1"/>
  <c r="F1626" i="2"/>
  <c r="G1626" i="2" s="1"/>
  <c r="F1625" i="2"/>
  <c r="G1625" i="2" s="1"/>
  <c r="F1624" i="2"/>
  <c r="G1624" i="2" s="1"/>
  <c r="F1623" i="2"/>
  <c r="G1623" i="2" s="1"/>
  <c r="F1622" i="2"/>
  <c r="G1622" i="2" s="1"/>
  <c r="F1621" i="2"/>
  <c r="G1621" i="2" s="1"/>
  <c r="F1620" i="2"/>
  <c r="G1620" i="2" s="1"/>
  <c r="F1619" i="2"/>
  <c r="G1619" i="2" s="1"/>
  <c r="F1618" i="2"/>
  <c r="G1618" i="2" s="1"/>
  <c r="F1617" i="2"/>
  <c r="G1617" i="2" s="1"/>
  <c r="F1616" i="2"/>
  <c r="G1616" i="2" s="1"/>
  <c r="F1615" i="2"/>
  <c r="G1615" i="2" s="1"/>
  <c r="F1614" i="2"/>
  <c r="G1614" i="2" s="1"/>
  <c r="F1613" i="2"/>
  <c r="G1613" i="2" s="1"/>
  <c r="F1612" i="2"/>
  <c r="G1612" i="2" s="1"/>
  <c r="F1611" i="2"/>
  <c r="G1611" i="2" s="1"/>
  <c r="F1610" i="2"/>
  <c r="G1610" i="2" s="1"/>
  <c r="F1609" i="2"/>
  <c r="G1609" i="2" s="1"/>
  <c r="F1608" i="2"/>
  <c r="G1608" i="2" s="1"/>
  <c r="F1607" i="2"/>
  <c r="G1607" i="2" s="1"/>
  <c r="F1606" i="2"/>
  <c r="G1606" i="2" s="1"/>
  <c r="F1605" i="2"/>
  <c r="G1605" i="2" s="1"/>
  <c r="F1604" i="2"/>
  <c r="G1604" i="2" s="1"/>
  <c r="F1603" i="2"/>
  <c r="G1603" i="2" s="1"/>
  <c r="F1602" i="2"/>
  <c r="G1602" i="2" s="1"/>
  <c r="F1601" i="2"/>
  <c r="G1601" i="2" s="1"/>
  <c r="F1600" i="2"/>
  <c r="G1600" i="2" s="1"/>
  <c r="F1599" i="2"/>
  <c r="G1599" i="2" s="1"/>
  <c r="F1598" i="2"/>
  <c r="G1598" i="2" s="1"/>
  <c r="F1597" i="2"/>
  <c r="G1597" i="2" s="1"/>
  <c r="F1596" i="2"/>
  <c r="G1596" i="2" s="1"/>
  <c r="F1595" i="2"/>
  <c r="G1595" i="2" s="1"/>
  <c r="F1594" i="2"/>
  <c r="G1594" i="2" s="1"/>
  <c r="F1593" i="2"/>
  <c r="G1593" i="2" s="1"/>
  <c r="F1592" i="2"/>
  <c r="G1592" i="2" s="1"/>
  <c r="F1591" i="2"/>
  <c r="G1591" i="2" s="1"/>
  <c r="F1590" i="2"/>
  <c r="G1590" i="2" s="1"/>
  <c r="F1589" i="2"/>
  <c r="G1589" i="2" s="1"/>
  <c r="F1588" i="2"/>
  <c r="G1588" i="2" s="1"/>
  <c r="H522" i="1" s="1"/>
  <c r="F1587" i="2"/>
  <c r="G1587" i="2" s="1"/>
  <c r="F1586" i="2"/>
  <c r="G1586" i="2" s="1"/>
  <c r="F1585" i="2"/>
  <c r="G1585" i="2" s="1"/>
  <c r="F1584" i="2"/>
  <c r="G1584" i="2" s="1"/>
  <c r="F1583" i="2"/>
  <c r="G1583" i="2" s="1"/>
  <c r="F1582" i="2"/>
  <c r="G1582" i="2" s="1"/>
  <c r="F1581" i="2"/>
  <c r="G1581" i="2" s="1"/>
  <c r="F1580" i="2"/>
  <c r="G1580" i="2" s="1"/>
  <c r="F1579" i="2"/>
  <c r="G1579" i="2" s="1"/>
  <c r="F1578" i="2"/>
  <c r="G1578" i="2" s="1"/>
  <c r="F1577" i="2"/>
  <c r="G1577" i="2" s="1"/>
  <c r="F1576" i="2"/>
  <c r="G1576" i="2"/>
  <c r="F1575" i="2"/>
  <c r="G1575" i="2" s="1"/>
  <c r="F1574" i="2"/>
  <c r="G1574" i="2" s="1"/>
  <c r="F1573" i="2"/>
  <c r="G1573" i="2" s="1"/>
  <c r="F1572" i="2"/>
  <c r="G1572" i="2" s="1"/>
  <c r="F1571" i="2"/>
  <c r="G1571" i="2" s="1"/>
  <c r="F1570" i="2"/>
  <c r="G1570" i="2" s="1"/>
  <c r="F1569" i="2"/>
  <c r="G1569" i="2" s="1"/>
  <c r="F1568" i="2"/>
  <c r="G1568" i="2" s="1"/>
  <c r="F1567" i="2"/>
  <c r="G1567" i="2" s="1"/>
  <c r="F1566" i="2"/>
  <c r="G1566" i="2" s="1"/>
  <c r="F1565" i="2"/>
  <c r="G1565" i="2" s="1"/>
  <c r="F1564" i="2"/>
  <c r="G1564" i="2" s="1"/>
  <c r="F1563" i="2"/>
  <c r="G1563" i="2" s="1"/>
  <c r="F1562" i="2"/>
  <c r="G1562" i="2" s="1"/>
  <c r="F1561" i="2"/>
  <c r="G1561" i="2" s="1"/>
  <c r="F1560" i="2"/>
  <c r="G1560" i="2" s="1"/>
  <c r="F1559" i="2"/>
  <c r="G1559" i="2" s="1"/>
  <c r="F1558" i="2"/>
  <c r="G1558" i="2" s="1"/>
  <c r="F1557" i="2"/>
  <c r="G1557" i="2" s="1"/>
  <c r="F1556" i="2"/>
  <c r="G1556" i="2" s="1"/>
  <c r="F1555" i="2"/>
  <c r="G1555" i="2" s="1"/>
  <c r="F1554" i="2"/>
  <c r="G1554" i="2" s="1"/>
  <c r="F1553" i="2"/>
  <c r="G1553" i="2" s="1"/>
  <c r="F1552" i="2"/>
  <c r="G1552" i="2" s="1"/>
  <c r="F1551" i="2"/>
  <c r="G1551" i="2" s="1"/>
  <c r="F1550" i="2"/>
  <c r="G1550" i="2" s="1"/>
  <c r="F1549" i="2"/>
  <c r="G1549" i="2" s="1"/>
  <c r="F1548" i="2"/>
  <c r="G1548" i="2" s="1"/>
  <c r="F1547" i="2"/>
  <c r="G1547" i="2" s="1"/>
  <c r="F1546" i="2"/>
  <c r="G1546" i="2" s="1"/>
  <c r="F1545" i="2"/>
  <c r="G1545" i="2" s="1"/>
  <c r="F1544" i="2"/>
  <c r="G1544" i="2" s="1"/>
  <c r="F1543" i="2"/>
  <c r="G1543" i="2" s="1"/>
  <c r="F1542" i="2"/>
  <c r="G1542" i="2" s="1"/>
  <c r="F1541" i="2"/>
  <c r="G1541" i="2" s="1"/>
  <c r="F1540" i="2"/>
  <c r="G1540" i="2" s="1"/>
  <c r="F1539" i="2"/>
  <c r="G1539" i="2" s="1"/>
  <c r="F1538" i="2"/>
  <c r="G1538" i="2" s="1"/>
  <c r="F1537" i="2"/>
  <c r="G1537" i="2" s="1"/>
  <c r="F1536" i="2"/>
  <c r="G1536" i="2" s="1"/>
  <c r="F1535" i="2"/>
  <c r="G1535" i="2" s="1"/>
  <c r="F1534" i="2"/>
  <c r="G1534" i="2" s="1"/>
  <c r="F1533" i="2"/>
  <c r="G1533" i="2" s="1"/>
  <c r="F1532" i="2"/>
  <c r="G1532" i="2" s="1"/>
  <c r="F1531" i="2"/>
  <c r="G1531" i="2" s="1"/>
  <c r="F1530" i="2"/>
  <c r="G1530" i="2" s="1"/>
  <c r="F1529" i="2"/>
  <c r="G1529" i="2" s="1"/>
  <c r="F1528" i="2"/>
  <c r="G1528" i="2" s="1"/>
  <c r="F1527" i="2"/>
  <c r="G1527" i="2" s="1"/>
  <c r="F1526" i="2"/>
  <c r="G1526" i="2" s="1"/>
  <c r="F1525" i="2"/>
  <c r="G1525" i="2" s="1"/>
  <c r="F1524" i="2"/>
  <c r="G1524" i="2" s="1"/>
  <c r="F1523" i="2"/>
  <c r="G1523" i="2" s="1"/>
  <c r="F1522" i="2"/>
  <c r="G1522" i="2" s="1"/>
  <c r="F1521" i="2"/>
  <c r="G1521" i="2" s="1"/>
  <c r="F1520" i="2"/>
  <c r="G1520" i="2" s="1"/>
  <c r="F1519" i="2"/>
  <c r="G1519" i="2" s="1"/>
  <c r="F1518" i="2"/>
  <c r="G1518" i="2" s="1"/>
  <c r="F1517" i="2"/>
  <c r="G1517" i="2" s="1"/>
  <c r="F1516" i="2"/>
  <c r="G1516" i="2" s="1"/>
  <c r="F1515" i="2"/>
  <c r="G1515" i="2" s="1"/>
  <c r="F1514" i="2"/>
  <c r="G1514" i="2" s="1"/>
  <c r="F1513" i="2"/>
  <c r="G1513" i="2" s="1"/>
  <c r="F1512" i="2"/>
  <c r="G1512" i="2" s="1"/>
  <c r="F1511" i="2"/>
  <c r="G1511" i="2" s="1"/>
  <c r="F1510" i="2"/>
  <c r="G1510" i="2" s="1"/>
  <c r="F1509" i="2"/>
  <c r="G1509" i="2" s="1"/>
  <c r="F1508" i="2"/>
  <c r="G1508" i="2" s="1"/>
  <c r="F1507" i="2"/>
  <c r="G1507" i="2" s="1"/>
  <c r="F1506" i="2"/>
  <c r="G1506" i="2" s="1"/>
  <c r="F1505" i="2"/>
  <c r="G1505" i="2" s="1"/>
  <c r="F1504" i="2"/>
  <c r="G1504" i="2" s="1"/>
  <c r="F1503" i="2"/>
  <c r="G1503" i="2" s="1"/>
  <c r="F1502" i="2"/>
  <c r="G1502" i="2" s="1"/>
  <c r="F1501" i="2"/>
  <c r="G1501" i="2" s="1"/>
  <c r="F1500" i="2"/>
  <c r="G1500" i="2" s="1"/>
  <c r="F1499" i="2"/>
  <c r="G1499" i="2" s="1"/>
  <c r="F1498" i="2"/>
  <c r="G1498" i="2" s="1"/>
  <c r="F1497" i="2"/>
  <c r="G1497" i="2" s="1"/>
  <c r="F1496" i="2"/>
  <c r="G1496" i="2" s="1"/>
  <c r="F1495" i="2"/>
  <c r="G1495" i="2" s="1"/>
  <c r="F1494" i="2"/>
  <c r="G1494" i="2" s="1"/>
  <c r="F1493" i="2"/>
  <c r="G1493" i="2" s="1"/>
  <c r="F1492" i="2"/>
  <c r="G1492" i="2" s="1"/>
  <c r="F1491" i="2"/>
  <c r="G1491" i="2" s="1"/>
  <c r="F1490" i="2"/>
  <c r="G1490" i="2"/>
  <c r="F1489" i="2"/>
  <c r="G1489" i="2" s="1"/>
  <c r="F1488" i="2"/>
  <c r="G1488" i="2" s="1"/>
  <c r="F1487" i="2"/>
  <c r="G1487" i="2" s="1"/>
  <c r="F1486" i="2"/>
  <c r="G1486" i="2" s="1"/>
  <c r="F1485" i="2"/>
  <c r="G1485" i="2" s="1"/>
  <c r="F1484" i="2"/>
  <c r="G1484" i="2" s="1"/>
  <c r="F1483" i="2"/>
  <c r="G1483" i="2" s="1"/>
  <c r="F1482" i="2"/>
  <c r="G1482" i="2" s="1"/>
  <c r="F1481" i="2"/>
  <c r="G1481" i="2" s="1"/>
  <c r="F1480" i="2"/>
  <c r="G1480" i="2" s="1"/>
  <c r="F1479" i="2"/>
  <c r="G1479" i="2" s="1"/>
  <c r="F1478" i="2"/>
  <c r="G1478" i="2" s="1"/>
  <c r="F1477" i="2"/>
  <c r="G1477" i="2" s="1"/>
  <c r="F1476" i="2"/>
  <c r="G1476" i="2" s="1"/>
  <c r="F1475" i="2"/>
  <c r="G1475" i="2" s="1"/>
  <c r="F1474" i="2"/>
  <c r="G1474" i="2" s="1"/>
  <c r="F1473" i="2"/>
  <c r="G1473" i="2" s="1"/>
  <c r="F1472" i="2"/>
  <c r="G1472" i="2" s="1"/>
  <c r="F1471" i="2"/>
  <c r="G1471" i="2" s="1"/>
  <c r="F1470" i="2"/>
  <c r="G1470" i="2" s="1"/>
  <c r="F1469" i="2"/>
  <c r="G1469" i="2" s="1"/>
  <c r="F1468" i="2"/>
  <c r="G1468" i="2" s="1"/>
  <c r="F1467" i="2"/>
  <c r="G1467" i="2" s="1"/>
  <c r="F1466" i="2"/>
  <c r="G1466" i="2" s="1"/>
  <c r="F1465" i="2"/>
  <c r="G1465" i="2" s="1"/>
  <c r="F1464" i="2"/>
  <c r="G1464" i="2" s="1"/>
  <c r="F1463" i="2"/>
  <c r="G1463" i="2" s="1"/>
  <c r="F1462" i="2"/>
  <c r="G1462" i="2" s="1"/>
  <c r="F1461" i="2"/>
  <c r="G1461" i="2" s="1"/>
  <c r="F1460" i="2"/>
  <c r="G1460" i="2" s="1"/>
  <c r="F1459" i="2"/>
  <c r="G1459" i="2" s="1"/>
  <c r="F1458" i="2"/>
  <c r="G1458" i="2" s="1"/>
  <c r="F1457" i="2"/>
  <c r="G1457" i="2" s="1"/>
  <c r="F1456" i="2"/>
  <c r="G1456" i="2" s="1"/>
  <c r="F1455" i="2"/>
  <c r="G1455" i="2" s="1"/>
  <c r="F1454" i="2"/>
  <c r="G1454" i="2" s="1"/>
  <c r="F1453" i="2"/>
  <c r="G1453" i="2" s="1"/>
  <c r="F1452" i="2"/>
  <c r="G1452" i="2" s="1"/>
  <c r="F1451" i="2"/>
  <c r="G1451" i="2" s="1"/>
  <c r="F1450" i="2"/>
  <c r="G1450" i="2" s="1"/>
  <c r="F1449" i="2"/>
  <c r="G1449" i="2" s="1"/>
  <c r="F1448" i="2"/>
  <c r="G1448" i="2" s="1"/>
  <c r="F1447" i="2"/>
  <c r="G1447" i="2" s="1"/>
  <c r="F1446" i="2"/>
  <c r="G1446" i="2" s="1"/>
  <c r="F1445" i="2"/>
  <c r="G1445" i="2" s="1"/>
  <c r="F1444" i="2"/>
  <c r="G1444" i="2" s="1"/>
  <c r="F1443" i="2"/>
  <c r="G1443" i="2" s="1"/>
  <c r="F1442" i="2"/>
  <c r="G1442" i="2" s="1"/>
  <c r="F1441" i="2"/>
  <c r="G1441" i="2" s="1"/>
  <c r="F1440" i="2"/>
  <c r="G1440" i="2" s="1"/>
  <c r="F1439" i="2"/>
  <c r="G1439" i="2" s="1"/>
  <c r="F1438" i="2"/>
  <c r="G1438" i="2" s="1"/>
  <c r="F1437" i="2"/>
  <c r="G1437" i="2" s="1"/>
  <c r="F1436" i="2"/>
  <c r="G1436" i="2" s="1"/>
  <c r="F1435" i="2"/>
  <c r="G1435" i="2" s="1"/>
  <c r="F1434" i="2"/>
  <c r="G1434" i="2" s="1"/>
  <c r="F1433" i="2"/>
  <c r="G1433" i="2" s="1"/>
  <c r="F1432" i="2"/>
  <c r="G1432" i="2" s="1"/>
  <c r="F1431" i="2"/>
  <c r="G1431" i="2" s="1"/>
  <c r="F1430" i="2"/>
  <c r="G1430" i="2" s="1"/>
  <c r="F1429" i="2"/>
  <c r="G1429" i="2" s="1"/>
  <c r="F1428" i="2"/>
  <c r="G1428" i="2" s="1"/>
  <c r="F1427" i="2"/>
  <c r="G1427" i="2" s="1"/>
  <c r="F1426" i="2"/>
  <c r="G1426" i="2" s="1"/>
  <c r="F1425" i="2"/>
  <c r="G1425" i="2" s="1"/>
  <c r="F1424" i="2"/>
  <c r="G1424" i="2" s="1"/>
  <c r="F1423" i="2"/>
  <c r="G1423" i="2" s="1"/>
  <c r="F1422" i="2"/>
  <c r="G1422" i="2" s="1"/>
  <c r="F1421" i="2"/>
  <c r="G1421" i="2" s="1"/>
  <c r="F1420" i="2"/>
  <c r="G1420" i="2" s="1"/>
  <c r="F1419" i="2"/>
  <c r="G1419" i="2" s="1"/>
  <c r="F1418" i="2"/>
  <c r="G1418" i="2" s="1"/>
  <c r="F1417" i="2"/>
  <c r="G1417" i="2" s="1"/>
  <c r="F1416" i="2"/>
  <c r="G1416" i="2" s="1"/>
  <c r="F1415" i="2"/>
  <c r="G1415" i="2" s="1"/>
  <c r="F1414" i="2"/>
  <c r="G1414" i="2" s="1"/>
  <c r="F1413" i="2"/>
  <c r="G1413" i="2" s="1"/>
  <c r="F1412" i="2"/>
  <c r="G1412" i="2" s="1"/>
  <c r="F1411" i="2"/>
  <c r="G1411" i="2" s="1"/>
  <c r="F1410" i="2"/>
  <c r="G1410" i="2" s="1"/>
  <c r="F1409" i="2"/>
  <c r="G1409" i="2" s="1"/>
  <c r="F1408" i="2"/>
  <c r="G1408" i="2" s="1"/>
  <c r="F1407" i="2"/>
  <c r="G1407" i="2" s="1"/>
  <c r="F1406" i="2"/>
  <c r="G1406" i="2" s="1"/>
  <c r="F1405" i="2"/>
  <c r="G1405" i="2" s="1"/>
  <c r="F1404" i="2"/>
  <c r="G1404" i="2" s="1"/>
  <c r="F1403" i="2"/>
  <c r="G1403" i="2" s="1"/>
  <c r="F1402" i="2"/>
  <c r="G1402" i="2" s="1"/>
  <c r="F1401" i="2"/>
  <c r="G1401" i="2" s="1"/>
  <c r="F1400" i="2"/>
  <c r="G1400" i="2"/>
  <c r="F1399" i="2"/>
  <c r="G1399" i="2" s="1"/>
  <c r="F1398" i="2"/>
  <c r="G1398" i="2" s="1"/>
  <c r="F1397" i="2"/>
  <c r="G1397" i="2" s="1"/>
  <c r="F1396" i="2"/>
  <c r="G1396" i="2" s="1"/>
  <c r="F1395" i="2"/>
  <c r="G1395" i="2" s="1"/>
  <c r="F1394" i="2"/>
  <c r="G1394" i="2" s="1"/>
  <c r="F1393" i="2"/>
  <c r="G1393" i="2" s="1"/>
  <c r="F1392" i="2"/>
  <c r="G1392" i="2" s="1"/>
  <c r="F1391" i="2"/>
  <c r="G1391" i="2" s="1"/>
  <c r="F1390" i="2"/>
  <c r="G1390" i="2" s="1"/>
  <c r="F1389" i="2"/>
  <c r="G1389" i="2" s="1"/>
  <c r="F1388" i="2"/>
  <c r="G1388" i="2" s="1"/>
  <c r="F1387" i="2"/>
  <c r="G1387" i="2" s="1"/>
  <c r="F1386" i="2"/>
  <c r="G1386" i="2" s="1"/>
  <c r="F1385" i="2"/>
  <c r="G1385" i="2" s="1"/>
  <c r="F1384" i="2"/>
  <c r="G1384" i="2" s="1"/>
  <c r="F1383" i="2"/>
  <c r="G1383" i="2" s="1"/>
  <c r="F1382" i="2"/>
  <c r="G1382" i="2" s="1"/>
  <c r="F1381" i="2"/>
  <c r="G1381" i="2" s="1"/>
  <c r="F1380" i="2"/>
  <c r="G1380" i="2" s="1"/>
  <c r="F1379" i="2"/>
  <c r="G1379" i="2" s="1"/>
  <c r="F1378" i="2"/>
  <c r="G1378" i="2" s="1"/>
  <c r="F1377" i="2"/>
  <c r="G1377" i="2" s="1"/>
  <c r="F1376" i="2"/>
  <c r="G1376" i="2" s="1"/>
  <c r="F1375" i="2"/>
  <c r="G1375" i="2" s="1"/>
  <c r="F1374" i="2"/>
  <c r="G1374" i="2" s="1"/>
  <c r="F1373" i="2"/>
  <c r="G1373" i="2" s="1"/>
  <c r="F1372" i="2"/>
  <c r="G1372" i="2" s="1"/>
  <c r="F1371" i="2"/>
  <c r="G1371" i="2" s="1"/>
  <c r="F1370" i="2"/>
  <c r="G1370" i="2" s="1"/>
  <c r="F1369" i="2"/>
  <c r="G1369" i="2" s="1"/>
  <c r="F1368" i="2"/>
  <c r="G1368" i="2" s="1"/>
  <c r="F1367" i="2"/>
  <c r="G1367" i="2" s="1"/>
  <c r="F1366" i="2"/>
  <c r="G1366" i="2" s="1"/>
  <c r="F1365" i="2"/>
  <c r="G1365" i="2" s="1"/>
  <c r="F1364" i="2"/>
  <c r="G1364" i="2" s="1"/>
  <c r="F1363" i="2"/>
  <c r="G1363" i="2" s="1"/>
  <c r="F1362" i="2"/>
  <c r="G1362" i="2" s="1"/>
  <c r="F1361" i="2"/>
  <c r="G1361" i="2" s="1"/>
  <c r="F1360" i="2"/>
  <c r="G1360" i="2"/>
  <c r="F1359" i="2"/>
  <c r="G1359" i="2" s="1"/>
  <c r="F1358" i="2"/>
  <c r="G1358" i="2" s="1"/>
  <c r="H1112" i="1" s="1"/>
  <c r="F1357" i="2"/>
  <c r="G1357" i="2" s="1"/>
  <c r="F1356" i="2"/>
  <c r="G1356" i="2" s="1"/>
  <c r="F1355" i="2"/>
  <c r="G1355" i="2" s="1"/>
  <c r="F1354" i="2"/>
  <c r="G1354" i="2" s="1"/>
  <c r="F1353" i="2"/>
  <c r="G1353" i="2" s="1"/>
  <c r="F1352" i="2"/>
  <c r="G1352" i="2" s="1"/>
  <c r="F1351" i="2"/>
  <c r="G1351" i="2" s="1"/>
  <c r="F1350" i="2"/>
  <c r="G1350" i="2" s="1"/>
  <c r="F1349" i="2"/>
  <c r="G1349" i="2" s="1"/>
  <c r="F1348" i="2"/>
  <c r="G1348" i="2" s="1"/>
  <c r="F1347" i="2"/>
  <c r="G1347" i="2" s="1"/>
  <c r="F1346" i="2"/>
  <c r="G1346" i="2"/>
  <c r="F1345" i="2"/>
  <c r="G1345" i="2" s="1"/>
  <c r="F1344" i="2"/>
  <c r="G1344" i="2" s="1"/>
  <c r="F1343" i="2"/>
  <c r="G1343" i="2" s="1"/>
  <c r="F1342" i="2"/>
  <c r="G1342" i="2" s="1"/>
  <c r="F1341" i="2"/>
  <c r="G1341" i="2" s="1"/>
  <c r="F1340" i="2"/>
  <c r="G1340" i="2" s="1"/>
  <c r="F1339" i="2"/>
  <c r="G1339" i="2" s="1"/>
  <c r="F1338" i="2"/>
  <c r="G1338" i="2" s="1"/>
  <c r="F1337" i="2"/>
  <c r="G1337" i="2" s="1"/>
  <c r="F1336" i="2"/>
  <c r="G1336" i="2" s="1"/>
  <c r="F1335" i="2"/>
  <c r="G1335" i="2" s="1"/>
  <c r="F1334" i="2"/>
  <c r="G1334" i="2" s="1"/>
  <c r="F1333" i="2"/>
  <c r="G1333" i="2" s="1"/>
  <c r="F1332" i="2"/>
  <c r="G1332" i="2" s="1"/>
  <c r="F1331" i="2"/>
  <c r="G1331" i="2" s="1"/>
  <c r="F1330" i="2"/>
  <c r="G1330" i="2" s="1"/>
  <c r="F1329" i="2"/>
  <c r="G1329" i="2" s="1"/>
  <c r="F1328" i="2"/>
  <c r="G1328" i="2" s="1"/>
  <c r="F1327" i="2"/>
  <c r="G1327" i="2" s="1"/>
  <c r="F1326" i="2"/>
  <c r="G1326" i="2" s="1"/>
  <c r="F1325" i="2"/>
  <c r="G1325" i="2" s="1"/>
  <c r="F1324" i="2"/>
  <c r="G1324" i="2" s="1"/>
  <c r="F1323" i="2"/>
  <c r="G1323" i="2" s="1"/>
  <c r="F1322" i="2"/>
  <c r="G1322" i="2" s="1"/>
  <c r="F1321" i="2"/>
  <c r="G1321" i="2" s="1"/>
  <c r="F1320" i="2"/>
  <c r="G1320" i="2" s="1"/>
  <c r="F1319" i="2"/>
  <c r="G1319" i="2" s="1"/>
  <c r="F1318" i="2"/>
  <c r="G1318" i="2" s="1"/>
  <c r="F1317" i="2"/>
  <c r="G1317" i="2" s="1"/>
  <c r="F1316" i="2"/>
  <c r="G1316" i="2" s="1"/>
  <c r="F1315" i="2"/>
  <c r="G1315" i="2" s="1"/>
  <c r="F1314" i="2"/>
  <c r="G1314" i="2" s="1"/>
  <c r="F1313" i="2"/>
  <c r="G1313" i="2" s="1"/>
  <c r="F1312" i="2"/>
  <c r="G1312" i="2" s="1"/>
  <c r="F1311" i="2"/>
  <c r="G1311" i="2" s="1"/>
  <c r="F1310" i="2"/>
  <c r="G1310" i="2" s="1"/>
  <c r="F1309" i="2"/>
  <c r="G1309" i="2" s="1"/>
  <c r="F1308" i="2"/>
  <c r="G1308" i="2" s="1"/>
  <c r="F1307" i="2"/>
  <c r="G1307" i="2" s="1"/>
  <c r="F1306" i="2"/>
  <c r="G1306" i="2" s="1"/>
  <c r="F1305" i="2"/>
  <c r="G1305" i="2" s="1"/>
  <c r="F1304" i="2"/>
  <c r="G1304" i="2" s="1"/>
  <c r="F1303" i="2"/>
  <c r="G1303" i="2" s="1"/>
  <c r="F1302" i="2"/>
  <c r="G1302" i="2" s="1"/>
  <c r="F1301" i="2"/>
  <c r="G1301" i="2" s="1"/>
  <c r="F1300" i="2"/>
  <c r="G1300" i="2" s="1"/>
  <c r="F1299" i="2"/>
  <c r="G1299" i="2" s="1"/>
  <c r="F1298" i="2"/>
  <c r="G1298" i="2" s="1"/>
  <c r="F1297" i="2"/>
  <c r="G1297" i="2" s="1"/>
  <c r="F1296" i="2"/>
  <c r="G1296" i="2" s="1"/>
  <c r="F1295" i="2"/>
  <c r="G1295" i="2" s="1"/>
  <c r="F1294" i="2"/>
  <c r="G1294" i="2" s="1"/>
  <c r="F1293" i="2"/>
  <c r="G1293" i="2" s="1"/>
  <c r="F1292" i="2"/>
  <c r="G1292" i="2" s="1"/>
  <c r="F1291" i="2"/>
  <c r="G1291" i="2" s="1"/>
  <c r="F1290" i="2"/>
  <c r="G1290" i="2" s="1"/>
  <c r="F1289" i="2"/>
  <c r="G1289" i="2" s="1"/>
  <c r="F1288" i="2"/>
  <c r="G1288" i="2" s="1"/>
  <c r="F1287" i="2"/>
  <c r="G1287" i="2" s="1"/>
  <c r="F1286" i="2"/>
  <c r="G1286" i="2" s="1"/>
  <c r="F1285" i="2"/>
  <c r="G1285" i="2" s="1"/>
  <c r="F1284" i="2"/>
  <c r="G1284" i="2" s="1"/>
  <c r="F1283" i="2"/>
  <c r="G1283" i="2" s="1"/>
  <c r="F1282" i="2"/>
  <c r="G1282" i="2" s="1"/>
  <c r="F1281" i="2"/>
  <c r="G1281" i="2" s="1"/>
  <c r="F1280" i="2"/>
  <c r="G1280" i="2" s="1"/>
  <c r="F1279" i="2"/>
  <c r="G1279" i="2" s="1"/>
  <c r="F1278" i="2"/>
  <c r="G1278" i="2" s="1"/>
  <c r="F1277" i="2"/>
  <c r="G1277" i="2" s="1"/>
  <c r="F1276" i="2"/>
  <c r="G1276" i="2" s="1"/>
  <c r="F1275" i="2"/>
  <c r="G1275" i="2" s="1"/>
  <c r="F1274" i="2"/>
  <c r="G1274" i="2" s="1"/>
  <c r="F1273" i="2"/>
  <c r="G1273" i="2" s="1"/>
  <c r="F1272" i="2"/>
  <c r="G1272" i="2" s="1"/>
  <c r="F1271" i="2"/>
  <c r="G1271" i="2" s="1"/>
  <c r="F1270" i="2"/>
  <c r="G1270" i="2" s="1"/>
  <c r="F1269" i="2"/>
  <c r="G1269" i="2" s="1"/>
  <c r="F1268" i="2"/>
  <c r="G1268" i="2" s="1"/>
  <c r="F1267" i="2"/>
  <c r="G1267" i="2" s="1"/>
  <c r="F1266" i="2"/>
  <c r="G1266" i="2" s="1"/>
  <c r="F1265" i="2"/>
  <c r="G1265" i="2" s="1"/>
  <c r="F1264" i="2"/>
  <c r="G1264" i="2" s="1"/>
  <c r="F1263" i="2"/>
  <c r="G1263" i="2" s="1"/>
  <c r="F1262" i="2"/>
  <c r="G1262" i="2" s="1"/>
  <c r="F1261" i="2"/>
  <c r="G1261" i="2" s="1"/>
  <c r="F1260" i="2"/>
  <c r="G1260" i="2" s="1"/>
  <c r="F1259" i="2"/>
  <c r="G1259" i="2" s="1"/>
  <c r="F1258" i="2"/>
  <c r="G1258" i="2" s="1"/>
  <c r="F1257" i="2"/>
  <c r="G1257" i="2" s="1"/>
  <c r="F1256" i="2"/>
  <c r="G1256" i="2" s="1"/>
  <c r="F1255" i="2"/>
  <c r="G1255" i="2" s="1"/>
  <c r="F1254" i="2"/>
  <c r="G1254" i="2" s="1"/>
  <c r="F1253" i="2"/>
  <c r="G1253" i="2" s="1"/>
  <c r="F1252" i="2"/>
  <c r="G1252" i="2" s="1"/>
  <c r="F1251" i="2"/>
  <c r="G1251" i="2" s="1"/>
  <c r="F1250" i="2"/>
  <c r="G1250" i="2" s="1"/>
  <c r="F1249" i="2"/>
  <c r="G1249" i="2" s="1"/>
  <c r="F1248" i="2"/>
  <c r="G1248" i="2" s="1"/>
  <c r="F1247" i="2"/>
  <c r="G1247" i="2" s="1"/>
  <c r="F1246" i="2"/>
  <c r="G1246" i="2" s="1"/>
  <c r="F1245" i="2"/>
  <c r="G1245" i="2" s="1"/>
  <c r="F1244" i="2"/>
  <c r="G1244" i="2" s="1"/>
  <c r="F1243" i="2"/>
  <c r="G1243" i="2" s="1"/>
  <c r="F1242" i="2"/>
  <c r="G1242" i="2" s="1"/>
  <c r="F1241" i="2"/>
  <c r="G1241" i="2" s="1"/>
  <c r="F1240" i="2"/>
  <c r="G1240" i="2" s="1"/>
  <c r="F1239" i="2"/>
  <c r="G1239" i="2" s="1"/>
  <c r="F1238" i="2"/>
  <c r="G1238" i="2" s="1"/>
  <c r="F1237" i="2"/>
  <c r="G1237" i="2" s="1"/>
  <c r="F1236" i="2"/>
  <c r="G1236" i="2" s="1"/>
  <c r="F1235" i="2"/>
  <c r="G1235" i="2" s="1"/>
  <c r="F1234" i="2"/>
  <c r="G1234" i="2" s="1"/>
  <c r="F1233" i="2"/>
  <c r="G1233" i="2" s="1"/>
  <c r="F1232" i="2"/>
  <c r="G1232" i="2" s="1"/>
  <c r="F1231" i="2"/>
  <c r="G1231" i="2" s="1"/>
  <c r="F1230" i="2"/>
  <c r="G1230" i="2" s="1"/>
  <c r="F1229" i="2"/>
  <c r="G1229" i="2" s="1"/>
  <c r="F1228" i="2"/>
  <c r="G1228" i="2" s="1"/>
  <c r="F1227" i="2"/>
  <c r="G1227" i="2" s="1"/>
  <c r="F1226" i="2"/>
  <c r="G1226" i="2" s="1"/>
  <c r="F1225" i="2"/>
  <c r="G1225" i="2" s="1"/>
  <c r="F1224" i="2"/>
  <c r="G1224" i="2" s="1"/>
  <c r="F1223" i="2"/>
  <c r="G1223" i="2" s="1"/>
  <c r="F1222" i="2"/>
  <c r="G1222" i="2" s="1"/>
  <c r="F1221" i="2"/>
  <c r="G1221" i="2" s="1"/>
  <c r="F1220" i="2"/>
  <c r="G1220" i="2" s="1"/>
  <c r="F1219" i="2"/>
  <c r="G1219" i="2" s="1"/>
  <c r="F1218" i="2"/>
  <c r="G1218" i="2" s="1"/>
  <c r="F1217" i="2"/>
  <c r="G1217" i="2" s="1"/>
  <c r="F1216" i="2"/>
  <c r="G1216" i="2" s="1"/>
  <c r="F1215" i="2"/>
  <c r="G1215" i="2" s="1"/>
  <c r="F1214" i="2"/>
  <c r="G1214" i="2" s="1"/>
  <c r="F1213" i="2"/>
  <c r="G1213" i="2" s="1"/>
  <c r="F1212" i="2"/>
  <c r="G1212" i="2" s="1"/>
  <c r="F1211" i="2"/>
  <c r="G1211" i="2" s="1"/>
  <c r="F1210" i="2"/>
  <c r="G1210" i="2" s="1"/>
  <c r="F1209" i="2"/>
  <c r="G1209" i="2" s="1"/>
  <c r="F1208" i="2"/>
  <c r="G1208" i="2" s="1"/>
  <c r="F1207" i="2"/>
  <c r="G1207" i="2" s="1"/>
  <c r="F1206" i="2"/>
  <c r="G1206" i="2" s="1"/>
  <c r="F1205" i="2"/>
  <c r="G1205" i="2" s="1"/>
  <c r="F1204" i="2"/>
  <c r="G1204" i="2" s="1"/>
  <c r="F1203" i="2"/>
  <c r="G1203" i="2" s="1"/>
  <c r="F1202" i="2"/>
  <c r="G1202" i="2" s="1"/>
  <c r="F1201" i="2"/>
  <c r="G1201" i="2" s="1"/>
  <c r="F1200" i="2"/>
  <c r="G1200" i="2" s="1"/>
  <c r="F1199" i="2"/>
  <c r="G1199" i="2" s="1"/>
  <c r="F1198" i="2"/>
  <c r="G1198" i="2" s="1"/>
  <c r="F1197" i="2"/>
  <c r="G1197" i="2" s="1"/>
  <c r="F1196" i="2"/>
  <c r="G1196" i="2" s="1"/>
  <c r="F1195" i="2"/>
  <c r="G1195" i="2" s="1"/>
  <c r="F1194" i="2"/>
  <c r="G1194" i="2" s="1"/>
  <c r="F1193" i="2"/>
  <c r="G1193" i="2" s="1"/>
  <c r="F1192" i="2"/>
  <c r="G1192" i="2" s="1"/>
  <c r="F1191" i="2"/>
  <c r="G1191" i="2" s="1"/>
  <c r="F1190" i="2"/>
  <c r="G1190" i="2" s="1"/>
  <c r="F1189" i="2"/>
  <c r="G1189" i="2" s="1"/>
  <c r="F1188" i="2"/>
  <c r="G1188" i="2" s="1"/>
  <c r="F1187" i="2"/>
  <c r="G1187" i="2" s="1"/>
  <c r="F1186" i="2"/>
  <c r="G1186" i="2" s="1"/>
  <c r="F1185" i="2"/>
  <c r="G1185" i="2" s="1"/>
  <c r="F1184" i="2"/>
  <c r="G1184" i="2"/>
  <c r="F1183" i="2"/>
  <c r="G1183" i="2" s="1"/>
  <c r="F1182" i="2"/>
  <c r="G1182" i="2" s="1"/>
  <c r="F1181" i="2"/>
  <c r="G1181" i="2" s="1"/>
  <c r="F1180" i="2"/>
  <c r="G1180" i="2" s="1"/>
  <c r="F1179" i="2"/>
  <c r="G1179" i="2" s="1"/>
  <c r="F1178" i="2"/>
  <c r="G1178" i="2" s="1"/>
  <c r="F1177" i="2"/>
  <c r="G1177" i="2" s="1"/>
  <c r="F1176" i="2"/>
  <c r="G1176" i="2" s="1"/>
  <c r="F1175" i="2"/>
  <c r="G1175" i="2" s="1"/>
  <c r="F1174" i="2"/>
  <c r="G1174" i="2" s="1"/>
  <c r="F1173" i="2"/>
  <c r="G1173" i="2" s="1"/>
  <c r="F1172" i="2"/>
  <c r="G1172" i="2" s="1"/>
  <c r="F1171" i="2"/>
  <c r="G1171" i="2" s="1"/>
  <c r="F1170" i="2"/>
  <c r="G1170" i="2" s="1"/>
  <c r="F1169" i="2"/>
  <c r="G1169" i="2" s="1"/>
  <c r="F1168" i="2"/>
  <c r="G1168" i="2" s="1"/>
  <c r="F1167" i="2"/>
  <c r="G1167" i="2" s="1"/>
  <c r="F1166" i="2"/>
  <c r="G1166" i="2" s="1"/>
  <c r="F1165" i="2"/>
  <c r="G1165" i="2" s="1"/>
  <c r="F1164" i="2"/>
  <c r="G1164" i="2" s="1"/>
  <c r="F1163" i="2"/>
  <c r="G1163" i="2" s="1"/>
  <c r="F1162" i="2"/>
  <c r="G1162" i="2" s="1"/>
  <c r="F1161" i="2"/>
  <c r="G1161" i="2" s="1"/>
  <c r="F1160" i="2"/>
  <c r="G1160" i="2" s="1"/>
  <c r="F1159" i="2"/>
  <c r="G1159" i="2" s="1"/>
  <c r="F1158" i="2"/>
  <c r="G1158" i="2" s="1"/>
  <c r="F1157" i="2"/>
  <c r="G1157" i="2" s="1"/>
  <c r="F1156" i="2"/>
  <c r="G1156" i="2" s="1"/>
  <c r="F1155" i="2"/>
  <c r="G1155" i="2" s="1"/>
  <c r="F1154" i="2"/>
  <c r="G1154" i="2" s="1"/>
  <c r="F1153" i="2"/>
  <c r="G1153" i="2" s="1"/>
  <c r="F1152" i="2"/>
  <c r="G1152" i="2" s="1"/>
  <c r="F1151" i="2"/>
  <c r="G1151" i="2" s="1"/>
  <c r="F1150" i="2"/>
  <c r="G1150" i="2" s="1"/>
  <c r="F1149" i="2"/>
  <c r="G1149" i="2" s="1"/>
  <c r="F1148" i="2"/>
  <c r="G1148" i="2" s="1"/>
  <c r="F1147" i="2"/>
  <c r="G1147" i="2" s="1"/>
  <c r="F1146" i="2"/>
  <c r="G1146" i="2" s="1"/>
  <c r="F1145" i="2"/>
  <c r="G1145" i="2" s="1"/>
  <c r="F1144" i="2"/>
  <c r="G1144" i="2" s="1"/>
  <c r="F1143" i="2"/>
  <c r="G1143" i="2" s="1"/>
  <c r="F1142" i="2"/>
  <c r="G1142" i="2" s="1"/>
  <c r="F1141" i="2"/>
  <c r="G1141" i="2" s="1"/>
  <c r="F1140" i="2"/>
  <c r="G1140" i="2" s="1"/>
  <c r="F1139" i="2"/>
  <c r="G1139" i="2" s="1"/>
  <c r="F1138" i="2"/>
  <c r="G1138" i="2" s="1"/>
  <c r="F1137" i="2"/>
  <c r="G1137" i="2" s="1"/>
  <c r="F1136" i="2"/>
  <c r="G1136" i="2" s="1"/>
  <c r="F1135" i="2"/>
  <c r="G1135" i="2" s="1"/>
  <c r="F1134" i="2"/>
  <c r="G1134" i="2" s="1"/>
  <c r="F1133" i="2"/>
  <c r="G1133" i="2" s="1"/>
  <c r="F1132" i="2"/>
  <c r="G1132" i="2" s="1"/>
  <c r="F1131" i="2"/>
  <c r="G1131" i="2" s="1"/>
  <c r="F1130" i="2"/>
  <c r="G1130" i="2" s="1"/>
  <c r="F1129" i="2"/>
  <c r="G1129" i="2" s="1"/>
  <c r="F1128" i="2"/>
  <c r="G1128" i="2" s="1"/>
  <c r="F1127" i="2"/>
  <c r="G1127" i="2" s="1"/>
  <c r="F1126" i="2"/>
  <c r="G1126" i="2" s="1"/>
  <c r="F1125" i="2"/>
  <c r="G1125" i="2" s="1"/>
  <c r="F1124" i="2"/>
  <c r="G1124" i="2" s="1"/>
  <c r="F1123" i="2"/>
  <c r="G1123" i="2" s="1"/>
  <c r="F1122" i="2"/>
  <c r="G1122" i="2" s="1"/>
  <c r="F1121" i="2"/>
  <c r="G1121" i="2" s="1"/>
  <c r="F1120" i="2"/>
  <c r="G1120" i="2" s="1"/>
  <c r="F1119" i="2"/>
  <c r="G1119" i="2" s="1"/>
  <c r="F1118" i="2"/>
  <c r="G1118" i="2" s="1"/>
  <c r="F1117" i="2"/>
  <c r="G1117" i="2" s="1"/>
  <c r="F1116" i="2"/>
  <c r="G1116" i="2" s="1"/>
  <c r="F1115" i="2"/>
  <c r="G1115" i="2" s="1"/>
  <c r="F1114" i="2"/>
  <c r="G1114" i="2" s="1"/>
  <c r="F1113" i="2"/>
  <c r="G1113" i="2" s="1"/>
  <c r="F1112" i="2"/>
  <c r="G1112" i="2" s="1"/>
  <c r="F1111" i="2"/>
  <c r="G1111" i="2" s="1"/>
  <c r="F1110" i="2"/>
  <c r="G1110" i="2" s="1"/>
  <c r="F1109" i="2"/>
  <c r="G1109" i="2" s="1"/>
  <c r="F1108" i="2"/>
  <c r="G1108" i="2" s="1"/>
  <c r="F1107" i="2"/>
  <c r="G1107" i="2" s="1"/>
  <c r="F1106" i="2"/>
  <c r="G1106" i="2" s="1"/>
  <c r="F1105" i="2"/>
  <c r="G1105" i="2" s="1"/>
  <c r="F1104" i="2"/>
  <c r="G1104" i="2" s="1"/>
  <c r="F1103" i="2"/>
  <c r="G1103" i="2" s="1"/>
  <c r="F1102" i="2"/>
  <c r="G1102" i="2" s="1"/>
  <c r="F1101" i="2"/>
  <c r="G1101" i="2" s="1"/>
  <c r="F1100" i="2"/>
  <c r="G1100" i="2" s="1"/>
  <c r="F1099" i="2"/>
  <c r="G1099" i="2" s="1"/>
  <c r="F1098" i="2"/>
  <c r="G1098" i="2" s="1"/>
  <c r="F1097" i="2"/>
  <c r="G1097" i="2" s="1"/>
  <c r="F1096" i="2"/>
  <c r="G1096" i="2" s="1"/>
  <c r="F1095" i="2"/>
  <c r="G1095" i="2" s="1"/>
  <c r="F1094" i="2"/>
  <c r="G1094" i="2" s="1"/>
  <c r="F1093" i="2"/>
  <c r="G1093" i="2" s="1"/>
  <c r="F1092" i="2"/>
  <c r="G1092" i="2" s="1"/>
  <c r="F1091" i="2"/>
  <c r="G1091" i="2" s="1"/>
  <c r="F1090" i="2"/>
  <c r="G1090" i="2" s="1"/>
  <c r="F1089" i="2"/>
  <c r="G1089" i="2" s="1"/>
  <c r="F1088" i="2"/>
  <c r="G1088" i="2" s="1"/>
  <c r="F1087" i="2"/>
  <c r="G1087" i="2" s="1"/>
  <c r="F1086" i="2"/>
  <c r="G1086" i="2" s="1"/>
  <c r="F1085" i="2"/>
  <c r="G1085" i="2" s="1"/>
  <c r="F1084" i="2"/>
  <c r="G1084" i="2" s="1"/>
  <c r="F1083" i="2"/>
  <c r="G1083" i="2" s="1"/>
  <c r="F1082" i="2"/>
  <c r="G1082" i="2" s="1"/>
  <c r="F1081" i="2"/>
  <c r="G1081" i="2" s="1"/>
  <c r="F1080" i="2"/>
  <c r="G1080" i="2" s="1"/>
  <c r="F1079" i="2"/>
  <c r="G1079" i="2" s="1"/>
  <c r="F1078" i="2"/>
  <c r="G1078" i="2" s="1"/>
  <c r="F1077" i="2"/>
  <c r="G1077" i="2" s="1"/>
  <c r="F1076" i="2"/>
  <c r="G1076" i="2" s="1"/>
  <c r="F1075" i="2"/>
  <c r="G1075" i="2" s="1"/>
  <c r="F1074" i="2"/>
  <c r="G1074" i="2" s="1"/>
  <c r="F1073" i="2"/>
  <c r="G1073" i="2" s="1"/>
  <c r="F1072" i="2"/>
  <c r="G1072" i="2" s="1"/>
  <c r="F1071" i="2"/>
  <c r="G1071" i="2" s="1"/>
  <c r="F1070" i="2"/>
  <c r="G1070" i="2" s="1"/>
  <c r="F1069" i="2"/>
  <c r="G1069" i="2" s="1"/>
  <c r="F1068" i="2"/>
  <c r="G1068" i="2" s="1"/>
  <c r="F1067" i="2"/>
  <c r="G1067" i="2" s="1"/>
  <c r="F1066" i="2"/>
  <c r="G1066" i="2" s="1"/>
  <c r="F1065" i="2"/>
  <c r="G1065" i="2" s="1"/>
  <c r="F1064" i="2"/>
  <c r="G1064" i="2" s="1"/>
  <c r="F1063" i="2"/>
  <c r="G1063" i="2" s="1"/>
  <c r="F1062" i="2"/>
  <c r="G1062" i="2" s="1"/>
  <c r="F1061" i="2"/>
  <c r="G1061" i="2" s="1"/>
  <c r="F1060" i="2"/>
  <c r="G1060" i="2" s="1"/>
  <c r="F1059" i="2"/>
  <c r="G1059" i="2" s="1"/>
  <c r="F1058" i="2"/>
  <c r="G1058" i="2" s="1"/>
  <c r="F1057" i="2"/>
  <c r="G1057" i="2" s="1"/>
  <c r="F1056" i="2"/>
  <c r="G1056" i="2" s="1"/>
  <c r="F1055" i="2"/>
  <c r="G1055" i="2" s="1"/>
  <c r="F1054" i="2"/>
  <c r="G1054" i="2" s="1"/>
  <c r="F1053" i="2"/>
  <c r="G1053" i="2" s="1"/>
  <c r="F1052" i="2"/>
  <c r="G1052" i="2" s="1"/>
  <c r="F1051" i="2"/>
  <c r="G1051" i="2" s="1"/>
  <c r="F1050" i="2"/>
  <c r="G1050" i="2" s="1"/>
  <c r="F1049" i="2"/>
  <c r="G1049" i="2" s="1"/>
  <c r="F1048" i="2"/>
  <c r="G1048" i="2" s="1"/>
  <c r="F1047" i="2"/>
  <c r="G1047" i="2" s="1"/>
  <c r="F1046" i="2"/>
  <c r="G1046" i="2" s="1"/>
  <c r="F1045" i="2"/>
  <c r="G1045" i="2" s="1"/>
  <c r="F1044" i="2"/>
  <c r="G1044" i="2" s="1"/>
  <c r="F1043" i="2"/>
  <c r="G1043" i="2" s="1"/>
  <c r="F1042" i="2"/>
  <c r="G1042" i="2" s="1"/>
  <c r="F1041" i="2"/>
  <c r="G1041" i="2" s="1"/>
  <c r="F1040" i="2"/>
  <c r="G1040" i="2" s="1"/>
  <c r="F1039" i="2"/>
  <c r="G1039" i="2" s="1"/>
  <c r="F1038" i="2"/>
  <c r="G1038" i="2" s="1"/>
  <c r="F1037" i="2"/>
  <c r="G1037" i="2" s="1"/>
  <c r="F1036" i="2"/>
  <c r="G1036" i="2" s="1"/>
  <c r="F1035" i="2"/>
  <c r="G1035" i="2" s="1"/>
  <c r="F1034" i="2"/>
  <c r="G1034" i="2" s="1"/>
  <c r="F1033" i="2"/>
  <c r="G1033" i="2" s="1"/>
  <c r="F1032" i="2"/>
  <c r="G1032" i="2" s="1"/>
  <c r="F1031" i="2"/>
  <c r="G1031" i="2" s="1"/>
  <c r="F1030" i="2"/>
  <c r="G1030" i="2" s="1"/>
  <c r="F1029" i="2"/>
  <c r="G1029" i="2" s="1"/>
  <c r="F1028" i="2"/>
  <c r="G1028" i="2" s="1"/>
  <c r="F1027" i="2"/>
  <c r="G1027" i="2" s="1"/>
  <c r="F1026" i="2"/>
  <c r="G1026" i="2" s="1"/>
  <c r="F1025" i="2"/>
  <c r="G1025" i="2" s="1"/>
  <c r="F1024" i="2"/>
  <c r="G1024" i="2" s="1"/>
  <c r="F1023" i="2"/>
  <c r="G1023" i="2" s="1"/>
  <c r="F1022" i="2"/>
  <c r="G1022" i="2" s="1"/>
  <c r="F1021" i="2"/>
  <c r="G1021" i="2" s="1"/>
  <c r="F1020" i="2"/>
  <c r="G1020" i="2" s="1"/>
  <c r="F1019" i="2"/>
  <c r="G1019" i="2" s="1"/>
  <c r="F1018" i="2"/>
  <c r="G1018" i="2" s="1"/>
  <c r="F1017" i="2"/>
  <c r="G1017" i="2" s="1"/>
  <c r="F1016" i="2"/>
  <c r="G1016" i="2" s="1"/>
  <c r="F1015" i="2"/>
  <c r="G1015" i="2" s="1"/>
  <c r="F1014" i="2"/>
  <c r="G1014" i="2" s="1"/>
  <c r="F1013" i="2"/>
  <c r="G1013" i="2" s="1"/>
  <c r="F1012" i="2"/>
  <c r="G1012" i="2" s="1"/>
  <c r="F1011" i="2"/>
  <c r="G1011" i="2" s="1"/>
  <c r="F1010" i="2"/>
  <c r="G1010" i="2" s="1"/>
  <c r="F1009" i="2"/>
  <c r="G1009" i="2" s="1"/>
  <c r="F1008" i="2"/>
  <c r="G1008" i="2" s="1"/>
  <c r="F1007" i="2"/>
  <c r="G1007" i="2" s="1"/>
  <c r="F1006" i="2"/>
  <c r="G1006" i="2" s="1"/>
  <c r="F1005" i="2"/>
  <c r="G1005" i="2" s="1"/>
  <c r="F1004" i="2"/>
  <c r="G1004" i="2" s="1"/>
  <c r="F1003" i="2"/>
  <c r="G1003" i="2" s="1"/>
  <c r="F1002" i="2"/>
  <c r="G1002" i="2" s="1"/>
  <c r="F1001" i="2"/>
  <c r="G1001" i="2" s="1"/>
  <c r="F1000" i="2"/>
  <c r="G1000" i="2"/>
  <c r="F999" i="2"/>
  <c r="G999" i="2" s="1"/>
  <c r="F998" i="2"/>
  <c r="G998" i="2" s="1"/>
  <c r="F997" i="2"/>
  <c r="G997" i="2" s="1"/>
  <c r="F996" i="2"/>
  <c r="G996" i="2" s="1"/>
  <c r="F995" i="2"/>
  <c r="G995" i="2" s="1"/>
  <c r="F994" i="2"/>
  <c r="G994" i="2"/>
  <c r="F993" i="2"/>
  <c r="G993" i="2" s="1"/>
  <c r="F992" i="2"/>
  <c r="G992" i="2" s="1"/>
  <c r="F991" i="2"/>
  <c r="G991" i="2" s="1"/>
  <c r="F990" i="2"/>
  <c r="G990" i="2" s="1"/>
  <c r="F989" i="2"/>
  <c r="G989" i="2" s="1"/>
  <c r="F988" i="2"/>
  <c r="G988" i="2" s="1"/>
  <c r="F987" i="2"/>
  <c r="G987" i="2" s="1"/>
  <c r="F986" i="2"/>
  <c r="G986" i="2" s="1"/>
  <c r="F985" i="2"/>
  <c r="G985" i="2" s="1"/>
  <c r="F984" i="2"/>
  <c r="G984" i="2" s="1"/>
  <c r="F983" i="2"/>
  <c r="G983" i="2" s="1"/>
  <c r="F982" i="2"/>
  <c r="G982" i="2" s="1"/>
  <c r="F981" i="2"/>
  <c r="G981" i="2" s="1"/>
  <c r="F980" i="2"/>
  <c r="G980" i="2" s="1"/>
  <c r="F979" i="2"/>
  <c r="G979" i="2" s="1"/>
  <c r="F978" i="2"/>
  <c r="G978" i="2" s="1"/>
  <c r="F977" i="2"/>
  <c r="G977" i="2" s="1"/>
  <c r="F976" i="2"/>
  <c r="G976" i="2" s="1"/>
  <c r="F975" i="2"/>
  <c r="G975" i="2" s="1"/>
  <c r="F974" i="2"/>
  <c r="G974" i="2" s="1"/>
  <c r="F973" i="2"/>
  <c r="G973" i="2" s="1"/>
  <c r="F972" i="2"/>
  <c r="G972" i="2" s="1"/>
  <c r="F971" i="2"/>
  <c r="G971" i="2" s="1"/>
  <c r="F970" i="2"/>
  <c r="G970" i="2" s="1"/>
  <c r="F969" i="2"/>
  <c r="G969" i="2" s="1"/>
  <c r="F968" i="2"/>
  <c r="G968" i="2" s="1"/>
  <c r="F967" i="2"/>
  <c r="G967" i="2" s="1"/>
  <c r="F966" i="2"/>
  <c r="G966" i="2" s="1"/>
  <c r="F965" i="2"/>
  <c r="G965" i="2" s="1"/>
  <c r="F964" i="2"/>
  <c r="G964" i="2" s="1"/>
  <c r="F963" i="2"/>
  <c r="G963" i="2" s="1"/>
  <c r="F962" i="2"/>
  <c r="G962" i="2" s="1"/>
  <c r="F961" i="2"/>
  <c r="G961" i="2" s="1"/>
  <c r="F960" i="2"/>
  <c r="G960" i="2" s="1"/>
  <c r="F959" i="2"/>
  <c r="G959" i="2" s="1"/>
  <c r="F958" i="2"/>
  <c r="G958" i="2" s="1"/>
  <c r="F957" i="2"/>
  <c r="G957" i="2" s="1"/>
  <c r="F956" i="2"/>
  <c r="G956" i="2" s="1"/>
  <c r="F955" i="2"/>
  <c r="G955" i="2" s="1"/>
  <c r="F954" i="2"/>
  <c r="G954" i="2" s="1"/>
  <c r="F953" i="2"/>
  <c r="G953" i="2" s="1"/>
  <c r="F952" i="2"/>
  <c r="G952" i="2" s="1"/>
  <c r="F951" i="2"/>
  <c r="G951" i="2" s="1"/>
  <c r="F950" i="2"/>
  <c r="G950" i="2" s="1"/>
  <c r="F949" i="2"/>
  <c r="G949" i="2" s="1"/>
  <c r="F948" i="2"/>
  <c r="G948" i="2" s="1"/>
  <c r="F947" i="2"/>
  <c r="G947" i="2" s="1"/>
  <c r="F946" i="2"/>
  <c r="G946" i="2" s="1"/>
  <c r="F945" i="2"/>
  <c r="G945" i="2" s="1"/>
  <c r="F944" i="2"/>
  <c r="G944" i="2" s="1"/>
  <c r="F943" i="2"/>
  <c r="G943" i="2" s="1"/>
  <c r="F942" i="2"/>
  <c r="G942" i="2" s="1"/>
  <c r="F941" i="2"/>
  <c r="G941" i="2" s="1"/>
  <c r="F940" i="2"/>
  <c r="G940" i="2" s="1"/>
  <c r="F939" i="2"/>
  <c r="G939" i="2" s="1"/>
  <c r="F938" i="2"/>
  <c r="G938" i="2" s="1"/>
  <c r="F937" i="2"/>
  <c r="G937" i="2" s="1"/>
  <c r="F936" i="2"/>
  <c r="G936" i="2" s="1"/>
  <c r="F935" i="2"/>
  <c r="G935" i="2" s="1"/>
  <c r="F934" i="2"/>
  <c r="G934" i="2" s="1"/>
  <c r="F933" i="2"/>
  <c r="G933" i="2" s="1"/>
  <c r="F932" i="2"/>
  <c r="G932" i="2" s="1"/>
  <c r="F931" i="2"/>
  <c r="G931" i="2" s="1"/>
  <c r="F930" i="2"/>
  <c r="G930" i="2" s="1"/>
  <c r="F929" i="2"/>
  <c r="G929" i="2" s="1"/>
  <c r="F928" i="2"/>
  <c r="G928" i="2" s="1"/>
  <c r="F927" i="2"/>
  <c r="G927" i="2" s="1"/>
  <c r="F926" i="2"/>
  <c r="G926" i="2" s="1"/>
  <c r="F925" i="2"/>
  <c r="G925" i="2" s="1"/>
  <c r="F924" i="2"/>
  <c r="G924" i="2" s="1"/>
  <c r="F923" i="2"/>
  <c r="G923" i="2" s="1"/>
  <c r="F922" i="2"/>
  <c r="G922" i="2" s="1"/>
  <c r="F921" i="2"/>
  <c r="G921" i="2" s="1"/>
  <c r="F920" i="2"/>
  <c r="G920" i="2" s="1"/>
  <c r="F919" i="2"/>
  <c r="G919" i="2" s="1"/>
  <c r="F918" i="2"/>
  <c r="G918" i="2" s="1"/>
  <c r="F917" i="2"/>
  <c r="G917" i="2" s="1"/>
  <c r="F916" i="2"/>
  <c r="G916" i="2" s="1"/>
  <c r="F915" i="2"/>
  <c r="G915" i="2" s="1"/>
  <c r="F914" i="2"/>
  <c r="G914" i="2" s="1"/>
  <c r="F913" i="2"/>
  <c r="G913" i="2" s="1"/>
  <c r="F912" i="2"/>
  <c r="G912" i="2" s="1"/>
  <c r="F911" i="2"/>
  <c r="G911" i="2" s="1"/>
  <c r="F910" i="2"/>
  <c r="G910" i="2" s="1"/>
  <c r="F909" i="2"/>
  <c r="G909" i="2" s="1"/>
  <c r="F908" i="2"/>
  <c r="G908" i="2" s="1"/>
  <c r="F907" i="2"/>
  <c r="G907" i="2" s="1"/>
  <c r="F906" i="2"/>
  <c r="G906" i="2" s="1"/>
  <c r="F905" i="2"/>
  <c r="G905" i="2" s="1"/>
  <c r="F904" i="2"/>
  <c r="G904" i="2" s="1"/>
  <c r="F903" i="2"/>
  <c r="G903" i="2" s="1"/>
  <c r="F902" i="2"/>
  <c r="G902" i="2" s="1"/>
  <c r="F901" i="2"/>
  <c r="G901" i="2" s="1"/>
  <c r="F900" i="2"/>
  <c r="G900" i="2" s="1"/>
  <c r="F899" i="2"/>
  <c r="G899" i="2" s="1"/>
  <c r="F898" i="2"/>
  <c r="G898" i="2" s="1"/>
  <c r="F897" i="2"/>
  <c r="G897" i="2" s="1"/>
  <c r="F896" i="2"/>
  <c r="G896" i="2" s="1"/>
  <c r="F895" i="2"/>
  <c r="G895" i="2" s="1"/>
  <c r="F894" i="2"/>
  <c r="G894" i="2" s="1"/>
  <c r="F893" i="2"/>
  <c r="G893" i="2" s="1"/>
  <c r="F892" i="2"/>
  <c r="G892" i="2" s="1"/>
  <c r="F891" i="2"/>
  <c r="G891" i="2" s="1"/>
  <c r="F890" i="2"/>
  <c r="G890" i="2" s="1"/>
  <c r="F889" i="2"/>
  <c r="G889" i="2" s="1"/>
  <c r="F888" i="2"/>
  <c r="G888" i="2" s="1"/>
  <c r="F887" i="2"/>
  <c r="G887" i="2" s="1"/>
  <c r="F886" i="2"/>
  <c r="G886" i="2" s="1"/>
  <c r="F885" i="2"/>
  <c r="G885" i="2" s="1"/>
  <c r="F884" i="2"/>
  <c r="G884" i="2" s="1"/>
  <c r="F883" i="2"/>
  <c r="G883" i="2" s="1"/>
  <c r="F882" i="2"/>
  <c r="G882" i="2" s="1"/>
  <c r="F881" i="2"/>
  <c r="G881" i="2" s="1"/>
  <c r="F880" i="2"/>
  <c r="G880" i="2" s="1"/>
  <c r="F879" i="2"/>
  <c r="G879" i="2" s="1"/>
  <c r="F878" i="2"/>
  <c r="G878" i="2" s="1"/>
  <c r="F877" i="2"/>
  <c r="G877" i="2" s="1"/>
  <c r="F876" i="2"/>
  <c r="G876" i="2" s="1"/>
  <c r="F875" i="2"/>
  <c r="G875" i="2" s="1"/>
  <c r="F874" i="2"/>
  <c r="G874" i="2" s="1"/>
  <c r="F873" i="2"/>
  <c r="G873" i="2" s="1"/>
  <c r="F872" i="2"/>
  <c r="G872" i="2" s="1"/>
  <c r="F871" i="2"/>
  <c r="G871" i="2" s="1"/>
  <c r="F870" i="2"/>
  <c r="G870" i="2" s="1"/>
  <c r="F869" i="2"/>
  <c r="G869" i="2" s="1"/>
  <c r="F868" i="2"/>
  <c r="G868" i="2" s="1"/>
  <c r="F867" i="2"/>
  <c r="G867" i="2" s="1"/>
  <c r="F866" i="2"/>
  <c r="G866" i="2" s="1"/>
  <c r="F865" i="2"/>
  <c r="G865" i="2" s="1"/>
  <c r="F864" i="2"/>
  <c r="G864" i="2" s="1"/>
  <c r="F863" i="2"/>
  <c r="G863" i="2" s="1"/>
  <c r="F862" i="2"/>
  <c r="G862" i="2" s="1"/>
  <c r="F861" i="2"/>
  <c r="G861" i="2" s="1"/>
  <c r="F860" i="2"/>
  <c r="G860" i="2" s="1"/>
  <c r="F859" i="2"/>
  <c r="G859" i="2" s="1"/>
  <c r="F858" i="2"/>
  <c r="G858" i="2" s="1"/>
  <c r="F857" i="2"/>
  <c r="G857" i="2" s="1"/>
  <c r="F856" i="2"/>
  <c r="G856" i="2" s="1"/>
  <c r="F855" i="2"/>
  <c r="G855" i="2" s="1"/>
  <c r="F854" i="2"/>
  <c r="G854" i="2" s="1"/>
  <c r="F853" i="2"/>
  <c r="G853" i="2" s="1"/>
  <c r="F852" i="2"/>
  <c r="G852" i="2" s="1"/>
  <c r="F851" i="2"/>
  <c r="G851" i="2" s="1"/>
  <c r="F850" i="2"/>
  <c r="G850" i="2" s="1"/>
  <c r="F849" i="2"/>
  <c r="G849" i="2" s="1"/>
  <c r="F848" i="2"/>
  <c r="G848" i="2" s="1"/>
  <c r="F847" i="2"/>
  <c r="G847" i="2" s="1"/>
  <c r="F846" i="2"/>
  <c r="G846" i="2" s="1"/>
  <c r="F845" i="2"/>
  <c r="G845" i="2" s="1"/>
  <c r="F844" i="2"/>
  <c r="G844" i="2" s="1"/>
  <c r="F843" i="2"/>
  <c r="G843" i="2" s="1"/>
  <c r="F842" i="2"/>
  <c r="G842" i="2" s="1"/>
  <c r="F841" i="2"/>
  <c r="G841" i="2" s="1"/>
  <c r="F840" i="2"/>
  <c r="G840" i="2" s="1"/>
  <c r="F839" i="2"/>
  <c r="G839" i="2" s="1"/>
  <c r="F838" i="2"/>
  <c r="G838" i="2" s="1"/>
  <c r="F837" i="2"/>
  <c r="G837" i="2" s="1"/>
  <c r="F836" i="2"/>
  <c r="G836" i="2" s="1"/>
  <c r="F835" i="2"/>
  <c r="G835" i="2" s="1"/>
  <c r="F834" i="2"/>
  <c r="G834" i="2" s="1"/>
  <c r="F833" i="2"/>
  <c r="G833" i="2" s="1"/>
  <c r="F832" i="2"/>
  <c r="G832" i="2" s="1"/>
  <c r="F831" i="2"/>
  <c r="G831" i="2" s="1"/>
  <c r="F830" i="2"/>
  <c r="G830" i="2" s="1"/>
  <c r="F829" i="2"/>
  <c r="G829" i="2" s="1"/>
  <c r="F828" i="2"/>
  <c r="G828" i="2" s="1"/>
  <c r="F827" i="2"/>
  <c r="G827" i="2" s="1"/>
  <c r="F826" i="2"/>
  <c r="G826" i="2" s="1"/>
  <c r="F825" i="2"/>
  <c r="G825" i="2" s="1"/>
  <c r="F824" i="2"/>
  <c r="G824" i="2" s="1"/>
  <c r="F823" i="2"/>
  <c r="G823" i="2" s="1"/>
  <c r="F822" i="2"/>
  <c r="G822" i="2" s="1"/>
  <c r="F821" i="2"/>
  <c r="G821" i="2" s="1"/>
  <c r="F820" i="2"/>
  <c r="G820" i="2" s="1"/>
  <c r="F819" i="2"/>
  <c r="G819" i="2" s="1"/>
  <c r="F818" i="2"/>
  <c r="G818" i="2" s="1"/>
  <c r="F817" i="2"/>
  <c r="G817" i="2" s="1"/>
  <c r="F816" i="2"/>
  <c r="G816" i="2" s="1"/>
  <c r="F815" i="2"/>
  <c r="G815" i="2" s="1"/>
  <c r="F814" i="2"/>
  <c r="G814" i="2" s="1"/>
  <c r="F813" i="2"/>
  <c r="G813" i="2" s="1"/>
  <c r="F812" i="2"/>
  <c r="G812" i="2" s="1"/>
  <c r="F811" i="2"/>
  <c r="G811" i="2" s="1"/>
  <c r="F810" i="2"/>
  <c r="G810" i="2" s="1"/>
  <c r="F809" i="2"/>
  <c r="G809" i="2" s="1"/>
  <c r="F808" i="2"/>
  <c r="G808" i="2" s="1"/>
  <c r="F807" i="2"/>
  <c r="G807" i="2" s="1"/>
  <c r="F806" i="2"/>
  <c r="G806" i="2" s="1"/>
  <c r="F805" i="2"/>
  <c r="G805" i="2" s="1"/>
  <c r="F804" i="2"/>
  <c r="G804" i="2" s="1"/>
  <c r="F803" i="2"/>
  <c r="G803" i="2" s="1"/>
  <c r="F802" i="2"/>
  <c r="G802" i="2" s="1"/>
  <c r="F801" i="2"/>
  <c r="G801" i="2" s="1"/>
  <c r="F800" i="2"/>
  <c r="G800" i="2" s="1"/>
  <c r="F799" i="2"/>
  <c r="G799" i="2" s="1"/>
  <c r="F798" i="2"/>
  <c r="G798" i="2" s="1"/>
  <c r="F797" i="2"/>
  <c r="G797" i="2" s="1"/>
  <c r="F796" i="2"/>
  <c r="G796" i="2" s="1"/>
  <c r="F795" i="2"/>
  <c r="G795" i="2" s="1"/>
  <c r="F794" i="2"/>
  <c r="G794" i="2" s="1"/>
  <c r="F793" i="2"/>
  <c r="G793" i="2" s="1"/>
  <c r="F792" i="2"/>
  <c r="G792" i="2" s="1"/>
  <c r="F791" i="2"/>
  <c r="G791" i="2" s="1"/>
  <c r="F790" i="2"/>
  <c r="G790" i="2" s="1"/>
  <c r="F789" i="2"/>
  <c r="G789" i="2" s="1"/>
  <c r="F788" i="2"/>
  <c r="G788" i="2" s="1"/>
  <c r="F787" i="2"/>
  <c r="G787" i="2" s="1"/>
  <c r="F786" i="2"/>
  <c r="G786" i="2" s="1"/>
  <c r="F785" i="2"/>
  <c r="G785" i="2" s="1"/>
  <c r="F784" i="2"/>
  <c r="G784" i="2" s="1"/>
  <c r="F783" i="2"/>
  <c r="G783" i="2" s="1"/>
  <c r="F782" i="2"/>
  <c r="G782" i="2" s="1"/>
  <c r="F781" i="2"/>
  <c r="G781" i="2" s="1"/>
  <c r="F780" i="2"/>
  <c r="G780" i="2" s="1"/>
  <c r="F779" i="2"/>
  <c r="G779" i="2" s="1"/>
  <c r="F778" i="2"/>
  <c r="G778" i="2" s="1"/>
  <c r="F777" i="2"/>
  <c r="G777" i="2" s="1"/>
  <c r="F776" i="2"/>
  <c r="G776" i="2" s="1"/>
  <c r="F775" i="2"/>
  <c r="G775" i="2" s="1"/>
  <c r="F774" i="2"/>
  <c r="G774" i="2" s="1"/>
  <c r="F773" i="2"/>
  <c r="G773" i="2" s="1"/>
  <c r="F772" i="2"/>
  <c r="G772" i="2" s="1"/>
  <c r="F771" i="2"/>
  <c r="G771" i="2" s="1"/>
  <c r="F770" i="2"/>
  <c r="G770" i="2" s="1"/>
  <c r="F769" i="2"/>
  <c r="G769" i="2" s="1"/>
  <c r="F768" i="2"/>
  <c r="G768" i="2" s="1"/>
  <c r="F767" i="2"/>
  <c r="G767" i="2" s="1"/>
  <c r="F766" i="2"/>
  <c r="G766" i="2" s="1"/>
  <c r="F765" i="2"/>
  <c r="G765" i="2" s="1"/>
  <c r="F764" i="2"/>
  <c r="G764" i="2" s="1"/>
  <c r="F763" i="2"/>
  <c r="G763" i="2" s="1"/>
  <c r="F762" i="2"/>
  <c r="G762" i="2" s="1"/>
  <c r="F761" i="2"/>
  <c r="G761" i="2" s="1"/>
  <c r="F760" i="2"/>
  <c r="G760" i="2" s="1"/>
  <c r="F759" i="2"/>
  <c r="G759" i="2" s="1"/>
  <c r="F758" i="2"/>
  <c r="G758" i="2" s="1"/>
  <c r="F757" i="2"/>
  <c r="G757" i="2" s="1"/>
  <c r="F756" i="2"/>
  <c r="G756" i="2" s="1"/>
  <c r="F755" i="2"/>
  <c r="G755" i="2" s="1"/>
  <c r="F754" i="2"/>
  <c r="G754" i="2" s="1"/>
  <c r="F753" i="2"/>
  <c r="G753" i="2" s="1"/>
  <c r="F752" i="2"/>
  <c r="G752" i="2" s="1"/>
  <c r="F751" i="2"/>
  <c r="G751" i="2" s="1"/>
  <c r="F750" i="2"/>
  <c r="G750" i="2" s="1"/>
  <c r="F749" i="2"/>
  <c r="G749" i="2" s="1"/>
  <c r="F748" i="2"/>
  <c r="G748" i="2" s="1"/>
  <c r="F747" i="2"/>
  <c r="G747" i="2" s="1"/>
  <c r="F746" i="2"/>
  <c r="G746" i="2" s="1"/>
  <c r="F745" i="2"/>
  <c r="G745" i="2" s="1"/>
  <c r="F744" i="2"/>
  <c r="G744" i="2" s="1"/>
  <c r="F743" i="2"/>
  <c r="G743" i="2" s="1"/>
  <c r="F742" i="2"/>
  <c r="G742" i="2" s="1"/>
  <c r="F741" i="2"/>
  <c r="G741" i="2" s="1"/>
  <c r="F740" i="2"/>
  <c r="G740" i="2" s="1"/>
  <c r="F739" i="2"/>
  <c r="G739" i="2" s="1"/>
  <c r="F738" i="2"/>
  <c r="G738" i="2" s="1"/>
  <c r="F737" i="2"/>
  <c r="G737" i="2" s="1"/>
  <c r="F736" i="2"/>
  <c r="G736" i="2" s="1"/>
  <c r="F735" i="2"/>
  <c r="G735" i="2" s="1"/>
  <c r="F734" i="2"/>
  <c r="G734" i="2" s="1"/>
  <c r="F733" i="2"/>
  <c r="G733" i="2" s="1"/>
  <c r="F732" i="2"/>
  <c r="G732" i="2" s="1"/>
  <c r="F731" i="2"/>
  <c r="G731" i="2" s="1"/>
  <c r="F730" i="2"/>
  <c r="G730" i="2" s="1"/>
  <c r="F729" i="2"/>
  <c r="G729" i="2" s="1"/>
  <c r="F728" i="2"/>
  <c r="G728" i="2" s="1"/>
  <c r="F727" i="2"/>
  <c r="G727" i="2" s="1"/>
  <c r="F726" i="2"/>
  <c r="G726" i="2" s="1"/>
  <c r="F725" i="2"/>
  <c r="G725" i="2" s="1"/>
  <c r="F724" i="2"/>
  <c r="G724" i="2" s="1"/>
  <c r="F723" i="2"/>
  <c r="G723" i="2" s="1"/>
  <c r="F722" i="2"/>
  <c r="G722" i="2" s="1"/>
  <c r="F721" i="2"/>
  <c r="G721" i="2" s="1"/>
  <c r="F720" i="2"/>
  <c r="G720" i="2" s="1"/>
  <c r="F719" i="2"/>
  <c r="G719" i="2" s="1"/>
  <c r="F718" i="2"/>
  <c r="G718" i="2" s="1"/>
  <c r="F717" i="2"/>
  <c r="G717" i="2" s="1"/>
  <c r="F716" i="2"/>
  <c r="G716" i="2" s="1"/>
  <c r="F715" i="2"/>
  <c r="G715" i="2" s="1"/>
  <c r="F714" i="2"/>
  <c r="G714" i="2" s="1"/>
  <c r="F713" i="2"/>
  <c r="G713" i="2" s="1"/>
  <c r="F712" i="2"/>
  <c r="G712" i="2" s="1"/>
  <c r="F711" i="2"/>
  <c r="G711" i="2" s="1"/>
  <c r="F710" i="2"/>
  <c r="G710" i="2" s="1"/>
  <c r="F709" i="2"/>
  <c r="G709" i="2" s="1"/>
  <c r="F708" i="2"/>
  <c r="G708" i="2" s="1"/>
  <c r="F707" i="2"/>
  <c r="G707" i="2" s="1"/>
  <c r="F706" i="2"/>
  <c r="G706" i="2" s="1"/>
  <c r="F705" i="2"/>
  <c r="G705" i="2" s="1"/>
  <c r="F704" i="2"/>
  <c r="G704" i="2" s="1"/>
  <c r="F703" i="2"/>
  <c r="G703" i="2" s="1"/>
  <c r="F702" i="2"/>
  <c r="G702" i="2" s="1"/>
  <c r="F701" i="2"/>
  <c r="G701" i="2" s="1"/>
  <c r="F700" i="2"/>
  <c r="G700" i="2" s="1"/>
  <c r="F699" i="2"/>
  <c r="G699" i="2" s="1"/>
  <c r="F698" i="2"/>
  <c r="G698" i="2" s="1"/>
  <c r="F697" i="2"/>
  <c r="G697" i="2" s="1"/>
  <c r="F696" i="2"/>
  <c r="G696" i="2" s="1"/>
  <c r="F695" i="2"/>
  <c r="G695" i="2" s="1"/>
  <c r="F694" i="2"/>
  <c r="G694" i="2" s="1"/>
  <c r="F693" i="2"/>
  <c r="G693" i="2" s="1"/>
  <c r="F692" i="2"/>
  <c r="G692" i="2" s="1"/>
  <c r="F691" i="2"/>
  <c r="G691" i="2" s="1"/>
  <c r="F690" i="2"/>
  <c r="G690" i="2" s="1"/>
  <c r="F689" i="2"/>
  <c r="G689" i="2" s="1"/>
  <c r="F688" i="2"/>
  <c r="G688" i="2" s="1"/>
  <c r="F687" i="2"/>
  <c r="G687" i="2" s="1"/>
  <c r="F686" i="2"/>
  <c r="G686" i="2" s="1"/>
  <c r="F685" i="2"/>
  <c r="G685" i="2" s="1"/>
  <c r="F684" i="2"/>
  <c r="G684" i="2" s="1"/>
  <c r="F683" i="2"/>
  <c r="G683" i="2" s="1"/>
  <c r="F682" i="2"/>
  <c r="G682" i="2" s="1"/>
  <c r="F681" i="2"/>
  <c r="G681" i="2" s="1"/>
  <c r="F680" i="2"/>
  <c r="G680" i="2" s="1"/>
  <c r="F679" i="2"/>
  <c r="G679" i="2" s="1"/>
  <c r="F678" i="2"/>
  <c r="G678" i="2" s="1"/>
  <c r="F677" i="2"/>
  <c r="G677" i="2" s="1"/>
  <c r="F676" i="2"/>
  <c r="G676" i="2" s="1"/>
  <c r="F675" i="2"/>
  <c r="G675" i="2" s="1"/>
  <c r="F674" i="2"/>
  <c r="G674" i="2" s="1"/>
  <c r="F673" i="2"/>
  <c r="G673" i="2" s="1"/>
  <c r="F672" i="2"/>
  <c r="G672" i="2" s="1"/>
  <c r="F671" i="2"/>
  <c r="G671" i="2" s="1"/>
  <c r="F670" i="2"/>
  <c r="G670" i="2" s="1"/>
  <c r="F669" i="2"/>
  <c r="G669" i="2" s="1"/>
  <c r="F668" i="2"/>
  <c r="G668" i="2" s="1"/>
  <c r="F667" i="2"/>
  <c r="G667" i="2" s="1"/>
  <c r="F666" i="2"/>
  <c r="G666" i="2" s="1"/>
  <c r="F665" i="2"/>
  <c r="G665" i="2" s="1"/>
  <c r="F664" i="2"/>
  <c r="G664" i="2" s="1"/>
  <c r="F663" i="2"/>
  <c r="G663" i="2" s="1"/>
  <c r="F662" i="2"/>
  <c r="G662" i="2" s="1"/>
  <c r="F661" i="2"/>
  <c r="G661" i="2" s="1"/>
  <c r="F660" i="2"/>
  <c r="G660" i="2" s="1"/>
  <c r="F659" i="2"/>
  <c r="G659" i="2" s="1"/>
  <c r="F658" i="2"/>
  <c r="G658" i="2" s="1"/>
  <c r="F657" i="2"/>
  <c r="G657" i="2" s="1"/>
  <c r="F656" i="2"/>
  <c r="G656" i="2" s="1"/>
  <c r="F655" i="2"/>
  <c r="G655" i="2" s="1"/>
  <c r="F654" i="2"/>
  <c r="G654" i="2" s="1"/>
  <c r="F653" i="2"/>
  <c r="G653" i="2" s="1"/>
  <c r="F652" i="2"/>
  <c r="G652" i="2" s="1"/>
  <c r="F651" i="2"/>
  <c r="G651" i="2" s="1"/>
  <c r="F650" i="2"/>
  <c r="G650" i="2" s="1"/>
  <c r="F649" i="2"/>
  <c r="G649" i="2" s="1"/>
  <c r="F648" i="2"/>
  <c r="G648" i="2" s="1"/>
  <c r="F647" i="2"/>
  <c r="G647" i="2" s="1"/>
  <c r="F646" i="2"/>
  <c r="G646" i="2" s="1"/>
  <c r="F645" i="2"/>
  <c r="G645" i="2" s="1"/>
  <c r="F644" i="2"/>
  <c r="G644" i="2" s="1"/>
  <c r="F643" i="2"/>
  <c r="G643" i="2" s="1"/>
  <c r="F642" i="2"/>
  <c r="G642" i="2" s="1"/>
  <c r="F641" i="2"/>
  <c r="G641" i="2" s="1"/>
  <c r="F640" i="2"/>
  <c r="G640" i="2" s="1"/>
  <c r="F639" i="2"/>
  <c r="G639" i="2" s="1"/>
  <c r="F638" i="2"/>
  <c r="G638" i="2" s="1"/>
  <c r="F637" i="2"/>
  <c r="G637" i="2" s="1"/>
  <c r="F636" i="2"/>
  <c r="G636" i="2" s="1"/>
  <c r="F635" i="2"/>
  <c r="G635" i="2" s="1"/>
  <c r="F634" i="2"/>
  <c r="G634" i="2" s="1"/>
  <c r="F633" i="2"/>
  <c r="G633" i="2" s="1"/>
  <c r="F632" i="2"/>
  <c r="G632" i="2" s="1"/>
  <c r="F631" i="2"/>
  <c r="G631" i="2" s="1"/>
  <c r="F630" i="2"/>
  <c r="G630" i="2" s="1"/>
  <c r="F629" i="2"/>
  <c r="G629" i="2" s="1"/>
  <c r="F628" i="2"/>
  <c r="G628" i="2" s="1"/>
  <c r="F627" i="2"/>
  <c r="G627" i="2" s="1"/>
  <c r="F626" i="2"/>
  <c r="G626" i="2" s="1"/>
  <c r="F625" i="2"/>
  <c r="G625" i="2" s="1"/>
  <c r="F624" i="2"/>
  <c r="G624" i="2" s="1"/>
  <c r="F623" i="2"/>
  <c r="G623" i="2" s="1"/>
  <c r="F622" i="2"/>
  <c r="G622" i="2" s="1"/>
  <c r="F621" i="2"/>
  <c r="G621" i="2" s="1"/>
  <c r="F620" i="2"/>
  <c r="G620" i="2" s="1"/>
  <c r="F619" i="2"/>
  <c r="G619" i="2" s="1"/>
  <c r="F618" i="2"/>
  <c r="G618" i="2" s="1"/>
  <c r="F617" i="2"/>
  <c r="G617" i="2" s="1"/>
  <c r="F616" i="2"/>
  <c r="G616" i="2" s="1"/>
  <c r="F615" i="2"/>
  <c r="G615" i="2" s="1"/>
  <c r="F614" i="2"/>
  <c r="G614" i="2" s="1"/>
  <c r="F613" i="2"/>
  <c r="G613" i="2" s="1"/>
  <c r="F612" i="2"/>
  <c r="G612" i="2" s="1"/>
  <c r="F611" i="2"/>
  <c r="G611" i="2" s="1"/>
  <c r="F610" i="2"/>
  <c r="G610" i="2" s="1"/>
  <c r="F609" i="2"/>
  <c r="G609" i="2" s="1"/>
  <c r="F608" i="2"/>
  <c r="G608" i="2" s="1"/>
  <c r="F607" i="2"/>
  <c r="G607" i="2" s="1"/>
  <c r="F606" i="2"/>
  <c r="G606" i="2" s="1"/>
  <c r="F605" i="2"/>
  <c r="G605" i="2" s="1"/>
  <c r="F604" i="2"/>
  <c r="G604" i="2" s="1"/>
  <c r="F603" i="2"/>
  <c r="G603" i="2" s="1"/>
  <c r="F602" i="2"/>
  <c r="G602" i="2" s="1"/>
  <c r="F601" i="2"/>
  <c r="G601" i="2" s="1"/>
  <c r="F600" i="2"/>
  <c r="G600" i="2" s="1"/>
  <c r="F599" i="2"/>
  <c r="G599" i="2" s="1"/>
  <c r="F598" i="2"/>
  <c r="G598" i="2" s="1"/>
  <c r="F597" i="2"/>
  <c r="G597" i="2" s="1"/>
  <c r="F596" i="2"/>
  <c r="G596" i="2" s="1"/>
  <c r="F595" i="2"/>
  <c r="G595" i="2" s="1"/>
  <c r="F594" i="2"/>
  <c r="G594" i="2" s="1"/>
  <c r="F593" i="2"/>
  <c r="G593" i="2" s="1"/>
  <c r="F592" i="2"/>
  <c r="G592" i="2" s="1"/>
  <c r="F591" i="2"/>
  <c r="G591" i="2" s="1"/>
  <c r="F590" i="2"/>
  <c r="G590" i="2" s="1"/>
  <c r="F589" i="2"/>
  <c r="G589" i="2" s="1"/>
  <c r="F588" i="2"/>
  <c r="G588" i="2" s="1"/>
  <c r="F587" i="2"/>
  <c r="G587" i="2" s="1"/>
  <c r="F586" i="2"/>
  <c r="G586" i="2" s="1"/>
  <c r="F585" i="2"/>
  <c r="G585" i="2" s="1"/>
  <c r="F584" i="2"/>
  <c r="G584" i="2" s="1"/>
  <c r="F583" i="2"/>
  <c r="G583" i="2" s="1"/>
  <c r="F582" i="2"/>
  <c r="G582" i="2" s="1"/>
  <c r="F581" i="2"/>
  <c r="G581" i="2" s="1"/>
  <c r="F580" i="2"/>
  <c r="G580" i="2" s="1"/>
  <c r="F579" i="2"/>
  <c r="G579" i="2" s="1"/>
  <c r="F578" i="2"/>
  <c r="G578" i="2" s="1"/>
  <c r="F577" i="2"/>
  <c r="G577" i="2" s="1"/>
  <c r="F576" i="2"/>
  <c r="G576" i="2" s="1"/>
  <c r="F575" i="2"/>
  <c r="G575" i="2" s="1"/>
  <c r="F574" i="2"/>
  <c r="G574" i="2" s="1"/>
  <c r="F573" i="2"/>
  <c r="G573" i="2" s="1"/>
  <c r="F572" i="2"/>
  <c r="G572" i="2" s="1"/>
  <c r="F571" i="2"/>
  <c r="G571" i="2" s="1"/>
  <c r="F570" i="2"/>
  <c r="G570" i="2" s="1"/>
  <c r="F569" i="2"/>
  <c r="G569" i="2" s="1"/>
  <c r="F568" i="2"/>
  <c r="G568" i="2" s="1"/>
  <c r="F567" i="2"/>
  <c r="G567" i="2" s="1"/>
  <c r="F566" i="2"/>
  <c r="G566" i="2" s="1"/>
  <c r="F565" i="2"/>
  <c r="G565" i="2" s="1"/>
  <c r="F564" i="2"/>
  <c r="G564" i="2" s="1"/>
  <c r="F563" i="2"/>
  <c r="G563" i="2" s="1"/>
  <c r="F562" i="2"/>
  <c r="G562" i="2" s="1"/>
  <c r="F561" i="2"/>
  <c r="G561" i="2" s="1"/>
  <c r="F560" i="2"/>
  <c r="G560" i="2" s="1"/>
  <c r="F559" i="2"/>
  <c r="G559" i="2" s="1"/>
  <c r="F558" i="2"/>
  <c r="G558" i="2" s="1"/>
  <c r="F557" i="2"/>
  <c r="G557" i="2" s="1"/>
  <c r="F556" i="2"/>
  <c r="G556" i="2" s="1"/>
  <c r="F555" i="2"/>
  <c r="G555" i="2" s="1"/>
  <c r="F554" i="2"/>
  <c r="G554" i="2" s="1"/>
  <c r="F553" i="2"/>
  <c r="G553" i="2" s="1"/>
  <c r="F552" i="2"/>
  <c r="G552" i="2" s="1"/>
  <c r="F551" i="2"/>
  <c r="G551" i="2" s="1"/>
  <c r="F550" i="2"/>
  <c r="G550" i="2" s="1"/>
  <c r="F549" i="2"/>
  <c r="G549" i="2" s="1"/>
  <c r="F548" i="2"/>
  <c r="G548" i="2" s="1"/>
  <c r="F547" i="2"/>
  <c r="G547" i="2" s="1"/>
  <c r="F546" i="2"/>
  <c r="G546" i="2" s="1"/>
  <c r="F545" i="2"/>
  <c r="G545" i="2" s="1"/>
  <c r="F544" i="2"/>
  <c r="G544" i="2" s="1"/>
  <c r="F543" i="2"/>
  <c r="G543" i="2" s="1"/>
  <c r="F542" i="2"/>
  <c r="G542" i="2" s="1"/>
  <c r="F541" i="2"/>
  <c r="G541" i="2" s="1"/>
  <c r="F540" i="2"/>
  <c r="G540" i="2" s="1"/>
  <c r="F539" i="2"/>
  <c r="G539" i="2" s="1"/>
  <c r="F538" i="2"/>
  <c r="G538" i="2" s="1"/>
  <c r="F537" i="2"/>
  <c r="G537" i="2" s="1"/>
  <c r="F536" i="2"/>
  <c r="G536" i="2" s="1"/>
  <c r="F535" i="2"/>
  <c r="G535" i="2" s="1"/>
  <c r="F534" i="2"/>
  <c r="G534" i="2" s="1"/>
  <c r="F533" i="2"/>
  <c r="G533" i="2" s="1"/>
  <c r="F532" i="2"/>
  <c r="G532" i="2" s="1"/>
  <c r="F531" i="2"/>
  <c r="G531" i="2" s="1"/>
  <c r="F530" i="2"/>
  <c r="G530" i="2" s="1"/>
  <c r="F529" i="2"/>
  <c r="G529" i="2" s="1"/>
  <c r="F528" i="2"/>
  <c r="G528" i="2" s="1"/>
  <c r="F527" i="2"/>
  <c r="G527" i="2" s="1"/>
  <c r="F526" i="2"/>
  <c r="G526" i="2" s="1"/>
  <c r="F525" i="2"/>
  <c r="G525" i="2" s="1"/>
  <c r="F524" i="2"/>
  <c r="G524" i="2" s="1"/>
  <c r="F523" i="2"/>
  <c r="G523" i="2" s="1"/>
  <c r="F522" i="2"/>
  <c r="G522" i="2" s="1"/>
  <c r="F521" i="2"/>
  <c r="G521" i="2" s="1"/>
  <c r="F520" i="2"/>
  <c r="G520" i="2" s="1"/>
  <c r="F519" i="2"/>
  <c r="G519" i="2" s="1"/>
  <c r="F518" i="2"/>
  <c r="G518" i="2" s="1"/>
  <c r="F517" i="2"/>
  <c r="G517" i="2" s="1"/>
  <c r="F516" i="2"/>
  <c r="G516" i="2" s="1"/>
  <c r="F515" i="2"/>
  <c r="G515" i="2" s="1"/>
  <c r="F514" i="2"/>
  <c r="G514" i="2" s="1"/>
  <c r="F513" i="2"/>
  <c r="G513" i="2" s="1"/>
  <c r="F512" i="2"/>
  <c r="G512" i="2" s="1"/>
  <c r="F511" i="2"/>
  <c r="G511" i="2" s="1"/>
  <c r="F510" i="2"/>
  <c r="G510" i="2" s="1"/>
  <c r="F509" i="2"/>
  <c r="G509" i="2" s="1"/>
  <c r="F508" i="2"/>
  <c r="G508" i="2" s="1"/>
  <c r="F507" i="2"/>
  <c r="G507" i="2" s="1"/>
  <c r="F506" i="2"/>
  <c r="G506" i="2"/>
  <c r="F505" i="2"/>
  <c r="G505" i="2" s="1"/>
  <c r="F504" i="2"/>
  <c r="G504" i="2" s="1"/>
  <c r="F503" i="2"/>
  <c r="G503" i="2" s="1"/>
  <c r="F502" i="2"/>
  <c r="G502" i="2" s="1"/>
  <c r="F501" i="2"/>
  <c r="G501" i="2" s="1"/>
  <c r="F500" i="2"/>
  <c r="G500" i="2" s="1"/>
  <c r="F499" i="2"/>
  <c r="G499" i="2" s="1"/>
  <c r="F498" i="2"/>
  <c r="G498" i="2" s="1"/>
  <c r="F497" i="2"/>
  <c r="G497" i="2" s="1"/>
  <c r="F496" i="2"/>
  <c r="G496" i="2" s="1"/>
  <c r="F495" i="2"/>
  <c r="G495" i="2" s="1"/>
  <c r="F494" i="2"/>
  <c r="G494" i="2" s="1"/>
  <c r="F493" i="2"/>
  <c r="G493" i="2" s="1"/>
  <c r="F492" i="2"/>
  <c r="G492" i="2" s="1"/>
  <c r="F491" i="2"/>
  <c r="G491" i="2"/>
  <c r="F490" i="2"/>
  <c r="G490" i="2" s="1"/>
  <c r="F489" i="2"/>
  <c r="G489" i="2" s="1"/>
  <c r="F488" i="2"/>
  <c r="G488" i="2" s="1"/>
  <c r="F487" i="2"/>
  <c r="G487" i="2" s="1"/>
  <c r="F486" i="2"/>
  <c r="G486" i="2" s="1"/>
  <c r="F485" i="2"/>
  <c r="G485" i="2" s="1"/>
  <c r="F484" i="2"/>
  <c r="G484" i="2" s="1"/>
  <c r="F483" i="2"/>
  <c r="G483" i="2" s="1"/>
  <c r="F482" i="2"/>
  <c r="G482" i="2" s="1"/>
  <c r="F481" i="2"/>
  <c r="G481" i="2" s="1"/>
  <c r="F480" i="2"/>
  <c r="G480" i="2" s="1"/>
  <c r="F479" i="2"/>
  <c r="G479" i="2" s="1"/>
  <c r="F478" i="2"/>
  <c r="G478" i="2" s="1"/>
  <c r="F477" i="2"/>
  <c r="G477" i="2" s="1"/>
  <c r="F476" i="2"/>
  <c r="G476" i="2" s="1"/>
  <c r="F475" i="2"/>
  <c r="G475" i="2" s="1"/>
  <c r="F474" i="2"/>
  <c r="G474" i="2" s="1"/>
  <c r="F473" i="2"/>
  <c r="G473" i="2" s="1"/>
  <c r="F472" i="2"/>
  <c r="G472" i="2" s="1"/>
  <c r="F471" i="2"/>
  <c r="G471" i="2" s="1"/>
  <c r="F470" i="2"/>
  <c r="G470" i="2" s="1"/>
  <c r="F469" i="2"/>
  <c r="G469" i="2" s="1"/>
  <c r="F468" i="2"/>
  <c r="G468" i="2" s="1"/>
  <c r="F467" i="2"/>
  <c r="G467" i="2" s="1"/>
  <c r="F466" i="2"/>
  <c r="G466" i="2" s="1"/>
  <c r="F465" i="2"/>
  <c r="G465" i="2" s="1"/>
  <c r="F464" i="2"/>
  <c r="G464" i="2" s="1"/>
  <c r="F463" i="2"/>
  <c r="G463" i="2" s="1"/>
  <c r="F462" i="2"/>
  <c r="G462" i="2" s="1"/>
  <c r="F461" i="2"/>
  <c r="G461" i="2" s="1"/>
  <c r="F460" i="2"/>
  <c r="G460" i="2" s="1"/>
  <c r="F459" i="2"/>
  <c r="G459" i="2" s="1"/>
  <c r="F458" i="2"/>
  <c r="G458" i="2" s="1"/>
  <c r="F457" i="2"/>
  <c r="G457" i="2" s="1"/>
  <c r="F456" i="2"/>
  <c r="G456" i="2" s="1"/>
  <c r="F455" i="2"/>
  <c r="G455" i="2" s="1"/>
  <c r="F454" i="2"/>
  <c r="G454" i="2" s="1"/>
  <c r="F453" i="2"/>
  <c r="G453" i="2" s="1"/>
  <c r="F452" i="2"/>
  <c r="G452" i="2" s="1"/>
  <c r="F451" i="2"/>
  <c r="G451" i="2" s="1"/>
  <c r="F450" i="2"/>
  <c r="G450" i="2" s="1"/>
  <c r="F449" i="2"/>
  <c r="G449" i="2" s="1"/>
  <c r="F448" i="2"/>
  <c r="G448" i="2" s="1"/>
  <c r="F447" i="2"/>
  <c r="G447" i="2" s="1"/>
  <c r="F446" i="2"/>
  <c r="G446" i="2" s="1"/>
  <c r="F445" i="2"/>
  <c r="G445" i="2"/>
  <c r="F444" i="2"/>
  <c r="G444" i="2" s="1"/>
  <c r="F443" i="2"/>
  <c r="G443" i="2" s="1"/>
  <c r="F442" i="2"/>
  <c r="G442" i="2" s="1"/>
  <c r="F441" i="2"/>
  <c r="G441" i="2" s="1"/>
  <c r="F440" i="2"/>
  <c r="G440" i="2" s="1"/>
  <c r="F439" i="2"/>
  <c r="G439" i="2" s="1"/>
  <c r="F438" i="2"/>
  <c r="G438" i="2" s="1"/>
  <c r="F437" i="2"/>
  <c r="G437" i="2" s="1"/>
  <c r="F436" i="2"/>
  <c r="G436" i="2" s="1"/>
  <c r="F435" i="2"/>
  <c r="G435" i="2" s="1"/>
  <c r="F434" i="2"/>
  <c r="G434" i="2" s="1"/>
  <c r="F433" i="2"/>
  <c r="G433" i="2" s="1"/>
  <c r="F432" i="2"/>
  <c r="G432" i="2" s="1"/>
  <c r="F431" i="2"/>
  <c r="G431" i="2" s="1"/>
  <c r="F430" i="2"/>
  <c r="G430" i="2" s="1"/>
  <c r="F429" i="2"/>
  <c r="G429" i="2" s="1"/>
  <c r="F428" i="2"/>
  <c r="G428" i="2" s="1"/>
  <c r="F427" i="2"/>
  <c r="G427" i="2" s="1"/>
  <c r="F426" i="2"/>
  <c r="G426" i="2" s="1"/>
  <c r="F425" i="2"/>
  <c r="G425" i="2" s="1"/>
  <c r="F424" i="2"/>
  <c r="G424" i="2" s="1"/>
  <c r="F423" i="2"/>
  <c r="G423" i="2" s="1"/>
  <c r="F422" i="2"/>
  <c r="G422" i="2" s="1"/>
  <c r="F421" i="2"/>
  <c r="G421" i="2" s="1"/>
  <c r="F420" i="2"/>
  <c r="G420" i="2" s="1"/>
  <c r="F419" i="2"/>
  <c r="G419" i="2" s="1"/>
  <c r="F418" i="2"/>
  <c r="G418" i="2" s="1"/>
  <c r="F417" i="2"/>
  <c r="G417" i="2" s="1"/>
  <c r="F416" i="2"/>
  <c r="G416" i="2" s="1"/>
  <c r="F415" i="2"/>
  <c r="G415" i="2" s="1"/>
  <c r="F414" i="2"/>
  <c r="G414" i="2" s="1"/>
  <c r="F413" i="2"/>
  <c r="G413" i="2" s="1"/>
  <c r="F412" i="2"/>
  <c r="G412" i="2" s="1"/>
  <c r="F411" i="2"/>
  <c r="G411" i="2" s="1"/>
  <c r="F410" i="2"/>
  <c r="G410" i="2" s="1"/>
  <c r="F409" i="2"/>
  <c r="G409" i="2" s="1"/>
  <c r="F408" i="2"/>
  <c r="G408" i="2" s="1"/>
  <c r="F407" i="2"/>
  <c r="G407" i="2" s="1"/>
  <c r="F406" i="2"/>
  <c r="G406" i="2" s="1"/>
  <c r="F405" i="2"/>
  <c r="G405" i="2" s="1"/>
  <c r="F404" i="2"/>
  <c r="G404" i="2" s="1"/>
  <c r="F403" i="2"/>
  <c r="G403" i="2" s="1"/>
  <c r="F402" i="2"/>
  <c r="G402" i="2" s="1"/>
  <c r="F401" i="2"/>
  <c r="G401" i="2" s="1"/>
  <c r="F400" i="2"/>
  <c r="G400" i="2" s="1"/>
  <c r="F399" i="2"/>
  <c r="G399" i="2" s="1"/>
  <c r="F398" i="2"/>
  <c r="G398" i="2" s="1"/>
  <c r="F397" i="2"/>
  <c r="G397" i="2" s="1"/>
  <c r="F396" i="2"/>
  <c r="G396" i="2" s="1"/>
  <c r="F395" i="2"/>
  <c r="G395" i="2" s="1"/>
  <c r="F394" i="2"/>
  <c r="G394" i="2" s="1"/>
  <c r="F393" i="2"/>
  <c r="G393" i="2" s="1"/>
  <c r="F392" i="2"/>
  <c r="G392" i="2" s="1"/>
  <c r="F391" i="2"/>
  <c r="G391" i="2" s="1"/>
  <c r="F390" i="2"/>
  <c r="G390" i="2" s="1"/>
  <c r="F389" i="2"/>
  <c r="G389" i="2" s="1"/>
  <c r="F388" i="2"/>
  <c r="G388" i="2" s="1"/>
  <c r="F387" i="2"/>
  <c r="G387" i="2" s="1"/>
  <c r="F386" i="2"/>
  <c r="G386" i="2" s="1"/>
  <c r="F385" i="2"/>
  <c r="G385" i="2" s="1"/>
  <c r="F384" i="2"/>
  <c r="G384" i="2" s="1"/>
  <c r="F383" i="2"/>
  <c r="G383" i="2" s="1"/>
  <c r="F382" i="2"/>
  <c r="G382" i="2" s="1"/>
  <c r="F381" i="2"/>
  <c r="G381" i="2" s="1"/>
  <c r="F380" i="2"/>
  <c r="G380" i="2" s="1"/>
  <c r="F379" i="2"/>
  <c r="G379" i="2" s="1"/>
  <c r="F378" i="2"/>
  <c r="G378" i="2" s="1"/>
  <c r="F377" i="2"/>
  <c r="G377" i="2" s="1"/>
  <c r="F376" i="2"/>
  <c r="G376" i="2" s="1"/>
  <c r="F375" i="2"/>
  <c r="G375" i="2" s="1"/>
  <c r="F374" i="2"/>
  <c r="G374" i="2" s="1"/>
  <c r="F373" i="2"/>
  <c r="G373" i="2" s="1"/>
  <c r="F372" i="2"/>
  <c r="G372" i="2" s="1"/>
  <c r="F371" i="2"/>
  <c r="G371" i="2" s="1"/>
  <c r="F370" i="2"/>
  <c r="G370" i="2" s="1"/>
  <c r="F369" i="2"/>
  <c r="G369" i="2" s="1"/>
  <c r="F368" i="2"/>
  <c r="G368" i="2" s="1"/>
  <c r="F367" i="2"/>
  <c r="G367" i="2" s="1"/>
  <c r="F366" i="2"/>
  <c r="G366" i="2" s="1"/>
  <c r="F365" i="2"/>
  <c r="G365" i="2" s="1"/>
  <c r="F364" i="2"/>
  <c r="G364" i="2" s="1"/>
  <c r="F363" i="2"/>
  <c r="G363" i="2" s="1"/>
  <c r="F362" i="2"/>
  <c r="G362" i="2" s="1"/>
  <c r="F361" i="2"/>
  <c r="G361" i="2" s="1"/>
  <c r="F360" i="2"/>
  <c r="G360" i="2" s="1"/>
  <c r="F359" i="2"/>
  <c r="G359" i="2" s="1"/>
  <c r="F358" i="2"/>
  <c r="G358" i="2" s="1"/>
  <c r="F357" i="2"/>
  <c r="G357" i="2" s="1"/>
  <c r="F356" i="2"/>
  <c r="G356" i="2" s="1"/>
  <c r="F355" i="2"/>
  <c r="G355" i="2" s="1"/>
  <c r="F354" i="2"/>
  <c r="G354" i="2" s="1"/>
  <c r="F353" i="2"/>
  <c r="G353" i="2" s="1"/>
  <c r="F352" i="2"/>
  <c r="G352" i="2" s="1"/>
  <c r="F351" i="2"/>
  <c r="G351" i="2" s="1"/>
  <c r="F350" i="2"/>
  <c r="G350" i="2" s="1"/>
  <c r="F349" i="2"/>
  <c r="G349" i="2" s="1"/>
  <c r="F348" i="2"/>
  <c r="G348" i="2" s="1"/>
  <c r="F347" i="2"/>
  <c r="G347" i="2" s="1"/>
  <c r="F346" i="2"/>
  <c r="G346" i="2" s="1"/>
  <c r="F345" i="2"/>
  <c r="G345" i="2" s="1"/>
  <c r="F344" i="2"/>
  <c r="G344" i="2" s="1"/>
  <c r="F343" i="2"/>
  <c r="G343" i="2" s="1"/>
  <c r="F342" i="2"/>
  <c r="G342" i="2" s="1"/>
  <c r="F341" i="2"/>
  <c r="G341" i="2" s="1"/>
  <c r="F340" i="2"/>
  <c r="G340" i="2" s="1"/>
  <c r="F339" i="2"/>
  <c r="G339" i="2" s="1"/>
  <c r="F338" i="2"/>
  <c r="G338" i="2" s="1"/>
  <c r="F337" i="2"/>
  <c r="G337" i="2" s="1"/>
  <c r="F336" i="2"/>
  <c r="G336" i="2" s="1"/>
  <c r="F335" i="2"/>
  <c r="G335" i="2" s="1"/>
  <c r="F334" i="2"/>
  <c r="G334" i="2" s="1"/>
  <c r="F333" i="2"/>
  <c r="G333" i="2" s="1"/>
  <c r="F332" i="2"/>
  <c r="G332" i="2" s="1"/>
  <c r="F331" i="2"/>
  <c r="G331" i="2" s="1"/>
  <c r="F330" i="2"/>
  <c r="G330" i="2" s="1"/>
  <c r="F329" i="2"/>
  <c r="G329" i="2" s="1"/>
  <c r="F328" i="2"/>
  <c r="G328" i="2" s="1"/>
  <c r="F327" i="2"/>
  <c r="G327" i="2" s="1"/>
  <c r="F326" i="2"/>
  <c r="G326" i="2" s="1"/>
  <c r="F325" i="2"/>
  <c r="G325" i="2" s="1"/>
  <c r="F324" i="2"/>
  <c r="G324" i="2" s="1"/>
  <c r="F323" i="2"/>
  <c r="G323" i="2" s="1"/>
  <c r="F322" i="2"/>
  <c r="G322" i="2" s="1"/>
  <c r="F321" i="2"/>
  <c r="G321" i="2" s="1"/>
  <c r="F320" i="2"/>
  <c r="G320" i="2" s="1"/>
  <c r="F319" i="2"/>
  <c r="G319" i="2" s="1"/>
  <c r="F318" i="2"/>
  <c r="G318" i="2" s="1"/>
  <c r="F317" i="2"/>
  <c r="G317" i="2" s="1"/>
  <c r="F316" i="2"/>
  <c r="G316" i="2" s="1"/>
  <c r="F315" i="2"/>
  <c r="G315" i="2" s="1"/>
  <c r="F314" i="2"/>
  <c r="G314" i="2" s="1"/>
  <c r="F313" i="2"/>
  <c r="G313" i="2" s="1"/>
  <c r="F312" i="2"/>
  <c r="G312" i="2" s="1"/>
  <c r="F311" i="2"/>
  <c r="G311" i="2" s="1"/>
  <c r="F310" i="2"/>
  <c r="G310" i="2" s="1"/>
  <c r="F309" i="2"/>
  <c r="G309" i="2" s="1"/>
  <c r="F308" i="2"/>
  <c r="G308" i="2" s="1"/>
  <c r="F307" i="2"/>
  <c r="G307" i="2" s="1"/>
  <c r="F306" i="2"/>
  <c r="G306" i="2" s="1"/>
  <c r="F305" i="2"/>
  <c r="G305" i="2" s="1"/>
  <c r="F304" i="2"/>
  <c r="G304" i="2" s="1"/>
  <c r="F303" i="2"/>
  <c r="G303" i="2" s="1"/>
  <c r="F302" i="2"/>
  <c r="G302" i="2" s="1"/>
  <c r="F301" i="2"/>
  <c r="G301" i="2" s="1"/>
  <c r="F300" i="2"/>
  <c r="G300" i="2" s="1"/>
  <c r="F299" i="2"/>
  <c r="G299" i="2" s="1"/>
  <c r="F298" i="2"/>
  <c r="G298" i="2" s="1"/>
  <c r="F297" i="2"/>
  <c r="G297" i="2" s="1"/>
  <c r="F296" i="2"/>
  <c r="G296" i="2" s="1"/>
  <c r="F295" i="2"/>
  <c r="G295" i="2" s="1"/>
  <c r="F294" i="2"/>
  <c r="G294" i="2" s="1"/>
  <c r="F293" i="2"/>
  <c r="G293" i="2" s="1"/>
  <c r="F292" i="2"/>
  <c r="G292" i="2" s="1"/>
  <c r="F291" i="2"/>
  <c r="G291" i="2" s="1"/>
  <c r="F290" i="2"/>
  <c r="G290" i="2" s="1"/>
  <c r="F289" i="2"/>
  <c r="G289" i="2" s="1"/>
  <c r="F288" i="2"/>
  <c r="G288" i="2" s="1"/>
  <c r="F287" i="2"/>
  <c r="G287" i="2" s="1"/>
  <c r="F286" i="2"/>
  <c r="G286" i="2" s="1"/>
  <c r="F285" i="2"/>
  <c r="G285" i="2" s="1"/>
  <c r="F284" i="2"/>
  <c r="G284" i="2" s="1"/>
  <c r="F283" i="2"/>
  <c r="G283" i="2" s="1"/>
  <c r="F282" i="2"/>
  <c r="G282" i="2" s="1"/>
  <c r="F281" i="2"/>
  <c r="G281" i="2" s="1"/>
  <c r="F280" i="2"/>
  <c r="G280" i="2" s="1"/>
  <c r="F279" i="2"/>
  <c r="G279" i="2" s="1"/>
  <c r="F278" i="2"/>
  <c r="G278" i="2" s="1"/>
  <c r="F277" i="2"/>
  <c r="G277" i="2" s="1"/>
  <c r="F276" i="2"/>
  <c r="G276" i="2" s="1"/>
  <c r="F275" i="2"/>
  <c r="G275" i="2" s="1"/>
  <c r="F274" i="2"/>
  <c r="G274" i="2" s="1"/>
  <c r="F273" i="2"/>
  <c r="G273" i="2" s="1"/>
  <c r="F272" i="2"/>
  <c r="G272" i="2" s="1"/>
  <c r="F271" i="2"/>
  <c r="G271" i="2" s="1"/>
  <c r="F270" i="2"/>
  <c r="G270" i="2" s="1"/>
  <c r="F269" i="2"/>
  <c r="G269" i="2" s="1"/>
  <c r="F268" i="2"/>
  <c r="G268" i="2" s="1"/>
  <c r="F267" i="2"/>
  <c r="G267" i="2" s="1"/>
  <c r="F266" i="2"/>
  <c r="G266" i="2" s="1"/>
  <c r="F265" i="2"/>
  <c r="G265" i="2" s="1"/>
  <c r="F264" i="2"/>
  <c r="G264" i="2" s="1"/>
  <c r="F263" i="2"/>
  <c r="G263" i="2" s="1"/>
  <c r="F262" i="2"/>
  <c r="G262" i="2" s="1"/>
  <c r="F261" i="2"/>
  <c r="G261" i="2" s="1"/>
  <c r="F260" i="2"/>
  <c r="G260" i="2" s="1"/>
  <c r="F259" i="2"/>
  <c r="G259" i="2" s="1"/>
  <c r="F258" i="2"/>
  <c r="G258" i="2" s="1"/>
  <c r="F257" i="2"/>
  <c r="G257" i="2" s="1"/>
  <c r="F256" i="2"/>
  <c r="G256" i="2" s="1"/>
  <c r="F255" i="2"/>
  <c r="G255" i="2" s="1"/>
  <c r="F254" i="2"/>
  <c r="G254" i="2" s="1"/>
  <c r="F253" i="2"/>
  <c r="G253" i="2" s="1"/>
  <c r="F252" i="2"/>
  <c r="G252" i="2" s="1"/>
  <c r="F251" i="2"/>
  <c r="G251" i="2" s="1"/>
  <c r="F250" i="2"/>
  <c r="G250" i="2" s="1"/>
  <c r="F249" i="2"/>
  <c r="G249" i="2" s="1"/>
  <c r="F248" i="2"/>
  <c r="G248" i="2" s="1"/>
  <c r="F247" i="2"/>
  <c r="G247" i="2"/>
  <c r="F246" i="2"/>
  <c r="G246" i="2" s="1"/>
  <c r="F245" i="2"/>
  <c r="G245" i="2" s="1"/>
  <c r="F244" i="2"/>
  <c r="G244" i="2" s="1"/>
  <c r="F243" i="2"/>
  <c r="G243" i="2" s="1"/>
  <c r="F242" i="2"/>
  <c r="G242" i="2" s="1"/>
  <c r="F241" i="2"/>
  <c r="G241" i="2" s="1"/>
  <c r="F240" i="2"/>
  <c r="G240" i="2" s="1"/>
  <c r="F239" i="2"/>
  <c r="G239" i="2" s="1"/>
  <c r="F238" i="2"/>
  <c r="G238" i="2" s="1"/>
  <c r="F237" i="2"/>
  <c r="G237" i="2" s="1"/>
  <c r="F236" i="2"/>
  <c r="G236" i="2" s="1"/>
  <c r="F235" i="2"/>
  <c r="G235" i="2" s="1"/>
  <c r="F234" i="2"/>
  <c r="G234" i="2" s="1"/>
  <c r="F233" i="2"/>
  <c r="G233" i="2" s="1"/>
  <c r="F232" i="2"/>
  <c r="G232" i="2" s="1"/>
  <c r="F231" i="2"/>
  <c r="G231" i="2" s="1"/>
  <c r="F230" i="2"/>
  <c r="G230" i="2" s="1"/>
  <c r="F229" i="2"/>
  <c r="G229" i="2" s="1"/>
  <c r="F228" i="2"/>
  <c r="G228" i="2" s="1"/>
  <c r="F227" i="2"/>
  <c r="G227" i="2" s="1"/>
  <c r="F226" i="2"/>
  <c r="G226" i="2" s="1"/>
  <c r="F225" i="2"/>
  <c r="G225" i="2" s="1"/>
  <c r="F224" i="2"/>
  <c r="G224" i="2" s="1"/>
  <c r="F223" i="2"/>
  <c r="G223" i="2" s="1"/>
  <c r="F222" i="2"/>
  <c r="G222" i="2" s="1"/>
  <c r="F221" i="2"/>
  <c r="G221" i="2" s="1"/>
  <c r="F220" i="2"/>
  <c r="G220" i="2" s="1"/>
  <c r="F219" i="2"/>
  <c r="G219" i="2" s="1"/>
  <c r="F218" i="2"/>
  <c r="G218" i="2" s="1"/>
  <c r="F217" i="2"/>
  <c r="G217" i="2" s="1"/>
  <c r="F216" i="2"/>
  <c r="G216" i="2" s="1"/>
  <c r="F215" i="2"/>
  <c r="G215" i="2" s="1"/>
  <c r="F214" i="2"/>
  <c r="G214" i="2" s="1"/>
  <c r="F213" i="2"/>
  <c r="G213" i="2" s="1"/>
  <c r="F212" i="2"/>
  <c r="G212" i="2" s="1"/>
  <c r="F211" i="2"/>
  <c r="G211" i="2" s="1"/>
  <c r="F210" i="2"/>
  <c r="G210" i="2" s="1"/>
  <c r="F209" i="2"/>
  <c r="G209" i="2" s="1"/>
  <c r="F208" i="2"/>
  <c r="G208" i="2" s="1"/>
  <c r="F207" i="2"/>
  <c r="G207" i="2" s="1"/>
  <c r="F206" i="2"/>
  <c r="G206" i="2" s="1"/>
  <c r="F205" i="2"/>
  <c r="G205" i="2" s="1"/>
  <c r="F204" i="2"/>
  <c r="G204" i="2" s="1"/>
  <c r="F203" i="2"/>
  <c r="G203" i="2" s="1"/>
  <c r="F202" i="2"/>
  <c r="G202" i="2" s="1"/>
  <c r="F201" i="2"/>
  <c r="G201" i="2" s="1"/>
  <c r="F200" i="2"/>
  <c r="G200" i="2" s="1"/>
  <c r="F199" i="2"/>
  <c r="G199" i="2" s="1"/>
  <c r="F198" i="2"/>
  <c r="G198" i="2" s="1"/>
  <c r="F197" i="2"/>
  <c r="G197" i="2" s="1"/>
  <c r="F196" i="2"/>
  <c r="G196" i="2" s="1"/>
  <c r="F195" i="2"/>
  <c r="G195" i="2" s="1"/>
  <c r="F194" i="2"/>
  <c r="G194" i="2" s="1"/>
  <c r="F193" i="2"/>
  <c r="G193" i="2" s="1"/>
  <c r="F192" i="2"/>
  <c r="G192" i="2" s="1"/>
  <c r="F191" i="2"/>
  <c r="G191" i="2" s="1"/>
  <c r="F190" i="2"/>
  <c r="G190" i="2" s="1"/>
  <c r="F189" i="2"/>
  <c r="G189" i="2" s="1"/>
  <c r="F188" i="2"/>
  <c r="G188" i="2" s="1"/>
  <c r="F187" i="2"/>
  <c r="G187" i="2" s="1"/>
  <c r="F186" i="2"/>
  <c r="G186" i="2" s="1"/>
  <c r="F185" i="2"/>
  <c r="G185" i="2" s="1"/>
  <c r="F184" i="2"/>
  <c r="G184" i="2" s="1"/>
  <c r="F183" i="2"/>
  <c r="G183" i="2" s="1"/>
  <c r="F182" i="2"/>
  <c r="G182" i="2" s="1"/>
  <c r="F181" i="2"/>
  <c r="G181" i="2" s="1"/>
  <c r="F180" i="2"/>
  <c r="G180" i="2" s="1"/>
  <c r="F179" i="2"/>
  <c r="G179" i="2" s="1"/>
  <c r="F178" i="2"/>
  <c r="G178" i="2" s="1"/>
  <c r="F177" i="2"/>
  <c r="G177" i="2" s="1"/>
  <c r="F176" i="2"/>
  <c r="G176" i="2" s="1"/>
  <c r="F175" i="2"/>
  <c r="G175" i="2" s="1"/>
  <c r="F174" i="2"/>
  <c r="G174" i="2" s="1"/>
  <c r="F173" i="2"/>
  <c r="G173" i="2" s="1"/>
  <c r="F172" i="2"/>
  <c r="G172" i="2" s="1"/>
  <c r="F171" i="2"/>
  <c r="G171" i="2" s="1"/>
  <c r="F170" i="2"/>
  <c r="G170" i="2" s="1"/>
  <c r="F169" i="2"/>
  <c r="G169" i="2" s="1"/>
  <c r="F168" i="2"/>
  <c r="G168" i="2" s="1"/>
  <c r="F167" i="2"/>
  <c r="G167" i="2" s="1"/>
  <c r="F166" i="2"/>
  <c r="G166" i="2" s="1"/>
  <c r="F165" i="2"/>
  <c r="G165" i="2" s="1"/>
  <c r="F164" i="2"/>
  <c r="G164" i="2" s="1"/>
  <c r="F163" i="2"/>
  <c r="G163" i="2" s="1"/>
  <c r="F162" i="2"/>
  <c r="G162" i="2" s="1"/>
  <c r="F161" i="2"/>
  <c r="G161" i="2" s="1"/>
  <c r="F160" i="2"/>
  <c r="G160" i="2" s="1"/>
  <c r="F159" i="2"/>
  <c r="G159" i="2" s="1"/>
  <c r="F158" i="2"/>
  <c r="G158" i="2" s="1"/>
  <c r="F157" i="2"/>
  <c r="G157" i="2" s="1"/>
  <c r="F156" i="2"/>
  <c r="G156" i="2" s="1"/>
  <c r="F155" i="2"/>
  <c r="G155" i="2" s="1"/>
  <c r="F154" i="2"/>
  <c r="G154" i="2" s="1"/>
  <c r="F153" i="2"/>
  <c r="G153" i="2" s="1"/>
  <c r="F152" i="2"/>
  <c r="G152" i="2" s="1"/>
  <c r="F151" i="2"/>
  <c r="G151" i="2" s="1"/>
  <c r="F150" i="2"/>
  <c r="G150" i="2" s="1"/>
  <c r="F149" i="2"/>
  <c r="G149" i="2" s="1"/>
  <c r="F148" i="2"/>
  <c r="G148" i="2" s="1"/>
  <c r="F147" i="2"/>
  <c r="G147" i="2" s="1"/>
  <c r="F146" i="2"/>
  <c r="G146" i="2" s="1"/>
  <c r="F145" i="2"/>
  <c r="G145" i="2" s="1"/>
  <c r="F144" i="2"/>
  <c r="G144" i="2" s="1"/>
  <c r="F143" i="2"/>
  <c r="G143" i="2" s="1"/>
  <c r="F142" i="2"/>
  <c r="G142" i="2" s="1"/>
  <c r="F141" i="2"/>
  <c r="G141" i="2" s="1"/>
  <c r="F140" i="2"/>
  <c r="G140" i="2" s="1"/>
  <c r="F139" i="2"/>
  <c r="G139" i="2" s="1"/>
  <c r="F138" i="2"/>
  <c r="G138" i="2" s="1"/>
  <c r="F137" i="2"/>
  <c r="G137" i="2" s="1"/>
  <c r="F136" i="2"/>
  <c r="G136" i="2" s="1"/>
  <c r="F135" i="2"/>
  <c r="G135" i="2" s="1"/>
  <c r="F134" i="2"/>
  <c r="G134" i="2" s="1"/>
  <c r="F133" i="2"/>
  <c r="G133" i="2" s="1"/>
  <c r="F132" i="2"/>
  <c r="G132" i="2" s="1"/>
  <c r="F131" i="2"/>
  <c r="G131" i="2" s="1"/>
  <c r="F130" i="2"/>
  <c r="G130" i="2" s="1"/>
  <c r="F129" i="2"/>
  <c r="G129" i="2" s="1"/>
  <c r="F128" i="2"/>
  <c r="G128" i="2" s="1"/>
  <c r="F127" i="2"/>
  <c r="G127" i="2" s="1"/>
  <c r="F126" i="2"/>
  <c r="G126" i="2" s="1"/>
  <c r="F125" i="2"/>
  <c r="G125" i="2" s="1"/>
  <c r="F124" i="2"/>
  <c r="G124" i="2" s="1"/>
  <c r="F123" i="2"/>
  <c r="G123" i="2" s="1"/>
  <c r="F122" i="2"/>
  <c r="G122" i="2" s="1"/>
  <c r="F121" i="2"/>
  <c r="G121" i="2" s="1"/>
  <c r="F120" i="2"/>
  <c r="G120" i="2" s="1"/>
  <c r="F119" i="2"/>
  <c r="G119" i="2" s="1"/>
  <c r="F118" i="2"/>
  <c r="G118" i="2" s="1"/>
  <c r="F117" i="2"/>
  <c r="G117" i="2" s="1"/>
  <c r="F116" i="2"/>
  <c r="G116" i="2" s="1"/>
  <c r="F115" i="2"/>
  <c r="G115" i="2" s="1"/>
  <c r="F114" i="2"/>
  <c r="G114" i="2" s="1"/>
  <c r="F113" i="2"/>
  <c r="G113" i="2" s="1"/>
  <c r="F112" i="2"/>
  <c r="G112" i="2" s="1"/>
  <c r="F111" i="2"/>
  <c r="G111" i="2" s="1"/>
  <c r="F110" i="2"/>
  <c r="G110" i="2" s="1"/>
  <c r="F109" i="2"/>
  <c r="G109" i="2" s="1"/>
  <c r="F108" i="2"/>
  <c r="G108" i="2" s="1"/>
  <c r="F107" i="2"/>
  <c r="G107" i="2" s="1"/>
  <c r="F106" i="2"/>
  <c r="G106" i="2" s="1"/>
  <c r="F105" i="2"/>
  <c r="G105" i="2" s="1"/>
  <c r="F104" i="2"/>
  <c r="G104" i="2" s="1"/>
  <c r="F103" i="2"/>
  <c r="G103" i="2" s="1"/>
  <c r="F102" i="2"/>
  <c r="G102" i="2" s="1"/>
  <c r="F101" i="2"/>
  <c r="G101" i="2" s="1"/>
  <c r="F100" i="2"/>
  <c r="G100" i="2" s="1"/>
  <c r="F99" i="2"/>
  <c r="G99" i="2" s="1"/>
  <c r="F98" i="2"/>
  <c r="G98" i="2" s="1"/>
  <c r="F97" i="2"/>
  <c r="G97" i="2" s="1"/>
  <c r="F96" i="2"/>
  <c r="G96" i="2" s="1"/>
  <c r="F95" i="2"/>
  <c r="G95" i="2" s="1"/>
  <c r="F94" i="2"/>
  <c r="G94" i="2" s="1"/>
  <c r="F93" i="2"/>
  <c r="G93" i="2" s="1"/>
  <c r="F92" i="2"/>
  <c r="G92" i="2" s="1"/>
  <c r="F91" i="2"/>
  <c r="G91" i="2" s="1"/>
  <c r="F90" i="2"/>
  <c r="G90" i="2" s="1"/>
  <c r="F89" i="2"/>
  <c r="G89" i="2" s="1"/>
  <c r="F88" i="2"/>
  <c r="G88" i="2" s="1"/>
  <c r="F87" i="2"/>
  <c r="G87" i="2" s="1"/>
  <c r="F86" i="2"/>
  <c r="G86" i="2" s="1"/>
  <c r="F85" i="2"/>
  <c r="G85" i="2" s="1"/>
  <c r="F84" i="2"/>
  <c r="G84" i="2" s="1"/>
  <c r="F83" i="2"/>
  <c r="G83" i="2" s="1"/>
  <c r="F82" i="2"/>
  <c r="G82" i="2" s="1"/>
  <c r="F81" i="2"/>
  <c r="G81" i="2" s="1"/>
  <c r="F80" i="2"/>
  <c r="G80" i="2" s="1"/>
  <c r="F79" i="2"/>
  <c r="G79" i="2" s="1"/>
  <c r="F78" i="2"/>
  <c r="G78" i="2" s="1"/>
  <c r="F77" i="2"/>
  <c r="G77" i="2" s="1"/>
  <c r="F76" i="2"/>
  <c r="G76" i="2" s="1"/>
  <c r="F75" i="2"/>
  <c r="G75" i="2" s="1"/>
  <c r="F74" i="2"/>
  <c r="G74" i="2" s="1"/>
  <c r="F73" i="2"/>
  <c r="G73" i="2" s="1"/>
  <c r="F72" i="2"/>
  <c r="G72" i="2" s="1"/>
  <c r="F71" i="2"/>
  <c r="G71" i="2" s="1"/>
  <c r="F70" i="2"/>
  <c r="G70" i="2" s="1"/>
  <c r="F69" i="2"/>
  <c r="G69" i="2" s="1"/>
  <c r="F68" i="2"/>
  <c r="G68" i="2" s="1"/>
  <c r="F67" i="2"/>
  <c r="G67" i="2" s="1"/>
  <c r="F66" i="2"/>
  <c r="G66" i="2" s="1"/>
  <c r="F65" i="2"/>
  <c r="G65" i="2" s="1"/>
  <c r="F64" i="2"/>
  <c r="G64" i="2" s="1"/>
  <c r="F63" i="2"/>
  <c r="G63" i="2" s="1"/>
  <c r="F62" i="2"/>
  <c r="G62" i="2" s="1"/>
  <c r="F61" i="2"/>
  <c r="G61" i="2" s="1"/>
  <c r="F60" i="2"/>
  <c r="G60" i="2" s="1"/>
  <c r="F59" i="2"/>
  <c r="G59" i="2" s="1"/>
  <c r="F58" i="2"/>
  <c r="G58" i="2" s="1"/>
  <c r="F57" i="2"/>
  <c r="G57" i="2" s="1"/>
  <c r="F56" i="2"/>
  <c r="G56" i="2" s="1"/>
  <c r="F55" i="2"/>
  <c r="G55" i="2" s="1"/>
  <c r="F54" i="2"/>
  <c r="G54" i="2" s="1"/>
  <c r="F53" i="2"/>
  <c r="G53" i="2" s="1"/>
  <c r="F52" i="2"/>
  <c r="G52" i="2" s="1"/>
  <c r="F51" i="2"/>
  <c r="G51" i="2" s="1"/>
  <c r="F50" i="2"/>
  <c r="G50" i="2" s="1"/>
  <c r="F49" i="2"/>
  <c r="G49" i="2" s="1"/>
  <c r="F48" i="2"/>
  <c r="G48" i="2" s="1"/>
  <c r="F47" i="2"/>
  <c r="G47" i="2" s="1"/>
  <c r="F46" i="2"/>
  <c r="G46" i="2" s="1"/>
  <c r="F45" i="2"/>
  <c r="G45" i="2" s="1"/>
  <c r="F44" i="2"/>
  <c r="G44" i="2" s="1"/>
  <c r="F43" i="2"/>
  <c r="G43" i="2" s="1"/>
  <c r="F42" i="2"/>
  <c r="G42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2" i="2"/>
  <c r="G32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499" i="2"/>
  <c r="G6499" i="2" s="1"/>
  <c r="F6" i="2"/>
  <c r="G6" i="2" s="1"/>
  <c r="F4" i="2"/>
  <c r="C16" i="4"/>
  <c r="C10" i="4"/>
  <c r="C4" i="4"/>
  <c r="H1369" i="1"/>
  <c r="H263" i="1"/>
  <c r="H1068" i="1"/>
  <c r="H1030" i="1"/>
  <c r="H880" i="1"/>
  <c r="H384" i="1"/>
  <c r="H992" i="1"/>
  <c r="H310" i="1"/>
  <c r="H917" i="1"/>
  <c r="H843" i="1"/>
  <c r="H272" i="1"/>
  <c r="H347" i="1"/>
  <c r="H959" i="1"/>
  <c r="H988" i="1"/>
  <c r="H230" i="1"/>
  <c r="H1026" i="1"/>
  <c r="H1140" i="1"/>
  <c r="H269" i="1"/>
  <c r="H928" i="1"/>
  <c r="H96" i="1"/>
  <c r="H592" i="1"/>
  <c r="H1074" i="1"/>
  <c r="H1036" i="1"/>
  <c r="H998" i="1"/>
  <c r="H849" i="1"/>
  <c r="H278" i="1"/>
  <c r="H202" i="1"/>
  <c r="H885" i="1"/>
  <c r="H1111" i="1"/>
  <c r="H287" i="1"/>
  <c r="H956" i="1"/>
  <c r="H1078" i="1"/>
  <c r="H1040" i="1"/>
  <c r="H1191" i="1"/>
  <c r="H563" i="1"/>
  <c r="H1116" i="1"/>
  <c r="H975" i="1"/>
  <c r="H95" i="1"/>
  <c r="H217" i="1"/>
  <c r="H179" i="1"/>
  <c r="H244" i="1"/>
  <c r="H1051" i="1"/>
  <c r="H863" i="1"/>
  <c r="H142" i="1"/>
  <c r="H49" i="1"/>
  <c r="H54" i="1"/>
  <c r="H31" i="1"/>
  <c r="H39" i="1"/>
  <c r="C31" i="12" l="1"/>
  <c r="AA8" i="12"/>
  <c r="V26" i="12"/>
  <c r="C30" i="12" s="1"/>
  <c r="I795" i="1"/>
  <c r="I82" i="9" s="1"/>
  <c r="I792" i="1"/>
  <c r="I789" i="1"/>
  <c r="I725" i="6"/>
  <c r="H692" i="6"/>
  <c r="J692" i="6" s="1"/>
  <c r="G901" i="1" s="1"/>
  <c r="H993" i="1"/>
  <c r="H399" i="1"/>
  <c r="H368" i="1"/>
  <c r="I368" i="1" s="1"/>
  <c r="H432" i="1"/>
  <c r="H915" i="1"/>
  <c r="H1220" i="1"/>
  <c r="H586" i="1"/>
  <c r="H207" i="1"/>
  <c r="H294" i="1"/>
  <c r="I294" i="1" s="1"/>
  <c r="H1141" i="1"/>
  <c r="H1416" i="1"/>
  <c r="H1004" i="1"/>
  <c r="H33" i="1"/>
  <c r="B1039" i="6"/>
  <c r="I1039" i="6" s="1"/>
  <c r="J1039" i="6" s="1"/>
  <c r="B1035" i="6"/>
  <c r="G1035" i="6" s="1"/>
  <c r="J1035" i="6" s="1"/>
  <c r="B1001" i="6"/>
  <c r="I1001" i="6" s="1"/>
  <c r="J1001" i="6" s="1"/>
  <c r="G1170" i="1" s="1"/>
  <c r="I1170" i="1" s="1"/>
  <c r="B997" i="6"/>
  <c r="G997" i="6" s="1"/>
  <c r="J997" i="6" s="1"/>
  <c r="G1166" i="1" s="1"/>
  <c r="I1166" i="1" s="1"/>
  <c r="B963" i="6"/>
  <c r="I963" i="6" s="1"/>
  <c r="J963" i="6" s="1"/>
  <c r="G1132" i="1" s="1"/>
  <c r="I1132" i="1" s="1"/>
  <c r="B959" i="6"/>
  <c r="G959" i="6" s="1"/>
  <c r="J959" i="6" s="1"/>
  <c r="G1128" i="1" s="1"/>
  <c r="I1128" i="1" s="1"/>
  <c r="B925" i="6"/>
  <c r="I925" i="6" s="1"/>
  <c r="J925" i="6" s="1"/>
  <c r="G1095" i="1" s="1"/>
  <c r="I1095" i="1" s="1"/>
  <c r="B921" i="6"/>
  <c r="G921" i="6" s="1"/>
  <c r="J921" i="6" s="1"/>
  <c r="G1091" i="1" s="1"/>
  <c r="I1091" i="1" s="1"/>
  <c r="B887" i="6"/>
  <c r="I887" i="6" s="1"/>
  <c r="J887" i="6" s="1"/>
  <c r="G1057" i="1" s="1"/>
  <c r="I1057" i="1" s="1"/>
  <c r="B883" i="6"/>
  <c r="G883" i="6" s="1"/>
  <c r="J883" i="6" s="1"/>
  <c r="G1053" i="1" s="1"/>
  <c r="I1053" i="1" s="1"/>
  <c r="B849" i="6"/>
  <c r="I849" i="6" s="1"/>
  <c r="J849" i="6" s="1"/>
  <c r="B845" i="6"/>
  <c r="G845" i="6" s="1"/>
  <c r="J845" i="6" s="1"/>
  <c r="B811" i="6"/>
  <c r="I811" i="6" s="1"/>
  <c r="J811" i="6" s="1"/>
  <c r="G1019" i="1" s="1"/>
  <c r="I1019" i="1" s="1"/>
  <c r="B807" i="6"/>
  <c r="G807" i="6" s="1"/>
  <c r="J807" i="6" s="1"/>
  <c r="G1015" i="1" s="1"/>
  <c r="I1015" i="1" s="1"/>
  <c r="B773" i="6"/>
  <c r="I773" i="6" s="1"/>
  <c r="J773" i="6" s="1"/>
  <c r="G981" i="1" s="1"/>
  <c r="I981" i="1" s="1"/>
  <c r="B769" i="6"/>
  <c r="G769" i="6" s="1"/>
  <c r="J769" i="6" s="1"/>
  <c r="G977" i="1" s="1"/>
  <c r="I977" i="1" s="1"/>
  <c r="B735" i="6"/>
  <c r="I735" i="6" s="1"/>
  <c r="J735" i="6" s="1"/>
  <c r="G944" i="1" s="1"/>
  <c r="I944" i="1" s="1"/>
  <c r="B731" i="6"/>
  <c r="G731" i="6" s="1"/>
  <c r="J731" i="6" s="1"/>
  <c r="G940" i="1" s="1"/>
  <c r="I940" i="1" s="1"/>
  <c r="B1027" i="6"/>
  <c r="I1027" i="6" s="1"/>
  <c r="J1027" i="6" s="1"/>
  <c r="G1196" i="1" s="1"/>
  <c r="B697" i="6"/>
  <c r="I697" i="6" s="1"/>
  <c r="J697" i="6" s="1"/>
  <c r="G906" i="1" s="1"/>
  <c r="I906" i="1" s="1"/>
  <c r="B693" i="6"/>
  <c r="G693" i="6" s="1"/>
  <c r="J693" i="6" s="1"/>
  <c r="G902" i="1" s="1"/>
  <c r="I902" i="1" s="1"/>
  <c r="B659" i="6"/>
  <c r="I659" i="6" s="1"/>
  <c r="J659" i="6" s="1"/>
  <c r="G869" i="1" s="1"/>
  <c r="I869" i="1" s="1"/>
  <c r="B655" i="6"/>
  <c r="G655" i="6" s="1"/>
  <c r="J655" i="6" s="1"/>
  <c r="G865" i="1" s="1"/>
  <c r="I865" i="1" s="1"/>
  <c r="B621" i="6"/>
  <c r="I621" i="6" s="1"/>
  <c r="J621" i="6" s="1"/>
  <c r="G832" i="1" s="1"/>
  <c r="I832" i="1" s="1"/>
  <c r="B617" i="6"/>
  <c r="G617" i="6" s="1"/>
  <c r="J617" i="6" s="1"/>
  <c r="G828" i="1" s="1"/>
  <c r="I828" i="1" s="1"/>
  <c r="B583" i="6"/>
  <c r="I583" i="6" s="1"/>
  <c r="J583" i="6" s="1"/>
  <c r="G485" i="1" s="1"/>
  <c r="I485" i="1" s="1"/>
  <c r="B579" i="6"/>
  <c r="G579" i="6" s="1"/>
  <c r="J579" i="6" s="1"/>
  <c r="G481" i="1" s="1"/>
  <c r="I481" i="1" s="1"/>
  <c r="B545" i="6"/>
  <c r="I545" i="6" s="1"/>
  <c r="J545" i="6" s="1"/>
  <c r="G447" i="1" s="1"/>
  <c r="I447" i="1" s="1"/>
  <c r="B541" i="6"/>
  <c r="G541" i="6" s="1"/>
  <c r="J541" i="6" s="1"/>
  <c r="G443" i="1" s="1"/>
  <c r="I443" i="1" s="1"/>
  <c r="B507" i="6"/>
  <c r="I507" i="6" s="1"/>
  <c r="J507" i="6" s="1"/>
  <c r="G410" i="1" s="1"/>
  <c r="I410" i="1" s="1"/>
  <c r="B503" i="6"/>
  <c r="G503" i="6" s="1"/>
  <c r="J503" i="6" s="1"/>
  <c r="G406" i="1" s="1"/>
  <c r="I406" i="1" s="1"/>
  <c r="B469" i="6"/>
  <c r="I469" i="6" s="1"/>
  <c r="J469" i="6" s="1"/>
  <c r="B465" i="6"/>
  <c r="G465" i="6" s="1"/>
  <c r="J465" i="6" s="1"/>
  <c r="B431" i="6"/>
  <c r="I431" i="6" s="1"/>
  <c r="J431" i="6" s="1"/>
  <c r="G373" i="1" s="1"/>
  <c r="I373" i="1" s="1"/>
  <c r="B427" i="6"/>
  <c r="G427" i="6" s="1"/>
  <c r="J427" i="6" s="1"/>
  <c r="G369" i="1" s="1"/>
  <c r="I369" i="1" s="1"/>
  <c r="B393" i="6"/>
  <c r="I393" i="6" s="1"/>
  <c r="J393" i="6" s="1"/>
  <c r="G336" i="1" s="1"/>
  <c r="I336" i="1" s="1"/>
  <c r="B389" i="6"/>
  <c r="G389" i="6" s="1"/>
  <c r="J389" i="6" s="1"/>
  <c r="G332" i="1" s="1"/>
  <c r="I332" i="1" s="1"/>
  <c r="B355" i="6"/>
  <c r="I355" i="6" s="1"/>
  <c r="J355" i="6" s="1"/>
  <c r="G299" i="1" s="1"/>
  <c r="I299" i="1" s="1"/>
  <c r="B351" i="6"/>
  <c r="G351" i="6" s="1"/>
  <c r="J351" i="6" s="1"/>
  <c r="G295" i="1" s="1"/>
  <c r="I295" i="1" s="1"/>
  <c r="B317" i="6"/>
  <c r="I317" i="6" s="1"/>
  <c r="J317" i="6" s="1"/>
  <c r="G261" i="1" s="1"/>
  <c r="I261" i="1" s="1"/>
  <c r="B313" i="6"/>
  <c r="G313" i="6" s="1"/>
  <c r="J313" i="6" s="1"/>
  <c r="G257" i="1" s="1"/>
  <c r="I257" i="1" s="1"/>
  <c r="B279" i="6"/>
  <c r="I279" i="6" s="1"/>
  <c r="J279" i="6" s="1"/>
  <c r="B275" i="6"/>
  <c r="G275" i="6" s="1"/>
  <c r="J275" i="6" s="1"/>
  <c r="B241" i="6"/>
  <c r="I241" i="6" s="1"/>
  <c r="J241" i="6" s="1"/>
  <c r="G223" i="1" s="1"/>
  <c r="I223" i="1" s="1"/>
  <c r="B237" i="6"/>
  <c r="G237" i="6" s="1"/>
  <c r="J237" i="6" s="1"/>
  <c r="G219" i="1" s="1"/>
  <c r="I219" i="1" s="1"/>
  <c r="B203" i="6"/>
  <c r="I203" i="6" s="1"/>
  <c r="J203" i="6" s="1"/>
  <c r="B199" i="6"/>
  <c r="G199" i="6" s="1"/>
  <c r="J199" i="6" s="1"/>
  <c r="B165" i="6"/>
  <c r="I165" i="6" s="1"/>
  <c r="J165" i="6" s="1"/>
  <c r="G185" i="1" s="1"/>
  <c r="I185" i="1" s="1"/>
  <c r="B161" i="6"/>
  <c r="G161" i="6" s="1"/>
  <c r="J161" i="6" s="1"/>
  <c r="G181" i="1" s="1"/>
  <c r="I181" i="1" s="1"/>
  <c r="B127" i="6"/>
  <c r="I127" i="6" s="1"/>
  <c r="J127" i="6" s="1"/>
  <c r="G148" i="1" s="1"/>
  <c r="I148" i="1" s="1"/>
  <c r="B123" i="6"/>
  <c r="G123" i="6" s="1"/>
  <c r="J123" i="6" s="1"/>
  <c r="G144" i="1" s="1"/>
  <c r="I144" i="1" s="1"/>
  <c r="B89" i="6"/>
  <c r="I89" i="6" s="1"/>
  <c r="J89" i="6" s="1"/>
  <c r="G111" i="1" s="1"/>
  <c r="I111" i="1" s="1"/>
  <c r="B85" i="6"/>
  <c r="G85" i="6" s="1"/>
  <c r="J85" i="6" s="1"/>
  <c r="G107" i="1" s="1"/>
  <c r="I107" i="1" s="1"/>
  <c r="B37" i="6"/>
  <c r="H37" i="6" s="1"/>
  <c r="J37" i="6" s="1"/>
  <c r="G61" i="1" s="1"/>
  <c r="B9" i="6"/>
  <c r="G9" i="6" s="1"/>
  <c r="J9" i="6" s="1"/>
  <c r="G33" i="1" s="1"/>
  <c r="B67" i="6"/>
  <c r="I67" i="6" s="1"/>
  <c r="J67" i="6" s="1"/>
  <c r="G90" i="1" s="1"/>
  <c r="B47" i="6"/>
  <c r="G47" i="6" s="1"/>
  <c r="J47" i="6" s="1"/>
  <c r="G70" i="1" s="1"/>
  <c r="I70" i="1" s="1"/>
  <c r="B1017" i="6"/>
  <c r="I1017" i="6" s="1"/>
  <c r="J1017" i="6" s="1"/>
  <c r="G1186" i="1" s="1"/>
  <c r="H926" i="1"/>
  <c r="H156" i="1"/>
  <c r="H492" i="1"/>
  <c r="H1064" i="1"/>
  <c r="H120" i="1"/>
  <c r="H1104" i="1"/>
  <c r="H877" i="1"/>
  <c r="H418" i="1"/>
  <c r="H417" i="1"/>
  <c r="H79" i="1"/>
  <c r="H331" i="1"/>
  <c r="I331" i="1" s="1"/>
  <c r="H143" i="1"/>
  <c r="I143" i="1" s="1"/>
  <c r="H480" i="1"/>
  <c r="I480" i="1" s="1"/>
  <c r="H1028" i="1"/>
  <c r="H119" i="1"/>
  <c r="H951" i="1"/>
  <c r="H118" i="1"/>
  <c r="H454" i="1"/>
  <c r="H1352" i="1"/>
  <c r="I1352" i="1" s="1"/>
  <c r="H381" i="1"/>
  <c r="H1147" i="1"/>
  <c r="H989" i="1"/>
  <c r="H1177" i="1"/>
  <c r="H852" i="1"/>
  <c r="H827" i="1"/>
  <c r="I827" i="1" s="1"/>
  <c r="H534" i="1"/>
  <c r="H1027" i="1"/>
  <c r="H314" i="1"/>
  <c r="H123" i="1"/>
  <c r="H1031" i="1"/>
  <c r="H858" i="1"/>
  <c r="H351" i="1"/>
  <c r="H517" i="1"/>
  <c r="H68" i="1"/>
  <c r="I68" i="1" s="1"/>
  <c r="H479" i="1"/>
  <c r="I479" i="1" s="1"/>
  <c r="H255" i="1"/>
  <c r="I255" i="1" s="1"/>
  <c r="H1002" i="1"/>
  <c r="H1089" i="1"/>
  <c r="I1089" i="1" s="1"/>
  <c r="H235" i="1"/>
  <c r="H160" i="1"/>
  <c r="H422" i="1"/>
  <c r="H1069" i="1"/>
  <c r="H362" i="1"/>
  <c r="H1007" i="1"/>
  <c r="H960" i="1"/>
  <c r="H1124" i="1"/>
  <c r="H190" i="1"/>
  <c r="H238" i="1"/>
  <c r="H1367" i="1"/>
  <c r="I1367" i="1" s="1"/>
  <c r="H1354" i="1"/>
  <c r="I1354" i="1" s="1"/>
  <c r="H1370" i="1"/>
  <c r="I1370" i="1" s="1"/>
  <c r="H771" i="1"/>
  <c r="I771" i="1" s="1"/>
  <c r="I766" i="1" s="1"/>
  <c r="I765" i="1" s="1"/>
  <c r="I73" i="9" s="1"/>
  <c r="H1378" i="1"/>
  <c r="I1378" i="1" s="1"/>
  <c r="H1362" i="1"/>
  <c r="I1362" i="1" s="1"/>
  <c r="H52" i="1"/>
  <c r="H197" i="1"/>
  <c r="H1107" i="1"/>
  <c r="H531" i="1"/>
  <c r="I531" i="1" s="1"/>
  <c r="H1185" i="1"/>
  <c r="H918" i="1"/>
  <c r="H497" i="1"/>
  <c r="H249" i="1"/>
  <c r="H239" i="1"/>
  <c r="H42" i="1"/>
  <c r="H884" i="1"/>
  <c r="H921" i="1"/>
  <c r="H293" i="1"/>
  <c r="I293" i="1" s="1"/>
  <c r="H900" i="1"/>
  <c r="I900" i="1" s="1"/>
  <c r="H890" i="1"/>
  <c r="H594" i="1"/>
  <c r="H624" i="1"/>
  <c r="H631" i="1"/>
  <c r="H970" i="1"/>
  <c r="H137" i="1"/>
  <c r="H473" i="1"/>
  <c r="H63" i="1"/>
  <c r="H256" i="1"/>
  <c r="I256" i="1" s="1"/>
  <c r="H83" i="1"/>
  <c r="H395" i="1"/>
  <c r="H405" i="1"/>
  <c r="I405" i="1" s="1"/>
  <c r="H595" i="1"/>
  <c r="H1014" i="1"/>
  <c r="H1377" i="1"/>
  <c r="I1377" i="1" s="1"/>
  <c r="H1396" i="1"/>
  <c r="I1396" i="1" s="1"/>
  <c r="H938" i="1"/>
  <c r="I938" i="1" s="1"/>
  <c r="H853" i="1"/>
  <c r="H357" i="1"/>
  <c r="H431" i="1"/>
  <c r="H1164" i="1"/>
  <c r="I1164" i="1" s="1"/>
  <c r="H533" i="1"/>
  <c r="H616" i="1"/>
  <c r="H436" i="1"/>
  <c r="H1158" i="1"/>
  <c r="H1121" i="1"/>
  <c r="H164" i="1"/>
  <c r="H134" i="1"/>
  <c r="H1117" i="1"/>
  <c r="H170" i="1"/>
  <c r="H194" i="1"/>
  <c r="H1165" i="1"/>
  <c r="H976" i="1"/>
  <c r="H625" i="1"/>
  <c r="H549" i="1"/>
  <c r="H1368" i="1"/>
  <c r="I1368" i="1" s="1"/>
  <c r="H32" i="1"/>
  <c r="I32" i="1" s="1"/>
  <c r="H540" i="1"/>
  <c r="H133" i="1"/>
  <c r="H180" i="1"/>
  <c r="I180" i="1" s="1"/>
  <c r="H966" i="1"/>
  <c r="H358" i="1"/>
  <c r="H245" i="1"/>
  <c r="H69" i="1"/>
  <c r="I69" i="1" s="1"/>
  <c r="H469" i="1"/>
  <c r="H990" i="1"/>
  <c r="H382" i="1"/>
  <c r="H864" i="1"/>
  <c r="I864" i="1" s="1"/>
  <c r="H580" i="1"/>
  <c r="H1154" i="1"/>
  <c r="H939" i="1"/>
  <c r="H1127" i="1"/>
  <c r="H341" i="1"/>
  <c r="H1062" i="1"/>
  <c r="H703" i="1"/>
  <c r="I703" i="1" s="1"/>
  <c r="H1386" i="1"/>
  <c r="H783" i="1"/>
  <c r="I783" i="1" s="1"/>
  <c r="H1400" i="1"/>
  <c r="I1400" i="1" s="1"/>
  <c r="H1420" i="1"/>
  <c r="I1420" i="1" s="1"/>
  <c r="H1410" i="1"/>
  <c r="I1410" i="1" s="1"/>
  <c r="H1390" i="1"/>
  <c r="I1390" i="1" s="1"/>
  <c r="H519" i="1"/>
  <c r="H46" i="1"/>
  <c r="H555" i="1"/>
  <c r="H854" i="1"/>
  <c r="H106" i="1"/>
  <c r="I106" i="1" s="1"/>
  <c r="H345" i="1"/>
  <c r="H321" i="1"/>
  <c r="H564" i="1"/>
  <c r="H218" i="1"/>
  <c r="I218" i="1" s="1"/>
  <c r="H442" i="1"/>
  <c r="I442" i="1" s="1"/>
  <c r="H507" i="1"/>
  <c r="H1236" i="1"/>
  <c r="H494" i="1"/>
  <c r="H1003" i="1"/>
  <c r="H1079" i="1"/>
  <c r="H1204" i="1"/>
  <c r="H1052" i="1"/>
  <c r="H1175" i="1"/>
  <c r="H1376" i="1"/>
  <c r="G1350" i="1"/>
  <c r="E27" i="16"/>
  <c r="G1360" i="1" s="1"/>
  <c r="E47" i="16"/>
  <c r="G1376" i="1" s="1"/>
  <c r="G1366" i="1"/>
  <c r="H55" i="17"/>
  <c r="G1401" i="1" s="1"/>
  <c r="G1398" i="1"/>
  <c r="H53" i="17"/>
  <c r="G1399" i="1" s="1"/>
  <c r="G1397" i="1"/>
  <c r="G1407" i="1"/>
  <c r="G1408" i="1" s="1"/>
  <c r="H71" i="17"/>
  <c r="G1409" i="1" s="1"/>
  <c r="H8" i="17"/>
  <c r="H15" i="17" s="1"/>
  <c r="G781" i="1" s="1"/>
  <c r="H1188" i="1"/>
  <c r="I1188" i="1" s="1"/>
  <c r="H850" i="1"/>
  <c r="I850" i="1" s="1"/>
  <c r="H203" i="1"/>
  <c r="I203" i="1" s="1"/>
  <c r="H166" i="1"/>
  <c r="I166" i="1" s="1"/>
  <c r="H465" i="1"/>
  <c r="H279" i="1"/>
  <c r="I279" i="1" s="1"/>
  <c r="H999" i="1"/>
  <c r="I999" i="1" s="1"/>
  <c r="H241" i="1"/>
  <c r="I241" i="1" s="1"/>
  <c r="H317" i="1"/>
  <c r="I317" i="1" s="1"/>
  <c r="H55" i="1"/>
  <c r="I55" i="1" s="1"/>
  <c r="H1075" i="1"/>
  <c r="I1075" i="1" s="1"/>
  <c r="H354" i="1"/>
  <c r="I354" i="1" s="1"/>
  <c r="H661" i="1"/>
  <c r="I661" i="1" s="1"/>
  <c r="H1296" i="1"/>
  <c r="I1296" i="1" s="1"/>
  <c r="H1256" i="1"/>
  <c r="I1256" i="1" s="1"/>
  <c r="H627" i="1"/>
  <c r="H262" i="1"/>
  <c r="I262" i="1" s="1"/>
  <c r="H1058" i="1"/>
  <c r="H521" i="1"/>
  <c r="H780" i="1"/>
  <c r="H536" i="1"/>
  <c r="H224" i="1"/>
  <c r="H551" i="1"/>
  <c r="H1020" i="1"/>
  <c r="I1020" i="1" s="1"/>
  <c r="H945" i="1"/>
  <c r="I945" i="1" s="1"/>
  <c r="H1206" i="1"/>
  <c r="H448" i="1"/>
  <c r="I448" i="1" s="1"/>
  <c r="H982" i="1"/>
  <c r="I982" i="1" s="1"/>
  <c r="H75" i="1"/>
  <c r="H566" i="1"/>
  <c r="H486" i="1"/>
  <c r="I486" i="1" s="1"/>
  <c r="H1305" i="1"/>
  <c r="I1305" i="1" s="1"/>
  <c r="H907" i="1"/>
  <c r="H112" i="1"/>
  <c r="I112" i="1" s="1"/>
  <c r="H201" i="1"/>
  <c r="H922" i="1"/>
  <c r="H426" i="1"/>
  <c r="H53" i="1"/>
  <c r="H128" i="1"/>
  <c r="I128" i="1" s="1"/>
  <c r="H316" i="1"/>
  <c r="I316" i="1" s="1"/>
  <c r="H502" i="1"/>
  <c r="I502" i="1" s="1"/>
  <c r="H228" i="1"/>
  <c r="H116" i="1"/>
  <c r="H874" i="1"/>
  <c r="H277" i="1"/>
  <c r="H1186" i="1"/>
  <c r="H848" i="1"/>
  <c r="H1148" i="1"/>
  <c r="H91" i="1"/>
  <c r="I91" i="1" s="1"/>
  <c r="H427" i="1"/>
  <c r="I427" i="1" s="1"/>
  <c r="H153" i="1"/>
  <c r="H490" i="1"/>
  <c r="H1404" i="1"/>
  <c r="I1404" i="1" s="1"/>
  <c r="H1379" i="1"/>
  <c r="I1379" i="1" s="1"/>
  <c r="H1363" i="1"/>
  <c r="I1363" i="1" s="1"/>
  <c r="H598" i="1"/>
  <c r="H487" i="1"/>
  <c r="H781" i="1"/>
  <c r="H705" i="1"/>
  <c r="I705" i="1" s="1"/>
  <c r="H1021" i="1"/>
  <c r="H628" i="1"/>
  <c r="H946" i="1"/>
  <c r="H834" i="1"/>
  <c r="I834" i="1" s="1"/>
  <c r="H338" i="1"/>
  <c r="I338" i="1" s="1"/>
  <c r="H983" i="1"/>
  <c r="I983" i="1" s="1"/>
  <c r="H113" i="1"/>
  <c r="H657" i="1"/>
  <c r="I657" i="1" s="1"/>
  <c r="H1308" i="1"/>
  <c r="I1308" i="1" s="1"/>
  <c r="H1225" i="1"/>
  <c r="H1241" i="1"/>
  <c r="H569" i="1"/>
  <c r="H1298" i="1"/>
  <c r="I1298" i="1" s="1"/>
  <c r="H1391" i="1"/>
  <c r="H1293" i="1"/>
  <c r="I1293" i="1" s="1"/>
  <c r="H524" i="1"/>
  <c r="H675" i="1"/>
  <c r="H1411" i="1"/>
  <c r="H1281" i="1"/>
  <c r="I1281" i="1" s="1"/>
  <c r="H376" i="1"/>
  <c r="H1098" i="1"/>
  <c r="H984" i="1"/>
  <c r="H339" i="1"/>
  <c r="H226" i="1"/>
  <c r="H188" i="1"/>
  <c r="H1022" i="1"/>
  <c r="H40" i="1"/>
  <c r="H520" i="1"/>
  <c r="I520" i="1" s="1"/>
  <c r="H1237" i="1"/>
  <c r="I1237" i="1" s="1"/>
  <c r="H1221" i="1"/>
  <c r="I1221" i="1" s="1"/>
  <c r="H626" i="1"/>
  <c r="I626" i="1" s="1"/>
  <c r="H596" i="1"/>
  <c r="I596" i="1" s="1"/>
  <c r="H565" i="1"/>
  <c r="I565" i="1" s="1"/>
  <c r="H1205" i="1"/>
  <c r="I1205" i="1" s="1"/>
  <c r="H611" i="1"/>
  <c r="I611" i="1" s="1"/>
  <c r="H581" i="1"/>
  <c r="I581" i="1" s="1"/>
  <c r="H550" i="1"/>
  <c r="I550" i="1" s="1"/>
  <c r="H535" i="1"/>
  <c r="I535" i="1" s="1"/>
  <c r="H17" i="17"/>
  <c r="G784" i="1" s="1"/>
  <c r="H83" i="17"/>
  <c r="G1418" i="1" s="1"/>
  <c r="D82" i="17"/>
  <c r="G1416" i="1" s="1"/>
  <c r="G782" i="1"/>
  <c r="G1388" i="1"/>
  <c r="G1405" i="1"/>
  <c r="G780" i="1"/>
  <c r="H73" i="17"/>
  <c r="G1411" i="1" s="1"/>
  <c r="D26" i="17"/>
  <c r="G1386" i="1" s="1"/>
  <c r="H34" i="17"/>
  <c r="G1389" i="1" s="1"/>
  <c r="H36" i="17"/>
  <c r="G1391" i="1" s="1"/>
  <c r="I1380" i="1"/>
  <c r="B160" i="11"/>
  <c r="B163" i="11"/>
  <c r="F163" i="11" s="1"/>
  <c r="I163" i="11" s="1"/>
  <c r="C161" i="11"/>
  <c r="C163" i="11"/>
  <c r="B150" i="11"/>
  <c r="B149" i="11"/>
  <c r="F149" i="11" s="1"/>
  <c r="I149" i="11" s="1"/>
  <c r="C147" i="11"/>
  <c r="C149" i="11"/>
  <c r="B132" i="11"/>
  <c r="B135" i="11"/>
  <c r="C133" i="11"/>
  <c r="C135" i="11"/>
  <c r="F160" i="11"/>
  <c r="B161" i="11"/>
  <c r="B118" i="11"/>
  <c r="B121" i="11"/>
  <c r="C119" i="11"/>
  <c r="C122" i="11" s="1"/>
  <c r="C124" i="11" s="1"/>
  <c r="C126" i="11" s="1"/>
  <c r="H126" i="11" s="1"/>
  <c r="I126" i="11" s="1"/>
  <c r="G631" i="1" s="1"/>
  <c r="C121" i="11"/>
  <c r="B104" i="11"/>
  <c r="B107" i="11"/>
  <c r="B15" i="11"/>
  <c r="E15" i="11" s="1"/>
  <c r="I15" i="11" s="1"/>
  <c r="G526" i="1" s="1"/>
  <c r="B7" i="11"/>
  <c r="C105" i="11"/>
  <c r="C107" i="11"/>
  <c r="B10" i="11"/>
  <c r="B90" i="11"/>
  <c r="B93" i="11"/>
  <c r="F93" i="11" s="1"/>
  <c r="I93" i="11" s="1"/>
  <c r="B147" i="11"/>
  <c r="C164" i="11"/>
  <c r="F161" i="11"/>
  <c r="I161" i="11" s="1"/>
  <c r="G1235" i="1" s="1"/>
  <c r="C77" i="11"/>
  <c r="C79" i="11"/>
  <c r="B82" i="11"/>
  <c r="B79" i="11"/>
  <c r="C63" i="11"/>
  <c r="F63" i="11" s="1"/>
  <c r="I63" i="11" s="1"/>
  <c r="C65" i="11"/>
  <c r="B68" i="11"/>
  <c r="B65" i="11"/>
  <c r="F65" i="11" s="1"/>
  <c r="I65" i="11" s="1"/>
  <c r="C49" i="11"/>
  <c r="C52" i="11" s="1"/>
  <c r="C54" i="11" s="1"/>
  <c r="C56" i="11" s="1"/>
  <c r="H56" i="11" s="1"/>
  <c r="I56" i="11" s="1"/>
  <c r="G570" i="1" s="1"/>
  <c r="C51" i="11"/>
  <c r="B48" i="11"/>
  <c r="B51" i="11"/>
  <c r="F51" i="11" s="1"/>
  <c r="I51" i="11" s="1"/>
  <c r="B52" i="11"/>
  <c r="B38" i="11"/>
  <c r="B37" i="11"/>
  <c r="F37" i="11" s="1"/>
  <c r="I37" i="11" s="1"/>
  <c r="C7" i="11"/>
  <c r="C9" i="11"/>
  <c r="I160" i="11"/>
  <c r="G1234" i="1" s="1"/>
  <c r="F162" i="11"/>
  <c r="I162" i="11" s="1"/>
  <c r="G1236" i="1" s="1"/>
  <c r="C21" i="11"/>
  <c r="C24" i="11" s="1"/>
  <c r="C26" i="11" s="1"/>
  <c r="C28" i="11" s="1"/>
  <c r="H28" i="11" s="1"/>
  <c r="I28" i="11" s="1"/>
  <c r="G540" i="1" s="1"/>
  <c r="C23" i="11"/>
  <c r="F119" i="11"/>
  <c r="I119" i="11" s="1"/>
  <c r="G624" i="1" s="1"/>
  <c r="B110" i="11"/>
  <c r="F132" i="11"/>
  <c r="I132" i="11" s="1"/>
  <c r="G1202" i="1" s="1"/>
  <c r="B6" i="11"/>
  <c r="F6" i="11" s="1"/>
  <c r="B9" i="11"/>
  <c r="F20" i="11"/>
  <c r="B26" i="11"/>
  <c r="B23" i="11"/>
  <c r="F23" i="11" s="1"/>
  <c r="I23" i="11" s="1"/>
  <c r="F104" i="11"/>
  <c r="I104" i="11" s="1"/>
  <c r="G608" i="1" s="1"/>
  <c r="F90" i="11"/>
  <c r="C91" i="11"/>
  <c r="F133" i="11"/>
  <c r="I133" i="11" s="1"/>
  <c r="G1203" i="1" s="1"/>
  <c r="C136" i="11"/>
  <c r="C138" i="11" s="1"/>
  <c r="C140" i="11" s="1"/>
  <c r="H140" i="11" s="1"/>
  <c r="I140" i="11" s="1"/>
  <c r="G1210" i="1" s="1"/>
  <c r="C35" i="11"/>
  <c r="F34" i="11"/>
  <c r="C66" i="11"/>
  <c r="C80" i="11"/>
  <c r="C82" i="11" s="1"/>
  <c r="C84" i="11" s="1"/>
  <c r="H84" i="11" s="1"/>
  <c r="I84" i="11" s="1"/>
  <c r="G586" i="1" s="1"/>
  <c r="F77" i="11"/>
  <c r="I77" i="11" s="1"/>
  <c r="G579" i="1" s="1"/>
  <c r="D96" i="11"/>
  <c r="F122" i="11"/>
  <c r="D124" i="11"/>
  <c r="D40" i="11"/>
  <c r="F48" i="11"/>
  <c r="D49" i="11"/>
  <c r="D52" i="11" s="1"/>
  <c r="D82" i="11"/>
  <c r="E82" i="11" s="1"/>
  <c r="I82" i="11" s="1"/>
  <c r="G584" i="1" s="1"/>
  <c r="C108" i="11"/>
  <c r="C110" i="11" s="1"/>
  <c r="C112" i="11" s="1"/>
  <c r="H112" i="11" s="1"/>
  <c r="I112" i="11" s="1"/>
  <c r="G616" i="1" s="1"/>
  <c r="F105" i="11"/>
  <c r="I105" i="11" s="1"/>
  <c r="G609" i="1" s="1"/>
  <c r="F118" i="11"/>
  <c r="F136" i="11"/>
  <c r="D138" i="11"/>
  <c r="C150" i="11"/>
  <c r="C152" i="11" s="1"/>
  <c r="C154" i="11" s="1"/>
  <c r="H154" i="11" s="1"/>
  <c r="I154" i="11" s="1"/>
  <c r="G1226" i="1" s="1"/>
  <c r="F147" i="11"/>
  <c r="I147" i="11" s="1"/>
  <c r="G1219" i="1" s="1"/>
  <c r="B62" i="11"/>
  <c r="F62" i="11" s="1"/>
  <c r="B76" i="11"/>
  <c r="F76" i="11" s="1"/>
  <c r="B108" i="11"/>
  <c r="B124" i="11"/>
  <c r="E124" i="11" s="1"/>
  <c r="I124" i="11" s="1"/>
  <c r="G629" i="1" s="1"/>
  <c r="B138" i="11"/>
  <c r="B152" i="11"/>
  <c r="B146" i="11"/>
  <c r="F146" i="11" s="1"/>
  <c r="H668" i="1"/>
  <c r="I668" i="1" s="1"/>
  <c r="H1344" i="1"/>
  <c r="I1344" i="1" s="1"/>
  <c r="H1335" i="1"/>
  <c r="I1335" i="1" s="1"/>
  <c r="H1326" i="1"/>
  <c r="I1326" i="1" s="1"/>
  <c r="H761" i="1"/>
  <c r="I761" i="1" s="1"/>
  <c r="H752" i="1"/>
  <c r="I752" i="1" s="1"/>
  <c r="H743" i="1"/>
  <c r="I743" i="1" s="1"/>
  <c r="H734" i="1"/>
  <c r="I734" i="1" s="1"/>
  <c r="H725" i="1"/>
  <c r="I725" i="1" s="1"/>
  <c r="H1358" i="1"/>
  <c r="I1358" i="1" s="1"/>
  <c r="H1339" i="1"/>
  <c r="I1339" i="1" s="1"/>
  <c r="H1330" i="1"/>
  <c r="I1330" i="1" s="1"/>
  <c r="H1321" i="1"/>
  <c r="I1321" i="1" s="1"/>
  <c r="H720" i="1"/>
  <c r="I720" i="1" s="1"/>
  <c r="H729" i="1"/>
  <c r="I729" i="1" s="1"/>
  <c r="H756" i="1"/>
  <c r="I756" i="1" s="1"/>
  <c r="H747" i="1"/>
  <c r="I747" i="1" s="1"/>
  <c r="H738" i="1"/>
  <c r="I738" i="1" s="1"/>
  <c r="H1118" i="1"/>
  <c r="H312" i="1"/>
  <c r="H1346" i="1"/>
  <c r="I1346" i="1" s="1"/>
  <c r="H1337" i="1"/>
  <c r="I1337" i="1" s="1"/>
  <c r="H1328" i="1"/>
  <c r="I1328" i="1" s="1"/>
  <c r="H763" i="1"/>
  <c r="I763" i="1" s="1"/>
  <c r="H754" i="1"/>
  <c r="I754" i="1" s="1"/>
  <c r="H745" i="1"/>
  <c r="I745" i="1" s="1"/>
  <c r="H736" i="1"/>
  <c r="I736" i="1" s="1"/>
  <c r="H727" i="1"/>
  <c r="I727" i="1" s="1"/>
  <c r="H680" i="1"/>
  <c r="I680" i="1" s="1"/>
  <c r="H1345" i="1"/>
  <c r="I1345" i="1" s="1"/>
  <c r="H1336" i="1"/>
  <c r="I1336" i="1" s="1"/>
  <c r="H1327" i="1"/>
  <c r="I1327" i="1" s="1"/>
  <c r="H717" i="1"/>
  <c r="I717" i="1" s="1"/>
  <c r="H762" i="1"/>
  <c r="I762" i="1" s="1"/>
  <c r="H753" i="1"/>
  <c r="I753" i="1" s="1"/>
  <c r="H744" i="1"/>
  <c r="I744" i="1" s="1"/>
  <c r="H735" i="1"/>
  <c r="I735" i="1" s="1"/>
  <c r="H726" i="1"/>
  <c r="I726" i="1" s="1"/>
  <c r="H1407" i="1"/>
  <c r="H1342" i="1"/>
  <c r="I1342" i="1" s="1"/>
  <c r="H1333" i="1"/>
  <c r="I1333" i="1" s="1"/>
  <c r="H1324" i="1"/>
  <c r="I1324" i="1" s="1"/>
  <c r="H759" i="1"/>
  <c r="I759" i="1" s="1"/>
  <c r="H750" i="1"/>
  <c r="I750" i="1" s="1"/>
  <c r="H741" i="1"/>
  <c r="I741" i="1" s="1"/>
  <c r="H732" i="1"/>
  <c r="I732" i="1" s="1"/>
  <c r="H723" i="1"/>
  <c r="I723" i="1" s="1"/>
  <c r="H1408" i="1"/>
  <c r="H1343" i="1"/>
  <c r="I1343" i="1" s="1"/>
  <c r="H1334" i="1"/>
  <c r="I1334" i="1" s="1"/>
  <c r="H1325" i="1"/>
  <c r="I1325" i="1" s="1"/>
  <c r="H724" i="1"/>
  <c r="I724" i="1" s="1"/>
  <c r="H760" i="1"/>
  <c r="I760" i="1" s="1"/>
  <c r="H751" i="1"/>
  <c r="I751" i="1" s="1"/>
  <c r="H742" i="1"/>
  <c r="I742" i="1" s="1"/>
  <c r="H733" i="1"/>
  <c r="I733" i="1" s="1"/>
  <c r="H1375" i="1"/>
  <c r="I1375" i="1" s="1"/>
  <c r="H1322" i="1"/>
  <c r="I1322" i="1" s="1"/>
  <c r="H1340" i="1"/>
  <c r="I1340" i="1" s="1"/>
  <c r="H1331" i="1"/>
  <c r="I1331" i="1" s="1"/>
  <c r="H757" i="1"/>
  <c r="I757" i="1" s="1"/>
  <c r="H748" i="1"/>
  <c r="I748" i="1" s="1"/>
  <c r="H739" i="1"/>
  <c r="I739" i="1" s="1"/>
  <c r="H730" i="1"/>
  <c r="I730" i="1" s="1"/>
  <c r="H721" i="1"/>
  <c r="I721" i="1" s="1"/>
  <c r="H532" i="1"/>
  <c r="H460" i="1"/>
  <c r="H647" i="1"/>
  <c r="I647" i="1" s="1"/>
  <c r="H684" i="1"/>
  <c r="I684" i="1" s="1"/>
  <c r="H1341" i="1"/>
  <c r="I1341" i="1" s="1"/>
  <c r="H1332" i="1"/>
  <c r="I1332" i="1" s="1"/>
  <c r="H1323" i="1"/>
  <c r="I1323" i="1" s="1"/>
  <c r="H758" i="1"/>
  <c r="I758" i="1" s="1"/>
  <c r="H749" i="1"/>
  <c r="I749" i="1" s="1"/>
  <c r="H740" i="1"/>
  <c r="I740" i="1" s="1"/>
  <c r="H731" i="1"/>
  <c r="I731" i="1" s="1"/>
  <c r="H722" i="1"/>
  <c r="I722" i="1" s="1"/>
  <c r="B1062" i="6"/>
  <c r="G1062" i="6" s="1"/>
  <c r="J1062" i="6" s="1"/>
  <c r="B1037" i="6"/>
  <c r="B1024" i="6"/>
  <c r="G1024" i="6" s="1"/>
  <c r="J1024" i="6" s="1"/>
  <c r="G1193" i="1" s="1"/>
  <c r="B999" i="6"/>
  <c r="B986" i="6"/>
  <c r="G986" i="6" s="1"/>
  <c r="J986" i="6" s="1"/>
  <c r="G1155" i="1" s="1"/>
  <c r="B961" i="6"/>
  <c r="B928" i="6"/>
  <c r="B923" i="6"/>
  <c r="B900" i="6"/>
  <c r="H900" i="6" s="1"/>
  <c r="J900" i="6" s="1"/>
  <c r="G1070" i="1" s="1"/>
  <c r="B885" i="6"/>
  <c r="B872" i="6"/>
  <c r="G872" i="6" s="1"/>
  <c r="J872" i="6" s="1"/>
  <c r="B847" i="6"/>
  <c r="B814" i="6"/>
  <c r="B809" i="6"/>
  <c r="B796" i="6"/>
  <c r="G796" i="6" s="1"/>
  <c r="J796" i="6" s="1"/>
  <c r="G1004" i="1" s="1"/>
  <c r="B771" i="6"/>
  <c r="B758" i="6"/>
  <c r="G758" i="6" s="1"/>
  <c r="J758" i="6" s="1"/>
  <c r="G967" i="1" s="1"/>
  <c r="B733" i="6"/>
  <c r="B720" i="6"/>
  <c r="G720" i="6" s="1"/>
  <c r="J720" i="6" s="1"/>
  <c r="G929" i="1" s="1"/>
  <c r="B695" i="6"/>
  <c r="B671" i="6"/>
  <c r="H671" i="6" s="1"/>
  <c r="J671" i="6" s="1"/>
  <c r="G881" i="1" s="1"/>
  <c r="I881" i="1" s="1"/>
  <c r="B657" i="6"/>
  <c r="B644" i="6"/>
  <c r="G644" i="6" s="1"/>
  <c r="J644" i="6" s="1"/>
  <c r="G855" i="1" s="1"/>
  <c r="B619" i="6"/>
  <c r="B606" i="6"/>
  <c r="G606" i="6" s="1"/>
  <c r="J606" i="6" s="1"/>
  <c r="G508" i="1" s="1"/>
  <c r="B581" i="6"/>
  <c r="B568" i="6"/>
  <c r="G568" i="6" s="1"/>
  <c r="J568" i="6" s="1"/>
  <c r="G470" i="1" s="1"/>
  <c r="B543" i="6"/>
  <c r="B530" i="6"/>
  <c r="G530" i="6" s="1"/>
  <c r="J530" i="6" s="1"/>
  <c r="G433" i="1" s="1"/>
  <c r="B505" i="6"/>
  <c r="B472" i="6"/>
  <c r="I472" i="6" s="1"/>
  <c r="J472" i="6" s="1"/>
  <c r="B467" i="6"/>
  <c r="B444" i="6"/>
  <c r="H444" i="6" s="1"/>
  <c r="J444" i="6" s="1"/>
  <c r="G386" i="1" s="1"/>
  <c r="B429" i="6"/>
  <c r="B414" i="6"/>
  <c r="H414" i="6" s="1"/>
  <c r="J414" i="6" s="1"/>
  <c r="G357" i="1" s="1"/>
  <c r="B391" i="6"/>
  <c r="B378" i="6"/>
  <c r="G378" i="6" s="1"/>
  <c r="J378" i="6" s="1"/>
  <c r="G322" i="1" s="1"/>
  <c r="B353" i="6"/>
  <c r="B340" i="6"/>
  <c r="G340" i="6" s="1"/>
  <c r="J340" i="6" s="1"/>
  <c r="G284" i="1" s="1"/>
  <c r="B315" i="6"/>
  <c r="B948" i="6"/>
  <c r="G948" i="6" s="1"/>
  <c r="J948" i="6" s="1"/>
  <c r="G1118" i="1" s="1"/>
  <c r="B284" i="6"/>
  <c r="G284" i="6" s="1"/>
  <c r="J284" i="6" s="1"/>
  <c r="B277" i="6"/>
  <c r="H585" i="6"/>
  <c r="J585" i="6" s="1"/>
  <c r="G487" i="1" s="1"/>
  <c r="B264" i="6"/>
  <c r="G264" i="6" s="1"/>
  <c r="J264" i="6" s="1"/>
  <c r="G246" i="1" s="1"/>
  <c r="B239" i="6"/>
  <c r="H1041" i="6"/>
  <c r="J1041" i="6" s="1"/>
  <c r="B289" i="6"/>
  <c r="G289" i="6" s="1"/>
  <c r="J289" i="6" s="1"/>
  <c r="B226" i="6"/>
  <c r="G226" i="6" s="1"/>
  <c r="J226" i="6" s="1"/>
  <c r="B201" i="6"/>
  <c r="B33" i="6"/>
  <c r="H33" i="6" s="1"/>
  <c r="B747" i="6"/>
  <c r="H747" i="6" s="1"/>
  <c r="J747" i="6" s="1"/>
  <c r="G956" i="1" s="1"/>
  <c r="I956" i="1" s="1"/>
  <c r="B17" i="6"/>
  <c r="I17" i="6" s="1"/>
  <c r="J17" i="6" s="1"/>
  <c r="G41" i="1" s="1"/>
  <c r="B565" i="6"/>
  <c r="H565" i="6" s="1"/>
  <c r="J565" i="6" s="1"/>
  <c r="G467" i="1" s="1"/>
  <c r="B913" i="6"/>
  <c r="I913" i="6" s="1"/>
  <c r="J913" i="6" s="1"/>
  <c r="G1083" i="1" s="1"/>
  <c r="B188" i="6"/>
  <c r="G188" i="6" s="1"/>
  <c r="J188" i="6" s="1"/>
  <c r="G208" i="1" s="1"/>
  <c r="B163" i="6"/>
  <c r="B283" i="6"/>
  <c r="I283" i="6" s="1"/>
  <c r="J283" i="6" s="1"/>
  <c r="B115" i="6"/>
  <c r="I115" i="6" s="1"/>
  <c r="J115" i="6" s="1"/>
  <c r="G137" i="1" s="1"/>
  <c r="B750" i="6"/>
  <c r="I750" i="6" s="1"/>
  <c r="J750" i="6" s="1"/>
  <c r="G959" i="1" s="1"/>
  <c r="I959" i="1" s="1"/>
  <c r="B642" i="6"/>
  <c r="H642" i="6" s="1"/>
  <c r="J642" i="6" s="1"/>
  <c r="G853" i="1" s="1"/>
  <c r="B759" i="6"/>
  <c r="H759" i="6" s="1"/>
  <c r="J759" i="6" s="1"/>
  <c r="G968" i="1" s="1"/>
  <c r="B748" i="6"/>
  <c r="H748" i="6" s="1"/>
  <c r="J748" i="6" s="1"/>
  <c r="G957" i="1" s="1"/>
  <c r="B552" i="6"/>
  <c r="H552" i="6" s="1"/>
  <c r="J552" i="6" s="1"/>
  <c r="G454" i="1" s="1"/>
  <c r="B732" i="6"/>
  <c r="B739" i="6"/>
  <c r="I739" i="6" s="1"/>
  <c r="J739" i="6" s="1"/>
  <c r="G948" i="1" s="1"/>
  <c r="B755" i="6"/>
  <c r="H755" i="6" s="1"/>
  <c r="B746" i="6"/>
  <c r="I746" i="6" s="1"/>
  <c r="J746" i="6" s="1"/>
  <c r="G955" i="1" s="1"/>
  <c r="B740" i="6"/>
  <c r="G740" i="6" s="1"/>
  <c r="J740" i="6" s="1"/>
  <c r="G949" i="1" s="1"/>
  <c r="J280" i="6"/>
  <c r="H737" i="6"/>
  <c r="J737" i="6" s="1"/>
  <c r="G946" i="1" s="1"/>
  <c r="B641" i="6"/>
  <c r="H641" i="6" s="1"/>
  <c r="J641" i="6" s="1"/>
  <c r="G852" i="1" s="1"/>
  <c r="B786" i="6"/>
  <c r="H786" i="6" s="1"/>
  <c r="J786" i="6" s="1"/>
  <c r="G994" i="1" s="1"/>
  <c r="B1011" i="6"/>
  <c r="G1011" i="6" s="1"/>
  <c r="J1011" i="6" s="1"/>
  <c r="G1180" i="1" s="1"/>
  <c r="B1005" i="6"/>
  <c r="I1005" i="6" s="1"/>
  <c r="J1005" i="6" s="1"/>
  <c r="G1174" i="1" s="1"/>
  <c r="B135" i="6"/>
  <c r="B125" i="6"/>
  <c r="B656" i="6"/>
  <c r="H433" i="6"/>
  <c r="J433" i="6" s="1"/>
  <c r="G375" i="1" s="1"/>
  <c r="B549" i="6"/>
  <c r="I549" i="6" s="1"/>
  <c r="J549" i="6" s="1"/>
  <c r="G451" i="1" s="1"/>
  <c r="B1016" i="6"/>
  <c r="I1016" i="6" s="1"/>
  <c r="J1016" i="6" s="1"/>
  <c r="G1185" i="1" s="1"/>
  <c r="B1012" i="6"/>
  <c r="I1012" i="6" s="1"/>
  <c r="J1012" i="6" s="1"/>
  <c r="G1181" i="1" s="1"/>
  <c r="B189" i="6"/>
  <c r="H189" i="6" s="1"/>
  <c r="J189" i="6" s="1"/>
  <c r="G209" i="1" s="1"/>
  <c r="B455" i="6"/>
  <c r="H455" i="6" s="1"/>
  <c r="J455" i="6" s="1"/>
  <c r="G397" i="1" s="1"/>
  <c r="B434" i="6"/>
  <c r="I434" i="6" s="1"/>
  <c r="J434" i="6" s="1"/>
  <c r="G376" i="1" s="1"/>
  <c r="B587" i="6"/>
  <c r="I587" i="6" s="1"/>
  <c r="J587" i="6" s="1"/>
  <c r="G489" i="1" s="1"/>
  <c r="B667" i="6"/>
  <c r="B112" i="6"/>
  <c r="G112" i="6" s="1"/>
  <c r="J112" i="6" s="1"/>
  <c r="G134" i="1" s="1"/>
  <c r="B87" i="6"/>
  <c r="B77" i="6"/>
  <c r="I77" i="6" s="1"/>
  <c r="J77" i="6" s="1"/>
  <c r="G100" i="1" s="1"/>
  <c r="B49" i="6"/>
  <c r="B51" i="6"/>
  <c r="I51" i="6" s="1"/>
  <c r="J51" i="6" s="1"/>
  <c r="G74" i="1" s="1"/>
  <c r="I74" i="1" s="1"/>
  <c r="B101" i="6"/>
  <c r="H101" i="6" s="1"/>
  <c r="J101" i="6" s="1"/>
  <c r="G123" i="1" s="1"/>
  <c r="B398" i="6"/>
  <c r="G398" i="6" s="1"/>
  <c r="J398" i="6" s="1"/>
  <c r="G341" i="1" s="1"/>
  <c r="B593" i="6"/>
  <c r="G593" i="6" s="1"/>
  <c r="J593" i="6" s="1"/>
  <c r="G495" i="1" s="1"/>
  <c r="J394" i="6"/>
  <c r="G337" i="1" s="1"/>
  <c r="J660" i="6"/>
  <c r="G870" i="1" s="1"/>
  <c r="H1003" i="6"/>
  <c r="J1003" i="6" s="1"/>
  <c r="G1172" i="1" s="1"/>
  <c r="B362" i="6"/>
  <c r="H362" i="6" s="1"/>
  <c r="J362" i="6" s="1"/>
  <c r="G306" i="1" s="1"/>
  <c r="B537" i="6"/>
  <c r="G537" i="6" s="1"/>
  <c r="J537" i="6" s="1"/>
  <c r="G439" i="1" s="1"/>
  <c r="B588" i="6"/>
  <c r="G588" i="6" s="1"/>
  <c r="J588" i="6" s="1"/>
  <c r="G490" i="1" s="1"/>
  <c r="B663" i="6"/>
  <c r="I663" i="6" s="1"/>
  <c r="J663" i="6" s="1"/>
  <c r="G873" i="1" s="1"/>
  <c r="J698" i="6"/>
  <c r="G907" i="1" s="1"/>
  <c r="B39" i="6"/>
  <c r="I39" i="6" s="1"/>
  <c r="J39" i="6" s="1"/>
  <c r="G63" i="1" s="1"/>
  <c r="B169" i="6"/>
  <c r="I169" i="6" s="1"/>
  <c r="J169" i="6" s="1"/>
  <c r="G189" i="1" s="1"/>
  <c r="B368" i="6"/>
  <c r="H368" i="6" s="1"/>
  <c r="J368" i="6" s="1"/>
  <c r="G312" i="1" s="1"/>
  <c r="B561" i="6"/>
  <c r="I561" i="6" s="1"/>
  <c r="J561" i="6" s="1"/>
  <c r="G463" i="1" s="1"/>
  <c r="B594" i="6"/>
  <c r="I594" i="6" s="1"/>
  <c r="J594" i="6" s="1"/>
  <c r="G496" i="1" s="1"/>
  <c r="B666" i="6"/>
  <c r="H666" i="6" s="1"/>
  <c r="J666" i="6" s="1"/>
  <c r="G876" i="1" s="1"/>
  <c r="B984" i="6"/>
  <c r="H984" i="6" s="1"/>
  <c r="J984" i="6" s="1"/>
  <c r="G1153" i="1" s="1"/>
  <c r="B1006" i="6"/>
  <c r="G1006" i="6" s="1"/>
  <c r="J1006" i="6" s="1"/>
  <c r="G1175" i="1" s="1"/>
  <c r="B1004" i="6"/>
  <c r="I1004" i="6" s="1"/>
  <c r="J1004" i="6" s="1"/>
  <c r="G1173" i="1" s="1"/>
  <c r="B454" i="6"/>
  <c r="G454" i="6" s="1"/>
  <c r="J454" i="6" s="1"/>
  <c r="G396" i="1" s="1"/>
  <c r="J52" i="6"/>
  <c r="G75" i="1" s="1"/>
  <c r="J242" i="6"/>
  <c r="G224" i="1" s="1"/>
  <c r="J850" i="6"/>
  <c r="B29" i="6"/>
  <c r="I29" i="6" s="1"/>
  <c r="J29" i="6" s="1"/>
  <c r="G53" i="1" s="1"/>
  <c r="B229" i="6"/>
  <c r="I229" i="6" s="1"/>
  <c r="J229" i="6" s="1"/>
  <c r="B324" i="6"/>
  <c r="H324" i="6" s="1"/>
  <c r="J324" i="6" s="1"/>
  <c r="G268" i="1" s="1"/>
  <c r="B371" i="6"/>
  <c r="I371" i="6" s="1"/>
  <c r="J371" i="6" s="1"/>
  <c r="G315" i="1" s="1"/>
  <c r="B401" i="6"/>
  <c r="B446" i="6"/>
  <c r="I446" i="6" s="1"/>
  <c r="J446" i="6" s="1"/>
  <c r="G388" i="1" s="1"/>
  <c r="B439" i="6"/>
  <c r="B520" i="6"/>
  <c r="H520" i="6" s="1"/>
  <c r="J520" i="6" s="1"/>
  <c r="G423" i="1" s="1"/>
  <c r="B613" i="6"/>
  <c r="G613" i="6" s="1"/>
  <c r="J613" i="6" s="1"/>
  <c r="G824" i="1" s="1"/>
  <c r="B683" i="6"/>
  <c r="H683" i="6" s="1"/>
  <c r="J683" i="6" s="1"/>
  <c r="G893" i="1" s="1"/>
  <c r="B662" i="6"/>
  <c r="I662" i="6" s="1"/>
  <c r="J662" i="6" s="1"/>
  <c r="G872" i="1" s="1"/>
  <c r="B983" i="6"/>
  <c r="H983" i="6" s="1"/>
  <c r="J983" i="6" s="1"/>
  <c r="G1152" i="1" s="1"/>
  <c r="B955" i="6"/>
  <c r="G955" i="6" s="1"/>
  <c r="J955" i="6" s="1"/>
  <c r="G1124" i="1" s="1"/>
  <c r="B682" i="6"/>
  <c r="G682" i="6" s="1"/>
  <c r="J682" i="6" s="1"/>
  <c r="G892" i="1" s="1"/>
  <c r="B390" i="6"/>
  <c r="B451" i="6"/>
  <c r="H451" i="6" s="1"/>
  <c r="J451" i="6" s="1"/>
  <c r="G393" i="1" s="1"/>
  <c r="B442" i="6"/>
  <c r="I442" i="6" s="1"/>
  <c r="J442" i="6" s="1"/>
  <c r="G384" i="1" s="1"/>
  <c r="I384" i="1" s="1"/>
  <c r="B436" i="6"/>
  <c r="G436" i="6" s="1"/>
  <c r="J436" i="6" s="1"/>
  <c r="G378" i="1" s="1"/>
  <c r="B892" i="6"/>
  <c r="G892" i="6" s="1"/>
  <c r="J892" i="6" s="1"/>
  <c r="G1062" i="1" s="1"/>
  <c r="H357" i="6"/>
  <c r="J357" i="6" s="1"/>
  <c r="G301" i="1" s="1"/>
  <c r="H965" i="6"/>
  <c r="J965" i="6" s="1"/>
  <c r="G1134" i="1" s="1"/>
  <c r="B25" i="6"/>
  <c r="H25" i="6" s="1"/>
  <c r="J25" i="6" s="1"/>
  <c r="G49" i="1" s="1"/>
  <c r="I49" i="1" s="1"/>
  <c r="B246" i="6"/>
  <c r="G246" i="6" s="1"/>
  <c r="J246" i="6" s="1"/>
  <c r="G228" i="1" s="1"/>
  <c r="B329" i="6"/>
  <c r="H329" i="6" s="1"/>
  <c r="J329" i="6" s="1"/>
  <c r="G273" i="1" s="1"/>
  <c r="B358" i="6"/>
  <c r="I358" i="6" s="1"/>
  <c r="J358" i="6" s="1"/>
  <c r="G302" i="1" s="1"/>
  <c r="B428" i="6"/>
  <c r="B435" i="6"/>
  <c r="I435" i="6" s="1"/>
  <c r="J435" i="6" s="1"/>
  <c r="G377" i="1" s="1"/>
  <c r="B679" i="6"/>
  <c r="H679" i="6" s="1"/>
  <c r="J679" i="6" s="1"/>
  <c r="G889" i="1" s="1"/>
  <c r="B680" i="6"/>
  <c r="H680" i="6" s="1"/>
  <c r="J680" i="6" s="1"/>
  <c r="G890" i="1" s="1"/>
  <c r="B694" i="6"/>
  <c r="B897" i="6"/>
  <c r="G897" i="6" s="1"/>
  <c r="J897" i="6" s="1"/>
  <c r="G1067" i="1" s="1"/>
  <c r="B960" i="6"/>
  <c r="I814" i="6"/>
  <c r="J814" i="6" s="1"/>
  <c r="G1022" i="1" s="1"/>
  <c r="J888" i="6"/>
  <c r="G1058" i="1" s="1"/>
  <c r="B104" i="6"/>
  <c r="I104" i="6" s="1"/>
  <c r="J104" i="6" s="1"/>
  <c r="G126" i="1" s="1"/>
  <c r="B134" i="6"/>
  <c r="H134" i="6" s="1"/>
  <c r="J134" i="6" s="1"/>
  <c r="G155" i="1" s="1"/>
  <c r="B170" i="6"/>
  <c r="G170" i="6" s="1"/>
  <c r="J170" i="6" s="1"/>
  <c r="G190" i="1" s="1"/>
  <c r="B365" i="6"/>
  <c r="G365" i="6" s="1"/>
  <c r="J365" i="6" s="1"/>
  <c r="G309" i="1" s="1"/>
  <c r="B376" i="6"/>
  <c r="H376" i="6" s="1"/>
  <c r="J376" i="6" s="1"/>
  <c r="G320" i="1" s="1"/>
  <c r="B523" i="6"/>
  <c r="I523" i="6" s="1"/>
  <c r="J523" i="6" s="1"/>
  <c r="G426" i="1" s="1"/>
  <c r="B596" i="6"/>
  <c r="H596" i="6" s="1"/>
  <c r="J596" i="6" s="1"/>
  <c r="G498" i="1" s="1"/>
  <c r="B595" i="6"/>
  <c r="H595" i="6" s="1"/>
  <c r="J595" i="6" s="1"/>
  <c r="G497" i="1" s="1"/>
  <c r="B770" i="6"/>
  <c r="B853" i="6"/>
  <c r="I853" i="6" s="1"/>
  <c r="J853" i="6" s="1"/>
  <c r="B935" i="6"/>
  <c r="G935" i="6" s="1"/>
  <c r="J935" i="6" s="1"/>
  <c r="G1105" i="1" s="1"/>
  <c r="B987" i="6"/>
  <c r="H987" i="6" s="1"/>
  <c r="J987" i="6" s="1"/>
  <c r="G1156" i="1" s="1"/>
  <c r="B967" i="6"/>
  <c r="I967" i="6" s="1"/>
  <c r="J967" i="6" s="1"/>
  <c r="G1136" i="1" s="1"/>
  <c r="H167" i="6"/>
  <c r="J167" i="6" s="1"/>
  <c r="G187" i="1" s="1"/>
  <c r="B110" i="6"/>
  <c r="H110" i="6" s="1"/>
  <c r="J110" i="6" s="1"/>
  <c r="G132" i="1" s="1"/>
  <c r="B176" i="6"/>
  <c r="I176" i="6" s="1"/>
  <c r="J176" i="6" s="1"/>
  <c r="G196" i="1" s="1"/>
  <c r="B261" i="6"/>
  <c r="H261" i="6" s="1"/>
  <c r="J261" i="6" s="1"/>
  <c r="G243" i="1" s="1"/>
  <c r="B359" i="6"/>
  <c r="I359" i="6" s="1"/>
  <c r="J359" i="6" s="1"/>
  <c r="G303" i="1" s="1"/>
  <c r="B381" i="6"/>
  <c r="I381" i="6" s="1"/>
  <c r="J381" i="6" s="1"/>
  <c r="G325" i="1" s="1"/>
  <c r="B485" i="6"/>
  <c r="I485" i="6" s="1"/>
  <c r="J485" i="6" s="1"/>
  <c r="B598" i="6"/>
  <c r="I598" i="6" s="1"/>
  <c r="J598" i="6" s="1"/>
  <c r="G500" i="1" s="1"/>
  <c r="B599" i="6"/>
  <c r="I599" i="6" s="1"/>
  <c r="J599" i="6" s="1"/>
  <c r="G501" i="1" s="1"/>
  <c r="B970" i="6"/>
  <c r="H970" i="6" s="1"/>
  <c r="J970" i="6" s="1"/>
  <c r="G1139" i="1" s="1"/>
  <c r="I1139" i="1" s="1"/>
  <c r="B971" i="6"/>
  <c r="B99" i="6"/>
  <c r="G99" i="6" s="1"/>
  <c r="J99" i="6" s="1"/>
  <c r="G121" i="1" s="1"/>
  <c r="B93" i="6"/>
  <c r="I93" i="6" s="1"/>
  <c r="J93" i="6" s="1"/>
  <c r="G115" i="1" s="1"/>
  <c r="B105" i="6"/>
  <c r="I105" i="6" s="1"/>
  <c r="J105" i="6" s="1"/>
  <c r="G127" i="1" s="1"/>
  <c r="B92" i="6"/>
  <c r="I92" i="6" s="1"/>
  <c r="J92" i="6" s="1"/>
  <c r="G114" i="1" s="1"/>
  <c r="B148" i="6"/>
  <c r="H148" i="6" s="1"/>
  <c r="J148" i="6" s="1"/>
  <c r="G169" i="1" s="1"/>
  <c r="B180" i="6"/>
  <c r="I180" i="6" s="1"/>
  <c r="J180" i="6" s="1"/>
  <c r="G200" i="1" s="1"/>
  <c r="B173" i="6"/>
  <c r="B282" i="6"/>
  <c r="I282" i="6" s="1"/>
  <c r="J282" i="6" s="1"/>
  <c r="B322" i="6"/>
  <c r="G322" i="6" s="1"/>
  <c r="J322" i="6" s="1"/>
  <c r="G266" i="1" s="1"/>
  <c r="B519" i="6"/>
  <c r="H519" i="6" s="1"/>
  <c r="J519" i="6" s="1"/>
  <c r="G422" i="1" s="1"/>
  <c r="B873" i="6"/>
  <c r="H873" i="6" s="1"/>
  <c r="J873" i="6" s="1"/>
  <c r="B978" i="6"/>
  <c r="I978" i="6" s="1"/>
  <c r="J978" i="6" s="1"/>
  <c r="G1147" i="1" s="1"/>
  <c r="B966" i="6"/>
  <c r="I966" i="6" s="1"/>
  <c r="J966" i="6" s="1"/>
  <c r="G1135" i="1" s="1"/>
  <c r="B979" i="6"/>
  <c r="I979" i="6" s="1"/>
  <c r="J979" i="6" s="1"/>
  <c r="G1148" i="1" s="1"/>
  <c r="B989" i="6"/>
  <c r="I989" i="6" s="1"/>
  <c r="J989" i="6" s="1"/>
  <c r="G1158" i="1" s="1"/>
  <c r="B968" i="6"/>
  <c r="G968" i="6" s="1"/>
  <c r="J968" i="6" s="1"/>
  <c r="G1137" i="1" s="1"/>
  <c r="I1137" i="1" s="1"/>
  <c r="H509" i="6"/>
  <c r="J509" i="6" s="1"/>
  <c r="G412" i="1" s="1"/>
  <c r="H813" i="6"/>
  <c r="J813" i="6" s="1"/>
  <c r="G1021" i="1" s="1"/>
  <c r="B74" i="6"/>
  <c r="G74" i="6" s="1"/>
  <c r="J74" i="6" s="1"/>
  <c r="G97" i="1" s="1"/>
  <c r="B96" i="6"/>
  <c r="H96" i="6" s="1"/>
  <c r="J96" i="6" s="1"/>
  <c r="G118" i="1" s="1"/>
  <c r="B94" i="6"/>
  <c r="G94" i="6" s="1"/>
  <c r="J94" i="6" s="1"/>
  <c r="G116" i="1" s="1"/>
  <c r="B100" i="6"/>
  <c r="I100" i="6" s="1"/>
  <c r="J100" i="6" s="1"/>
  <c r="G122" i="1" s="1"/>
  <c r="B81" i="6"/>
  <c r="G81" i="6" s="1"/>
  <c r="J81" i="6" s="1"/>
  <c r="G103" i="1" s="1"/>
  <c r="B153" i="6"/>
  <c r="I153" i="6" s="1"/>
  <c r="J153" i="6" s="1"/>
  <c r="G174" i="1" s="1"/>
  <c r="B162" i="6"/>
  <c r="B177" i="6"/>
  <c r="H177" i="6" s="1"/>
  <c r="J177" i="6" s="1"/>
  <c r="G197" i="1" s="1"/>
  <c r="B333" i="6"/>
  <c r="I333" i="6" s="1"/>
  <c r="J333" i="6" s="1"/>
  <c r="G277" i="1" s="1"/>
  <c r="B499" i="6"/>
  <c r="G499" i="6" s="1"/>
  <c r="J499" i="6" s="1"/>
  <c r="G402" i="1" s="1"/>
  <c r="B973" i="6"/>
  <c r="G973" i="6" s="1"/>
  <c r="J973" i="6" s="1"/>
  <c r="G1142" i="1" s="1"/>
  <c r="B976" i="6"/>
  <c r="H976" i="6" s="1"/>
  <c r="J976" i="6" s="1"/>
  <c r="G1145" i="1" s="1"/>
  <c r="B974" i="6"/>
  <c r="I974" i="6" s="1"/>
  <c r="J974" i="6" s="1"/>
  <c r="G1143" i="1" s="1"/>
  <c r="I1143" i="1" s="1"/>
  <c r="B975" i="6"/>
  <c r="H975" i="6" s="1"/>
  <c r="J975" i="6" s="1"/>
  <c r="G1144" i="1" s="1"/>
  <c r="B109" i="6"/>
  <c r="H109" i="6" s="1"/>
  <c r="J109" i="6" s="1"/>
  <c r="G131" i="1" s="1"/>
  <c r="B86" i="6"/>
  <c r="B113" i="6"/>
  <c r="H113" i="6" s="1"/>
  <c r="J113" i="6" s="1"/>
  <c r="G135" i="1" s="1"/>
  <c r="B97" i="6"/>
  <c r="B102" i="6"/>
  <c r="H102" i="6" s="1"/>
  <c r="J102" i="6" s="1"/>
  <c r="G124" i="1" s="1"/>
  <c r="B130" i="6"/>
  <c r="I130" i="6" s="1"/>
  <c r="J130" i="6" s="1"/>
  <c r="G151" i="1" s="1"/>
  <c r="I928" i="6"/>
  <c r="J928" i="6" s="1"/>
  <c r="G1098" i="1" s="1"/>
  <c r="F256" i="5"/>
  <c r="F125" i="5"/>
  <c r="F123" i="5"/>
  <c r="F167" i="5"/>
  <c r="F168" i="5"/>
  <c r="F165" i="5"/>
  <c r="F211" i="5"/>
  <c r="F209" i="5"/>
  <c r="F254" i="5"/>
  <c r="F347" i="5"/>
  <c r="F348" i="5"/>
  <c r="F349" i="5"/>
  <c r="F351" i="5" s="1"/>
  <c r="F210" i="5"/>
  <c r="F392" i="5"/>
  <c r="F38" i="5"/>
  <c r="F36" i="5"/>
  <c r="F79" i="5"/>
  <c r="F81" i="5"/>
  <c r="F82" i="5"/>
  <c r="F255" i="5"/>
  <c r="F259" i="5" s="1"/>
  <c r="E257" i="5" s="1"/>
  <c r="F300" i="5"/>
  <c r="F302" i="5"/>
  <c r="F122" i="5"/>
  <c r="F124" i="5"/>
  <c r="F84" i="5"/>
  <c r="F166" i="5"/>
  <c r="F170" i="5" s="1"/>
  <c r="F208" i="5"/>
  <c r="F303" i="5"/>
  <c r="F395" i="5"/>
  <c r="F37" i="5"/>
  <c r="F41" i="5" s="1"/>
  <c r="I1361" i="1"/>
  <c r="I278" i="1"/>
  <c r="I1406" i="1"/>
  <c r="H205" i="1"/>
  <c r="H103" i="1"/>
  <c r="H782" i="1"/>
  <c r="H547" i="1"/>
  <c r="H402" i="1"/>
  <c r="H246" i="1"/>
  <c r="H87" i="1"/>
  <c r="H1268" i="1"/>
  <c r="I1268" i="1" s="1"/>
  <c r="H281" i="1"/>
  <c r="H254" i="1"/>
  <c r="I254" i="1" s="1"/>
  <c r="H66" i="1"/>
  <c r="H171" i="1"/>
  <c r="H538" i="1"/>
  <c r="H1108" i="1"/>
  <c r="H1303" i="1"/>
  <c r="I1303" i="1" s="1"/>
  <c r="H1385" i="1"/>
  <c r="I1385" i="1" s="1"/>
  <c r="H1276" i="1"/>
  <c r="I1276" i="1" s="1"/>
  <c r="H1039" i="1"/>
  <c r="H97" i="1"/>
  <c r="H553" i="1"/>
  <c r="H845" i="1"/>
  <c r="H1259" i="1"/>
  <c r="I1259" i="1" s="1"/>
  <c r="H643" i="1"/>
  <c r="I643" i="1" s="1"/>
  <c r="H67" i="1"/>
  <c r="I67" i="1" s="1"/>
  <c r="H578" i="1"/>
  <c r="H973" i="1"/>
  <c r="H124" i="1"/>
  <c r="H1286" i="1"/>
  <c r="I1286" i="1" s="1"/>
  <c r="H58" i="1"/>
  <c r="H38" i="1"/>
  <c r="I38" i="1" s="1"/>
  <c r="H518" i="1"/>
  <c r="H282" i="1"/>
  <c r="H468" i="1"/>
  <c r="H579" i="1"/>
  <c r="H169" i="1"/>
  <c r="H404" i="1"/>
  <c r="I404" i="1" s="1"/>
  <c r="H826" i="1"/>
  <c r="I826" i="1" s="1"/>
  <c r="H394" i="1"/>
  <c r="H548" i="1"/>
  <c r="H965" i="1"/>
  <c r="H609" i="1"/>
  <c r="H348" i="1"/>
  <c r="H86" i="1"/>
  <c r="H459" i="1"/>
  <c r="H1226" i="1"/>
  <c r="H1210" i="1"/>
  <c r="H174" i="1"/>
  <c r="H325" i="1"/>
  <c r="H895" i="1"/>
  <c r="H352" i="1"/>
  <c r="H90" i="1"/>
  <c r="H389" i="1"/>
  <c r="H870" i="1"/>
  <c r="H149" i="1"/>
  <c r="I149" i="1" s="1"/>
  <c r="H337" i="1"/>
  <c r="H1222" i="1"/>
  <c r="H597" i="1"/>
  <c r="H1096" i="1"/>
  <c r="I1096" i="1" s="1"/>
  <c r="H1238" i="1"/>
  <c r="H464" i="1"/>
  <c r="I464" i="1" s="1"/>
  <c r="H353" i="1"/>
  <c r="I353" i="1" s="1"/>
  <c r="H887" i="1"/>
  <c r="I887" i="1" s="1"/>
  <c r="H503" i="1"/>
  <c r="I503" i="1" s="1"/>
  <c r="H1209" i="1"/>
  <c r="H151" i="1"/>
  <c r="H94" i="1"/>
  <c r="H862" i="1"/>
  <c r="I862" i="1" s="1"/>
  <c r="H937" i="1"/>
  <c r="I937" i="1" s="1"/>
  <c r="H1163" i="1"/>
  <c r="I1163" i="1" s="1"/>
  <c r="H328" i="1"/>
  <c r="H1011" i="1"/>
  <c r="H1155" i="1"/>
  <c r="H614" i="1"/>
  <c r="H493" i="1"/>
  <c r="H344" i="1"/>
  <c r="H840" i="1"/>
  <c r="H81" i="1"/>
  <c r="H268" i="1"/>
  <c r="H949" i="1"/>
  <c r="H378" i="1"/>
  <c r="H126" i="1"/>
  <c r="H388" i="1"/>
  <c r="H458" i="1"/>
  <c r="H496" i="1"/>
  <c r="H187" i="1"/>
  <c r="H613" i="1"/>
  <c r="H567" i="1"/>
  <c r="H1251" i="1"/>
  <c r="I1251" i="1" s="1"/>
  <c r="H1060" i="1"/>
  <c r="H413" i="1"/>
  <c r="H114" i="1"/>
  <c r="H450" i="1"/>
  <c r="H264" i="1"/>
  <c r="H652" i="1"/>
  <c r="I652" i="1" s="1"/>
  <c r="H696" i="1"/>
  <c r="I696" i="1" s="1"/>
  <c r="H663" i="1"/>
  <c r="I663" i="1" s="1"/>
  <c r="H1275" i="1"/>
  <c r="I1275" i="1" s="1"/>
  <c r="H1401" i="1"/>
  <c r="H615" i="1"/>
  <c r="H600" i="1"/>
  <c r="H642" i="1"/>
  <c r="I642" i="1" s="1"/>
  <c r="H690" i="1"/>
  <c r="I690" i="1" s="1"/>
  <c r="H1287" i="1"/>
  <c r="H924" i="1"/>
  <c r="I924" i="1" s="1"/>
  <c r="H1150" i="1"/>
  <c r="I1150" i="1" s="1"/>
  <c r="H962" i="1"/>
  <c r="I962" i="1" s="1"/>
  <c r="H92" i="1"/>
  <c r="I92" i="1" s="1"/>
  <c r="H886" i="1"/>
  <c r="I886" i="1" s="1"/>
  <c r="H923" i="1"/>
  <c r="I923" i="1" s="1"/>
  <c r="H240" i="1"/>
  <c r="I240" i="1" s="1"/>
  <c r="H678" i="1"/>
  <c r="I678" i="1" s="1"/>
  <c r="H1279" i="1"/>
  <c r="I1279" i="1" s="1"/>
  <c r="H1262" i="1"/>
  <c r="I1262" i="1" s="1"/>
  <c r="H683" i="1"/>
  <c r="I683" i="1" s="1"/>
  <c r="H1267" i="1"/>
  <c r="I1267" i="1" s="1"/>
  <c r="H645" i="1"/>
  <c r="I645" i="1" s="1"/>
  <c r="H688" i="1"/>
  <c r="I688" i="1" s="1"/>
  <c r="H655" i="1"/>
  <c r="I655" i="1" s="1"/>
  <c r="H1371" i="1"/>
  <c r="I1371" i="1" s="1"/>
  <c r="H1355" i="1"/>
  <c r="I1355" i="1" s="1"/>
  <c r="H1417" i="1"/>
  <c r="H704" i="1"/>
  <c r="I704" i="1" s="1"/>
  <c r="H582" i="1"/>
  <c r="H1171" i="1"/>
  <c r="I1171" i="1" s="1"/>
  <c r="H612" i="1"/>
  <c r="H833" i="1"/>
  <c r="I833" i="1" s="1"/>
  <c r="H1133" i="1"/>
  <c r="I1133" i="1" s="1"/>
  <c r="H411" i="1"/>
  <c r="I411" i="1" s="1"/>
  <c r="H186" i="1"/>
  <c r="I186" i="1" s="1"/>
  <c r="H374" i="1"/>
  <c r="I374" i="1" s="1"/>
  <c r="H300" i="1"/>
  <c r="I300" i="1" s="1"/>
  <c r="H1306" i="1"/>
  <c r="I1306" i="1" s="1"/>
  <c r="H1134" i="1"/>
  <c r="H412" i="1"/>
  <c r="H552" i="1"/>
  <c r="H76" i="1"/>
  <c r="I76" i="1" s="1"/>
  <c r="H1172" i="1"/>
  <c r="H908" i="1"/>
  <c r="I908" i="1" s="1"/>
  <c r="H1073" i="1"/>
  <c r="H501" i="1"/>
  <c r="H315" i="1"/>
  <c r="H997" i="1"/>
  <c r="H463" i="1"/>
  <c r="H127" i="1"/>
  <c r="H1181" i="1"/>
  <c r="H1106" i="1"/>
  <c r="H159" i="1"/>
  <c r="H122" i="1"/>
  <c r="H1110" i="1"/>
  <c r="H847" i="1"/>
  <c r="H1034" i="1"/>
  <c r="H200" i="1"/>
  <c r="H163" i="1"/>
  <c r="H1196" i="1"/>
  <c r="H1083" i="1"/>
  <c r="H1045" i="1"/>
  <c r="H211" i="1"/>
  <c r="H511" i="1"/>
  <c r="H100" i="1"/>
  <c r="H525" i="1"/>
  <c r="H570" i="1"/>
  <c r="H601" i="1"/>
  <c r="H986" i="1"/>
  <c r="H911" i="1"/>
  <c r="H837" i="1"/>
  <c r="H1144" i="1"/>
  <c r="H1182" i="1"/>
  <c r="H385" i="1"/>
  <c r="H311" i="1"/>
  <c r="H273" i="1"/>
  <c r="H844" i="1"/>
  <c r="H44" i="1"/>
  <c r="H913" i="1"/>
  <c r="H343" i="1"/>
  <c r="H306" i="1"/>
  <c r="H1103" i="1"/>
  <c r="H914" i="1"/>
  <c r="H193" i="1"/>
  <c r="H307" i="1"/>
  <c r="H1203" i="1"/>
  <c r="H1153" i="1"/>
  <c r="H1219" i="1"/>
  <c r="H1235" i="1"/>
  <c r="H506" i="1"/>
  <c r="H1126" i="1"/>
  <c r="I1126" i="1" s="1"/>
  <c r="H441" i="1"/>
  <c r="I441" i="1" s="1"/>
  <c r="H927" i="1"/>
  <c r="H320" i="1"/>
  <c r="H367" i="1"/>
  <c r="I367" i="1" s="1"/>
  <c r="H330" i="1"/>
  <c r="I330" i="1" s="1"/>
  <c r="H105" i="1"/>
  <c r="I105" i="1" s="1"/>
  <c r="H132" i="1"/>
  <c r="H1013" i="1"/>
  <c r="I1013" i="1" s="1"/>
  <c r="H206" i="1"/>
  <c r="H585" i="1"/>
  <c r="H630" i="1"/>
  <c r="H947" i="1"/>
  <c r="H302" i="1"/>
  <c r="H488" i="1"/>
  <c r="H449" i="1"/>
  <c r="H301" i="1"/>
  <c r="H375" i="1"/>
  <c r="H1239" i="1"/>
  <c r="H1223" i="1"/>
  <c r="H1397" i="1"/>
  <c r="H1421" i="1"/>
  <c r="H1398" i="1"/>
  <c r="H685" i="1"/>
  <c r="I685" i="1" s="1"/>
  <c r="H669" i="1"/>
  <c r="H650" i="1"/>
  <c r="I650" i="1" s="1"/>
  <c r="H694" i="1"/>
  <c r="I694" i="1" s="1"/>
  <c r="H882" i="1"/>
  <c r="H1145" i="1"/>
  <c r="H691" i="1"/>
  <c r="I691" i="1" s="1"/>
  <c r="H670" i="1"/>
  <c r="I670" i="1" s="1"/>
  <c r="H1254" i="1"/>
  <c r="I1254" i="1" s="1"/>
  <c r="H658" i="1"/>
  <c r="I658" i="1" s="1"/>
  <c r="H1292" i="1"/>
  <c r="I1292" i="1" s="1"/>
  <c r="H651" i="1"/>
  <c r="I651" i="1" s="1"/>
  <c r="H1399" i="1"/>
  <c r="H1263" i="1"/>
  <c r="I1263" i="1" s="1"/>
  <c r="H662" i="1"/>
  <c r="I662" i="1" s="1"/>
  <c r="H470" i="1"/>
  <c r="H396" i="1"/>
  <c r="H1414" i="1"/>
  <c r="I1414" i="1" s="1"/>
  <c r="H561" i="1"/>
  <c r="I561" i="1" s="1"/>
  <c r="H477" i="1"/>
  <c r="H140" i="1"/>
  <c r="H29" i="1"/>
  <c r="H1152" i="1"/>
  <c r="H964" i="1"/>
  <c r="H778" i="1"/>
  <c r="I778" i="1" s="1"/>
  <c r="H701" i="1"/>
  <c r="I701" i="1" s="1"/>
  <c r="H1218" i="1"/>
  <c r="H825" i="1"/>
  <c r="I825" i="1" s="1"/>
  <c r="H141" i="1"/>
  <c r="I141" i="1" s="1"/>
  <c r="H623" i="1"/>
  <c r="H1183" i="1"/>
  <c r="H919" i="1"/>
  <c r="H1032" i="1"/>
  <c r="H274" i="1"/>
  <c r="H423" i="1"/>
  <c r="H664" i="1"/>
  <c r="I664" i="1" s="1"/>
  <c r="H1282" i="1"/>
  <c r="I1282" i="1" s="1"/>
  <c r="H676" i="1"/>
  <c r="I676" i="1" s="1"/>
  <c r="H681" i="1"/>
  <c r="I681" i="1" s="1"/>
  <c r="H1299" i="1"/>
  <c r="I1299" i="1" s="1"/>
  <c r="H716" i="1"/>
  <c r="I716" i="1" s="1"/>
  <c r="H1317" i="1"/>
  <c r="I1317" i="1" s="1"/>
  <c r="H1252" i="1"/>
  <c r="I1252" i="1" s="1"/>
  <c r="H1257" i="1"/>
  <c r="I1257" i="1" s="1"/>
  <c r="H695" i="1"/>
  <c r="I695" i="1" s="1"/>
  <c r="H1389" i="1"/>
  <c r="H1208" i="1"/>
  <c r="H1224" i="1"/>
  <c r="H584" i="1"/>
  <c r="H1193" i="1"/>
  <c r="H1080" i="1"/>
  <c r="H1042" i="1"/>
  <c r="H208" i="1"/>
  <c r="H967" i="1"/>
  <c r="H433" i="1"/>
  <c r="H1115" i="1"/>
  <c r="H889" i="1"/>
  <c r="H243" i="1"/>
  <c r="H1001" i="1"/>
  <c r="H1077" i="1"/>
  <c r="H1312" i="1"/>
  <c r="I1312" i="1" s="1"/>
  <c r="H711" i="1"/>
  <c r="I711" i="1" s="1"/>
  <c r="H1415" i="1"/>
  <c r="I1415" i="1" s="1"/>
  <c r="H1405" i="1"/>
  <c r="H1374" i="1"/>
  <c r="I1374" i="1" s="1"/>
  <c r="H593" i="1"/>
  <c r="H1234" i="1"/>
  <c r="H1125" i="1"/>
  <c r="I1125" i="1" s="1"/>
  <c r="H329" i="1"/>
  <c r="I329" i="1" s="1"/>
  <c r="H104" i="1"/>
  <c r="I104" i="1" s="1"/>
  <c r="H1202" i="1"/>
  <c r="H366" i="1"/>
  <c r="I366" i="1" s="1"/>
  <c r="H50" i="1"/>
  <c r="H168" i="1"/>
  <c r="H393" i="1"/>
  <c r="H430" i="1"/>
  <c r="H356" i="1"/>
  <c r="H1190" i="1"/>
  <c r="H292" i="1"/>
  <c r="I292" i="1" s="1"/>
  <c r="H608" i="1"/>
  <c r="H178" i="1"/>
  <c r="I178" i="1" s="1"/>
  <c r="H1012" i="1"/>
  <c r="I1012" i="1" s="1"/>
  <c r="H899" i="1"/>
  <c r="I899" i="1" s="1"/>
  <c r="H974" i="1"/>
  <c r="I974" i="1" s="1"/>
  <c r="H215" i="1"/>
  <c r="H177" i="1"/>
  <c r="H291" i="1"/>
  <c r="H607" i="1"/>
  <c r="I607" i="1" s="1"/>
  <c r="H861" i="1"/>
  <c r="H1217" i="1"/>
  <c r="I1217" i="1" s="1"/>
  <c r="H322" i="1"/>
  <c r="H284" i="1"/>
  <c r="H855" i="1"/>
  <c r="H60" i="1"/>
  <c r="H1240" i="1"/>
  <c r="H629" i="1"/>
  <c r="H498" i="1"/>
  <c r="H198" i="1"/>
  <c r="H957" i="1"/>
  <c r="H1070" i="1"/>
  <c r="H706" i="1"/>
  <c r="I706" i="1" s="1"/>
  <c r="H1350" i="1"/>
  <c r="H1395" i="1"/>
  <c r="I1395" i="1" s="1"/>
  <c r="H1419" i="1"/>
  <c r="H1280" i="1"/>
  <c r="I1280" i="1" s="1"/>
  <c r="H689" i="1"/>
  <c r="I689" i="1" s="1"/>
  <c r="H1274" i="1"/>
  <c r="I1274" i="1" s="1"/>
  <c r="H656" i="1"/>
  <c r="I656" i="1" s="1"/>
  <c r="H1294" i="1"/>
  <c r="I1294" i="1" s="1"/>
  <c r="H697" i="1"/>
  <c r="I697" i="1" s="1"/>
  <c r="H1265" i="1"/>
  <c r="I1265" i="1" s="1"/>
  <c r="H648" i="1"/>
  <c r="I648" i="1" s="1"/>
  <c r="H1394" i="1"/>
  <c r="I1394" i="1" s="1"/>
  <c r="H1233" i="1"/>
  <c r="I1233" i="1" s="1"/>
  <c r="H546" i="1"/>
  <c r="I546" i="1" s="1"/>
  <c r="H1162" i="1"/>
  <c r="H1087" i="1"/>
  <c r="H365" i="1"/>
  <c r="H824" i="1"/>
  <c r="H439" i="1"/>
  <c r="H30" i="1"/>
  <c r="I30" i="1" s="1"/>
  <c r="H641" i="1"/>
  <c r="I641" i="1" s="1"/>
  <c r="H516" i="1"/>
  <c r="I516" i="1" s="1"/>
  <c r="H523" i="1"/>
  <c r="H319" i="1"/>
  <c r="H131" i="1"/>
  <c r="H467" i="1"/>
  <c r="H57" i="1"/>
  <c r="H478" i="1"/>
  <c r="I478" i="1" s="1"/>
  <c r="H403" i="1"/>
  <c r="I403" i="1" s="1"/>
  <c r="H216" i="1"/>
  <c r="I216" i="1" s="1"/>
  <c r="H1050" i="1"/>
  <c r="I1050" i="1" s="1"/>
  <c r="H562" i="1"/>
  <c r="H1088" i="1"/>
  <c r="I1088" i="1" s="1"/>
  <c r="H253" i="1"/>
  <c r="H622" i="1"/>
  <c r="I622" i="1" s="1"/>
  <c r="H898" i="1"/>
  <c r="H1201" i="1"/>
  <c r="I1201" i="1" s="1"/>
  <c r="H936" i="1"/>
  <c r="H1049" i="1"/>
  <c r="H577" i="1"/>
  <c r="I577" i="1" s="1"/>
  <c r="H508" i="1"/>
  <c r="H359" i="1"/>
  <c r="H892" i="1"/>
  <c r="H929" i="1"/>
  <c r="H568" i="1"/>
  <c r="H599" i="1"/>
  <c r="H161" i="1"/>
  <c r="H386" i="1"/>
  <c r="H236" i="1"/>
  <c r="H994" i="1"/>
  <c r="H1307" i="1"/>
  <c r="I1307" i="1" s="1"/>
  <c r="H1366" i="1"/>
  <c r="H1384" i="1"/>
  <c r="I1384" i="1" s="1"/>
  <c r="H1409" i="1"/>
  <c r="H679" i="1"/>
  <c r="I679" i="1" s="1"/>
  <c r="H646" i="1"/>
  <c r="I646" i="1" s="1"/>
  <c r="H1297" i="1"/>
  <c r="I1297" i="1" s="1"/>
  <c r="H674" i="1"/>
  <c r="I674" i="1" s="1"/>
  <c r="H653" i="1"/>
  <c r="I653" i="1" s="1"/>
  <c r="H1270" i="1"/>
  <c r="I1270" i="1" s="1"/>
  <c r="H1288" i="1"/>
  <c r="I1288" i="1" s="1"/>
  <c r="H686" i="1"/>
  <c r="I686" i="1" s="1"/>
  <c r="H1135" i="1"/>
  <c r="H872" i="1"/>
  <c r="H909" i="1"/>
  <c r="H835" i="1"/>
  <c r="H77" i="1"/>
  <c r="H1173" i="1"/>
  <c r="H1318" i="1"/>
  <c r="I1318" i="1" s="1"/>
  <c r="H1319" i="1"/>
  <c r="I1319" i="1" s="1"/>
  <c r="H718" i="1"/>
  <c r="I718" i="1" s="1"/>
  <c r="H1258" i="1"/>
  <c r="I1258" i="1" s="1"/>
  <c r="H1264" i="1"/>
  <c r="I1264" i="1" s="1"/>
  <c r="H1269" i="1"/>
  <c r="I1269" i="1" s="1"/>
  <c r="H1253" i="1"/>
  <c r="I1253" i="1" s="1"/>
  <c r="H784" i="1"/>
  <c r="H707" i="1"/>
  <c r="I707" i="1" s="1"/>
  <c r="H554" i="1"/>
  <c r="H539" i="1"/>
  <c r="H1113" i="1"/>
  <c r="I1113" i="1" s="1"/>
  <c r="H428" i="1"/>
  <c r="I428" i="1" s="1"/>
  <c r="H129" i="1"/>
  <c r="I129" i="1" s="1"/>
  <c r="H391" i="1"/>
  <c r="I391" i="1" s="1"/>
  <c r="H1037" i="1"/>
  <c r="I1037" i="1" s="1"/>
  <c r="H1149" i="1"/>
  <c r="I1149" i="1" s="1"/>
  <c r="H961" i="1"/>
  <c r="I961" i="1" s="1"/>
  <c r="H390" i="1"/>
  <c r="I390" i="1" s="1"/>
  <c r="H165" i="1"/>
  <c r="I165" i="1" s="1"/>
  <c r="H1187" i="1"/>
  <c r="I1187" i="1" s="1"/>
  <c r="H1291" i="1"/>
  <c r="I1291" i="1" s="1"/>
  <c r="H1273" i="1"/>
  <c r="I1273" i="1" s="1"/>
  <c r="H667" i="1"/>
  <c r="I667" i="1" s="1"/>
  <c r="H673" i="1"/>
  <c r="I673" i="1" s="1"/>
  <c r="H1285" i="1"/>
  <c r="I1285" i="1" s="1"/>
  <c r="H640" i="1"/>
  <c r="I640" i="1" s="1"/>
  <c r="H1315" i="1"/>
  <c r="I1315" i="1" s="1"/>
  <c r="H714" i="1"/>
  <c r="I714" i="1" s="1"/>
  <c r="H1387" i="1"/>
  <c r="I1387" i="1" s="1"/>
  <c r="H1316" i="1"/>
  <c r="I1316" i="1" s="1"/>
  <c r="H715" i="1"/>
  <c r="I715" i="1" s="1"/>
  <c r="H1418" i="1"/>
  <c r="H1388" i="1"/>
  <c r="H1059" i="1"/>
  <c r="I1059" i="1" s="1"/>
  <c r="H583" i="1"/>
  <c r="H871" i="1"/>
  <c r="I871" i="1" s="1"/>
  <c r="H1207" i="1"/>
  <c r="H537" i="1"/>
  <c r="H150" i="1"/>
  <c r="I150" i="1" s="1"/>
  <c r="H1097" i="1"/>
  <c r="I1097" i="1" s="1"/>
  <c r="H225" i="1"/>
  <c r="I225" i="1" s="1"/>
  <c r="H48" i="1"/>
  <c r="H955" i="1"/>
  <c r="H421" i="1"/>
  <c r="H85" i="1"/>
  <c r="H196" i="1"/>
  <c r="H234" i="1"/>
  <c r="H1072" i="1"/>
  <c r="H462" i="1"/>
  <c r="H425" i="1"/>
  <c r="H276" i="1"/>
  <c r="H500" i="1"/>
  <c r="H89" i="1"/>
  <c r="H1353" i="1"/>
  <c r="I1353" i="1" s="1"/>
  <c r="H1100" i="1"/>
  <c r="H415" i="1"/>
  <c r="H266" i="1"/>
  <c r="H304" i="1"/>
  <c r="H1024" i="1"/>
  <c r="H452" i="1"/>
  <c r="H1102" i="1"/>
  <c r="H839" i="1"/>
  <c r="H380" i="1"/>
  <c r="H192" i="1"/>
  <c r="H876" i="1"/>
  <c r="H155" i="1"/>
  <c r="H1178" i="1"/>
  <c r="H952" i="1"/>
  <c r="H455" i="1"/>
  <c r="H82" i="1"/>
  <c r="H231" i="1"/>
  <c r="H1065" i="1"/>
  <c r="H712" i="1"/>
  <c r="I712" i="1" s="1"/>
  <c r="H1313" i="1"/>
  <c r="I1313" i="1" s="1"/>
  <c r="H1351" i="1"/>
  <c r="I1351" i="1" s="1"/>
  <c r="H702" i="1"/>
  <c r="I702" i="1" s="1"/>
  <c r="H1314" i="1"/>
  <c r="I1314" i="1" s="1"/>
  <c r="H713" i="1"/>
  <c r="I713" i="1" s="1"/>
  <c r="H779" i="1"/>
  <c r="I779" i="1" s="1"/>
  <c r="H1360" i="1"/>
  <c r="H1304" i="1"/>
  <c r="I1304" i="1" s="1"/>
  <c r="H59" i="1"/>
  <c r="H1066" i="1"/>
  <c r="H953" i="1"/>
  <c r="H610" i="1"/>
  <c r="H1041" i="1"/>
  <c r="H1179" i="1"/>
  <c r="H878" i="1"/>
  <c r="H419" i="1"/>
  <c r="H1192" i="1"/>
  <c r="H891" i="1"/>
  <c r="H1090" i="1"/>
  <c r="H308" i="1"/>
  <c r="H157" i="1"/>
  <c r="H270" i="1"/>
  <c r="H283" i="1"/>
  <c r="H901" i="1"/>
  <c r="H232" i="1"/>
  <c r="H841" i="1"/>
  <c r="H456" i="1"/>
  <c r="I54" i="1"/>
  <c r="B5" i="6"/>
  <c r="G5" i="6" s="1"/>
  <c r="J5" i="6" s="1"/>
  <c r="G29" i="1" s="1"/>
  <c r="B223" i="6"/>
  <c r="H223" i="6" s="1"/>
  <c r="J223" i="6" s="1"/>
  <c r="B195" i="6"/>
  <c r="G195" i="6" s="1"/>
  <c r="J195" i="6" s="1"/>
  <c r="B636" i="6"/>
  <c r="I636" i="6" s="1"/>
  <c r="J636" i="6" s="1"/>
  <c r="G847" i="1" s="1"/>
  <c r="B10" i="6"/>
  <c r="B18" i="6"/>
  <c r="G18" i="6" s="1"/>
  <c r="J18" i="6" s="1"/>
  <c r="G42" i="1" s="1"/>
  <c r="B20" i="6"/>
  <c r="H20" i="6" s="1"/>
  <c r="J20" i="6" s="1"/>
  <c r="G44" i="1" s="1"/>
  <c r="B26" i="6"/>
  <c r="H26" i="6" s="1"/>
  <c r="J26" i="6" s="1"/>
  <c r="G50" i="1" s="1"/>
  <c r="B36" i="6"/>
  <c r="G36" i="6" s="1"/>
  <c r="J36" i="6" s="1"/>
  <c r="G60" i="1" s="1"/>
  <c r="B175" i="6"/>
  <c r="G175" i="6" s="1"/>
  <c r="J175" i="6" s="1"/>
  <c r="G195" i="1" s="1"/>
  <c r="B186" i="6"/>
  <c r="H186" i="6" s="1"/>
  <c r="J186" i="6" s="1"/>
  <c r="G206" i="1" s="1"/>
  <c r="B178" i="6"/>
  <c r="H178" i="6" s="1"/>
  <c r="J178" i="6" s="1"/>
  <c r="G198" i="1" s="1"/>
  <c r="B168" i="6"/>
  <c r="I168" i="6" s="1"/>
  <c r="J168" i="6" s="1"/>
  <c r="G188" i="1" s="1"/>
  <c r="B200" i="6"/>
  <c r="G200" i="6" s="1"/>
  <c r="G202" i="6" s="1"/>
  <c r="H201" i="6" s="1"/>
  <c r="J201" i="6" s="1"/>
  <c r="B290" i="6"/>
  <c r="I290" i="6" s="1"/>
  <c r="J290" i="6" s="1"/>
  <c r="B375" i="6"/>
  <c r="H375" i="6" s="1"/>
  <c r="J375" i="6" s="1"/>
  <c r="G319" i="1" s="1"/>
  <c r="B352" i="6"/>
  <c r="B360" i="6"/>
  <c r="G360" i="6" s="1"/>
  <c r="J360" i="6" s="1"/>
  <c r="G304" i="1" s="1"/>
  <c r="B366" i="6"/>
  <c r="I366" i="6" s="1"/>
  <c r="J366" i="6" s="1"/>
  <c r="G310" i="1" s="1"/>
  <c r="I310" i="1" s="1"/>
  <c r="B347" i="6"/>
  <c r="G347" i="6" s="1"/>
  <c r="J347" i="6" s="1"/>
  <c r="G291" i="1" s="1"/>
  <c r="B441" i="6"/>
  <c r="G441" i="6" s="1"/>
  <c r="J441" i="6" s="1"/>
  <c r="G383" i="1" s="1"/>
  <c r="B452" i="6"/>
  <c r="H452" i="6" s="1"/>
  <c r="J452" i="6" s="1"/>
  <c r="G394" i="1" s="1"/>
  <c r="B457" i="6"/>
  <c r="I457" i="6" s="1"/>
  <c r="J457" i="6" s="1"/>
  <c r="G399" i="1" s="1"/>
  <c r="B423" i="6"/>
  <c r="G423" i="6" s="1"/>
  <c r="J423" i="6" s="1"/>
  <c r="G365" i="1" s="1"/>
  <c r="B590" i="6"/>
  <c r="H590" i="6" s="1"/>
  <c r="B607" i="6"/>
  <c r="H607" i="6" s="1"/>
  <c r="J607" i="6" s="1"/>
  <c r="G509" i="1" s="1"/>
  <c r="B591" i="6"/>
  <c r="B586" i="6"/>
  <c r="I586" i="6" s="1"/>
  <c r="J586" i="6" s="1"/>
  <c r="G488" i="1" s="1"/>
  <c r="B628" i="6"/>
  <c r="H628" i="6" s="1"/>
  <c r="J628" i="6" s="1"/>
  <c r="G839" i="1" s="1"/>
  <c r="B647" i="6"/>
  <c r="I647" i="6" s="1"/>
  <c r="J647" i="6" s="1"/>
  <c r="G858" i="1" s="1"/>
  <c r="B674" i="6"/>
  <c r="I674" i="6" s="1"/>
  <c r="J674" i="6" s="1"/>
  <c r="G884" i="1" s="1"/>
  <c r="B672" i="6"/>
  <c r="H672" i="6" s="1"/>
  <c r="J672" i="6" s="1"/>
  <c r="G882" i="1" s="1"/>
  <c r="B675" i="6"/>
  <c r="I675" i="6" s="1"/>
  <c r="J675" i="6" s="1"/>
  <c r="G885" i="1" s="1"/>
  <c r="I885" i="1" s="1"/>
  <c r="B685" i="6"/>
  <c r="I685" i="6" s="1"/>
  <c r="J685" i="6" s="1"/>
  <c r="G895" i="1" s="1"/>
  <c r="B651" i="6"/>
  <c r="G651" i="6" s="1"/>
  <c r="J651" i="6" s="1"/>
  <c r="G861" i="1" s="1"/>
  <c r="B745" i="6"/>
  <c r="G745" i="6" s="1"/>
  <c r="J745" i="6" s="1"/>
  <c r="G954" i="1" s="1"/>
  <c r="B756" i="6"/>
  <c r="H756" i="6" s="1"/>
  <c r="J756" i="6" s="1"/>
  <c r="G965" i="1" s="1"/>
  <c r="B743" i="6"/>
  <c r="B738" i="6"/>
  <c r="I738" i="6" s="1"/>
  <c r="J738" i="6" s="1"/>
  <c r="G947" i="1" s="1"/>
  <c r="B793" i="6"/>
  <c r="H793" i="6" s="1"/>
  <c r="J793" i="6" s="1"/>
  <c r="G1001" i="1" s="1"/>
  <c r="B784" i="6"/>
  <c r="I784" i="6" s="1"/>
  <c r="J784" i="6" s="1"/>
  <c r="G992" i="1" s="1"/>
  <c r="I992" i="1" s="1"/>
  <c r="B890" i="6"/>
  <c r="I890" i="6" s="1"/>
  <c r="J890" i="6" s="1"/>
  <c r="G1060" i="1" s="1"/>
  <c r="B24" i="6"/>
  <c r="I24" i="6" s="1"/>
  <c r="J24" i="6" s="1"/>
  <c r="G48" i="1" s="1"/>
  <c r="B34" i="6"/>
  <c r="H34" i="6" s="1"/>
  <c r="J34" i="6" s="1"/>
  <c r="G58" i="1" s="1"/>
  <c r="B637" i="6"/>
  <c r="I637" i="6" s="1"/>
  <c r="J637" i="6" s="1"/>
  <c r="G848" i="1" s="1"/>
  <c r="B797" i="6"/>
  <c r="H797" i="6" s="1"/>
  <c r="J797" i="6" s="1"/>
  <c r="G1005" i="1" s="1"/>
  <c r="B16" i="6"/>
  <c r="I16" i="6" s="1"/>
  <c r="J16" i="6" s="1"/>
  <c r="G40" i="1" s="1"/>
  <c r="B23" i="6"/>
  <c r="G23" i="6" s="1"/>
  <c r="J23" i="6" s="1"/>
  <c r="G47" i="1" s="1"/>
  <c r="B21" i="6"/>
  <c r="B28" i="6"/>
  <c r="I28" i="6" s="1"/>
  <c r="J28" i="6" s="1"/>
  <c r="G52" i="1" s="1"/>
  <c r="B185" i="6"/>
  <c r="H185" i="6" s="1"/>
  <c r="J185" i="6" s="1"/>
  <c r="G205" i="1" s="1"/>
  <c r="B172" i="6"/>
  <c r="H172" i="6" s="1"/>
  <c r="J172" i="6" s="1"/>
  <c r="G192" i="1" s="1"/>
  <c r="B181" i="6"/>
  <c r="I181" i="6" s="1"/>
  <c r="J181" i="6" s="1"/>
  <c r="G201" i="1" s="1"/>
  <c r="B191" i="6"/>
  <c r="I191" i="6" s="1"/>
  <c r="J191" i="6" s="1"/>
  <c r="G211" i="1" s="1"/>
  <c r="B157" i="6"/>
  <c r="G157" i="6" s="1"/>
  <c r="J157" i="6" s="1"/>
  <c r="G177" i="1" s="1"/>
  <c r="B219" i="6"/>
  <c r="I219" i="6" s="1"/>
  <c r="J219" i="6" s="1"/>
  <c r="B370" i="6"/>
  <c r="I370" i="6" s="1"/>
  <c r="J370" i="6" s="1"/>
  <c r="G314" i="1" s="1"/>
  <c r="B367" i="6"/>
  <c r="H367" i="6" s="1"/>
  <c r="J367" i="6" s="1"/>
  <c r="G311" i="1" s="1"/>
  <c r="B379" i="6"/>
  <c r="H379" i="6" s="1"/>
  <c r="J379" i="6" s="1"/>
  <c r="G323" i="1" s="1"/>
  <c r="B363" i="6"/>
  <c r="B438" i="6"/>
  <c r="H438" i="6" s="1"/>
  <c r="J438" i="6" s="1"/>
  <c r="G380" i="1" s="1"/>
  <c r="B447" i="6"/>
  <c r="I447" i="6" s="1"/>
  <c r="J447" i="6" s="1"/>
  <c r="G389" i="1" s="1"/>
  <c r="B443" i="6"/>
  <c r="H443" i="6" s="1"/>
  <c r="J443" i="6" s="1"/>
  <c r="G385" i="1" s="1"/>
  <c r="B603" i="6"/>
  <c r="H603" i="6" s="1"/>
  <c r="J603" i="6" s="1"/>
  <c r="G505" i="1" s="1"/>
  <c r="I505" i="1" s="1"/>
  <c r="B580" i="6"/>
  <c r="B604" i="6"/>
  <c r="H604" i="6" s="1"/>
  <c r="J604" i="6" s="1"/>
  <c r="G506" i="1" s="1"/>
  <c r="B609" i="6"/>
  <c r="I609" i="6" s="1"/>
  <c r="J609" i="6" s="1"/>
  <c r="G511" i="1" s="1"/>
  <c r="B575" i="6"/>
  <c r="G575" i="6" s="1"/>
  <c r="J575" i="6" s="1"/>
  <c r="G477" i="1" s="1"/>
  <c r="B618" i="6"/>
  <c r="B633" i="6"/>
  <c r="H633" i="6" s="1"/>
  <c r="J633" i="6" s="1"/>
  <c r="G844" i="1" s="1"/>
  <c r="B669" i="6"/>
  <c r="G669" i="6" s="1"/>
  <c r="J669" i="6" s="1"/>
  <c r="G879" i="1" s="1"/>
  <c r="B664" i="6"/>
  <c r="G664" i="6" s="1"/>
  <c r="J664" i="6" s="1"/>
  <c r="G874" i="1" s="1"/>
  <c r="B670" i="6"/>
  <c r="I670" i="6" s="1"/>
  <c r="J670" i="6" s="1"/>
  <c r="G880" i="1" s="1"/>
  <c r="I880" i="1" s="1"/>
  <c r="B742" i="6"/>
  <c r="H742" i="6" s="1"/>
  <c r="J742" i="6" s="1"/>
  <c r="G951" i="1" s="1"/>
  <c r="B751" i="6"/>
  <c r="I751" i="6" s="1"/>
  <c r="J751" i="6" s="1"/>
  <c r="G960" i="1" s="1"/>
  <c r="B761" i="6"/>
  <c r="I761" i="6" s="1"/>
  <c r="J761" i="6" s="1"/>
  <c r="G970" i="1" s="1"/>
  <c r="B727" i="6"/>
  <c r="G727" i="6" s="1"/>
  <c r="J727" i="6" s="1"/>
  <c r="G936" i="1" s="1"/>
  <c r="B788" i="6"/>
  <c r="I788" i="6" s="1"/>
  <c r="J788" i="6" s="1"/>
  <c r="G996" i="1" s="1"/>
  <c r="I996" i="1" s="1"/>
  <c r="B785" i="6"/>
  <c r="H785" i="6" s="1"/>
  <c r="J785" i="6" s="1"/>
  <c r="G993" i="1" s="1"/>
  <c r="B903" i="6"/>
  <c r="I903" i="6" s="1"/>
  <c r="J903" i="6" s="1"/>
  <c r="G1073" i="1" s="1"/>
  <c r="B1060" i="6"/>
  <c r="H1060" i="6" s="1"/>
  <c r="J1060" i="6" s="1"/>
  <c r="B218" i="6"/>
  <c r="I218" i="6" s="1"/>
  <c r="J218" i="6" s="1"/>
  <c r="B227" i="6"/>
  <c r="H227" i="6" s="1"/>
  <c r="J227" i="6" s="1"/>
  <c r="B214" i="6"/>
  <c r="I214" i="6" s="1"/>
  <c r="J214" i="6" s="1"/>
  <c r="B215" i="6"/>
  <c r="H215" i="6" s="1"/>
  <c r="J215" i="6" s="1"/>
  <c r="B216" i="6"/>
  <c r="H216" i="6" s="1"/>
  <c r="J216" i="6" s="1"/>
  <c r="B337" i="6"/>
  <c r="H337" i="6" s="1"/>
  <c r="B314" i="6"/>
  <c r="B328" i="6"/>
  <c r="I328" i="6" s="1"/>
  <c r="J328" i="6" s="1"/>
  <c r="G272" i="1" s="1"/>
  <c r="I272" i="1" s="1"/>
  <c r="B321" i="6"/>
  <c r="I321" i="6" s="1"/>
  <c r="J321" i="6" s="1"/>
  <c r="G265" i="1" s="1"/>
  <c r="B477" i="6"/>
  <c r="B560" i="6"/>
  <c r="I560" i="6" s="1"/>
  <c r="J560" i="6" s="1"/>
  <c r="G462" i="1" s="1"/>
  <c r="B542" i="6"/>
  <c r="B550" i="6"/>
  <c r="G550" i="6" s="1"/>
  <c r="J550" i="6" s="1"/>
  <c r="G452" i="1" s="1"/>
  <c r="B556" i="6"/>
  <c r="I556" i="6" s="1"/>
  <c r="J556" i="6" s="1"/>
  <c r="G458" i="1" s="1"/>
  <c r="B558" i="6"/>
  <c r="H558" i="6" s="1"/>
  <c r="J558" i="6" s="1"/>
  <c r="G460" i="1" s="1"/>
  <c r="B894" i="6"/>
  <c r="H894" i="6" s="1"/>
  <c r="J894" i="6" s="1"/>
  <c r="G1064" i="1" s="1"/>
  <c r="B879" i="6"/>
  <c r="G879" i="6" s="1"/>
  <c r="J879" i="6" s="1"/>
  <c r="G1049" i="1" s="1"/>
  <c r="B891" i="6"/>
  <c r="I891" i="6" s="1"/>
  <c r="J891" i="6" s="1"/>
  <c r="G1061" i="1" s="1"/>
  <c r="B213" i="6"/>
  <c r="G213" i="6" s="1"/>
  <c r="J213" i="6" s="1"/>
  <c r="B224" i="6"/>
  <c r="H224" i="6" s="1"/>
  <c r="J224" i="6" s="1"/>
  <c r="B211" i="6"/>
  <c r="B207" i="6"/>
  <c r="I207" i="6" s="1"/>
  <c r="J207" i="6" s="1"/>
  <c r="B332" i="6"/>
  <c r="I332" i="6" s="1"/>
  <c r="J332" i="6" s="1"/>
  <c r="G276" i="1" s="1"/>
  <c r="B341" i="6"/>
  <c r="H341" i="6" s="1"/>
  <c r="J341" i="6" s="1"/>
  <c r="G285" i="1" s="1"/>
  <c r="B325" i="6"/>
  <c r="H325" i="6" s="1"/>
  <c r="J325" i="6" s="1"/>
  <c r="G269" i="1" s="1"/>
  <c r="I269" i="1" s="1"/>
  <c r="B320" i="6"/>
  <c r="I320" i="6" s="1"/>
  <c r="J320" i="6" s="1"/>
  <c r="G264" i="1" s="1"/>
  <c r="B481" i="6"/>
  <c r="H481" i="6" s="1"/>
  <c r="J481" i="6" s="1"/>
  <c r="B555" i="6"/>
  <c r="G555" i="6" s="1"/>
  <c r="J555" i="6" s="1"/>
  <c r="G457" i="1" s="1"/>
  <c r="B571" i="6"/>
  <c r="I571" i="6" s="1"/>
  <c r="J571" i="6" s="1"/>
  <c r="G473" i="1" s="1"/>
  <c r="B569" i="6"/>
  <c r="H569" i="6" s="1"/>
  <c r="J569" i="6" s="1"/>
  <c r="G471" i="1" s="1"/>
  <c r="B553" i="6"/>
  <c r="B907" i="6"/>
  <c r="H907" i="6" s="1"/>
  <c r="J907" i="6" s="1"/>
  <c r="G1077" i="1" s="1"/>
  <c r="B884" i="6"/>
  <c r="B911" i="6"/>
  <c r="H911" i="6" s="1"/>
  <c r="J911" i="6" s="1"/>
  <c r="G1081" i="1" s="1"/>
  <c r="B898" i="6"/>
  <c r="I898" i="6" s="1"/>
  <c r="J898" i="6" s="1"/>
  <c r="G1068" i="1" s="1"/>
  <c r="I1068" i="1" s="1"/>
  <c r="B910" i="6"/>
  <c r="G910" i="6" s="1"/>
  <c r="J910" i="6" s="1"/>
  <c r="G1080" i="1" s="1"/>
  <c r="B210" i="6"/>
  <c r="H210" i="6" s="1"/>
  <c r="J210" i="6" s="1"/>
  <c r="B208" i="6"/>
  <c r="G208" i="6" s="1"/>
  <c r="J208" i="6" s="1"/>
  <c r="B206" i="6"/>
  <c r="I206" i="6" s="1"/>
  <c r="J206" i="6" s="1"/>
  <c r="B327" i="6"/>
  <c r="G327" i="6" s="1"/>
  <c r="J327" i="6" s="1"/>
  <c r="G271" i="1" s="1"/>
  <c r="B330" i="6"/>
  <c r="H330" i="6" s="1"/>
  <c r="J330" i="6" s="1"/>
  <c r="G274" i="1" s="1"/>
  <c r="B338" i="6"/>
  <c r="H338" i="6" s="1"/>
  <c r="J338" i="6" s="1"/>
  <c r="G282" i="1" s="1"/>
  <c r="B343" i="6"/>
  <c r="I343" i="6" s="1"/>
  <c r="J343" i="6" s="1"/>
  <c r="G287" i="1" s="1"/>
  <c r="I287" i="1" s="1"/>
  <c r="B309" i="6"/>
  <c r="G309" i="6" s="1"/>
  <c r="J309" i="6" s="1"/>
  <c r="G253" i="1" s="1"/>
  <c r="B489" i="6"/>
  <c r="H489" i="6" s="1"/>
  <c r="J489" i="6" s="1"/>
  <c r="B548" i="6"/>
  <c r="I548" i="6" s="1"/>
  <c r="J548" i="6" s="1"/>
  <c r="G450" i="1" s="1"/>
  <c r="B566" i="6"/>
  <c r="H566" i="6" s="1"/>
  <c r="J566" i="6" s="1"/>
  <c r="G468" i="1" s="1"/>
  <c r="B557" i="6"/>
  <c r="H557" i="6" s="1"/>
  <c r="J557" i="6" s="1"/>
  <c r="G459" i="1" s="1"/>
  <c r="B902" i="6"/>
  <c r="I902" i="6" s="1"/>
  <c r="J902" i="6" s="1"/>
  <c r="G1072" i="1" s="1"/>
  <c r="B899" i="6"/>
  <c r="H899" i="6" s="1"/>
  <c r="J899" i="6" s="1"/>
  <c r="G1069" i="1" s="1"/>
  <c r="B908" i="6"/>
  <c r="H908" i="6" s="1"/>
  <c r="J908" i="6" s="1"/>
  <c r="G1078" i="1" s="1"/>
  <c r="I1078" i="1" s="1"/>
  <c r="B895" i="6"/>
  <c r="H895" i="6" s="1"/>
  <c r="H547" i="6"/>
  <c r="J547" i="6" s="1"/>
  <c r="G449" i="1" s="1"/>
  <c r="H91" i="6"/>
  <c r="J91" i="6" s="1"/>
  <c r="G113" i="1" s="1"/>
  <c r="H15" i="6"/>
  <c r="J15" i="6" s="1"/>
  <c r="G39" i="1" s="1"/>
  <c r="I39" i="1" s="1"/>
  <c r="F39" i="8"/>
  <c r="B150" i="6"/>
  <c r="G150" i="6" s="1"/>
  <c r="J150" i="6" s="1"/>
  <c r="G171" i="1" s="1"/>
  <c r="B287" i="6"/>
  <c r="B517" i="6"/>
  <c r="G517" i="6" s="1"/>
  <c r="J517" i="6" s="1"/>
  <c r="G420" i="1" s="1"/>
  <c r="B512" i="6"/>
  <c r="G512" i="6" s="1"/>
  <c r="J512" i="6" s="1"/>
  <c r="G415" i="1" s="1"/>
  <c r="B511" i="6"/>
  <c r="I511" i="6" s="1"/>
  <c r="J511" i="6" s="1"/>
  <c r="G414" i="1" s="1"/>
  <c r="B708" i="6"/>
  <c r="I708" i="6" s="1"/>
  <c r="J708" i="6" s="1"/>
  <c r="G917" i="1" s="1"/>
  <c r="I917" i="1" s="1"/>
  <c r="B949" i="6"/>
  <c r="H949" i="6" s="1"/>
  <c r="J949" i="6" s="1"/>
  <c r="G1119" i="1" s="1"/>
  <c r="B1065" i="6"/>
  <c r="I1065" i="6" s="1"/>
  <c r="J1065" i="6" s="1"/>
  <c r="B142" i="6"/>
  <c r="I142" i="6" s="1"/>
  <c r="J142" i="6" s="1"/>
  <c r="G163" i="1" s="1"/>
  <c r="B140" i="6"/>
  <c r="H140" i="6" s="1"/>
  <c r="J140" i="6" s="1"/>
  <c r="G161" i="1" s="1"/>
  <c r="B138" i="6"/>
  <c r="I138" i="6" s="1"/>
  <c r="J138" i="6" s="1"/>
  <c r="G159" i="1" s="1"/>
  <c r="B131" i="6"/>
  <c r="I131" i="6" s="1"/>
  <c r="J131" i="6" s="1"/>
  <c r="G152" i="1" s="1"/>
  <c r="B132" i="6"/>
  <c r="G132" i="6" s="1"/>
  <c r="J132" i="6" s="1"/>
  <c r="G153" i="1" s="1"/>
  <c r="B62" i="6"/>
  <c r="I62" i="6" s="1"/>
  <c r="J62" i="6" s="1"/>
  <c r="G85" i="1" s="1"/>
  <c r="B248" i="6"/>
  <c r="H248" i="6" s="1"/>
  <c r="J248" i="6" s="1"/>
  <c r="G230" i="1" s="1"/>
  <c r="I230" i="1" s="1"/>
  <c r="B276" i="6"/>
  <c r="B300" i="6"/>
  <c r="H300" i="6" s="1"/>
  <c r="J300" i="6" s="1"/>
  <c r="B292" i="6"/>
  <c r="H292" i="6" s="1"/>
  <c r="J292" i="6" s="1"/>
  <c r="B408" i="6"/>
  <c r="I408" i="6" s="1"/>
  <c r="J408" i="6" s="1"/>
  <c r="G351" i="1" s="1"/>
  <c r="B417" i="6"/>
  <c r="H417" i="6" s="1"/>
  <c r="J417" i="6" s="1"/>
  <c r="G360" i="1" s="1"/>
  <c r="B419" i="6"/>
  <c r="I419" i="6" s="1"/>
  <c r="J419" i="6" s="1"/>
  <c r="G362" i="1" s="1"/>
  <c r="B527" i="6"/>
  <c r="H527" i="6" s="1"/>
  <c r="J527" i="6" s="1"/>
  <c r="G430" i="1" s="1"/>
  <c r="B514" i="6"/>
  <c r="H514" i="6" s="1"/>
  <c r="J514" i="6" s="1"/>
  <c r="G417" i="1" s="1"/>
  <c r="B531" i="6"/>
  <c r="H531" i="6" s="1"/>
  <c r="J531" i="6" s="1"/>
  <c r="G434" i="1" s="1"/>
  <c r="B515" i="6"/>
  <c r="B634" i="6"/>
  <c r="H634" i="6" s="1"/>
  <c r="J634" i="6" s="1"/>
  <c r="G845" i="1" s="1"/>
  <c r="B632" i="6"/>
  <c r="I632" i="6" s="1"/>
  <c r="J632" i="6" s="1"/>
  <c r="G843" i="1" s="1"/>
  <c r="I843" i="1" s="1"/>
  <c r="B625" i="6"/>
  <c r="I625" i="6" s="1"/>
  <c r="J625" i="6" s="1"/>
  <c r="G836" i="1" s="1"/>
  <c r="B626" i="6"/>
  <c r="G626" i="6" s="1"/>
  <c r="J626" i="6" s="1"/>
  <c r="G837" i="1" s="1"/>
  <c r="B709" i="6"/>
  <c r="H709" i="6" s="1"/>
  <c r="J709" i="6" s="1"/>
  <c r="G918" i="1" s="1"/>
  <c r="B783" i="6"/>
  <c r="G783" i="6" s="1"/>
  <c r="J783" i="6" s="1"/>
  <c r="G991" i="1" s="1"/>
  <c r="B777" i="6"/>
  <c r="I777" i="6" s="1"/>
  <c r="J777" i="6" s="1"/>
  <c r="G985" i="1" s="1"/>
  <c r="B794" i="6"/>
  <c r="H794" i="6" s="1"/>
  <c r="J794" i="6" s="1"/>
  <c r="G1002" i="1" s="1"/>
  <c r="B781" i="6"/>
  <c r="B776" i="6"/>
  <c r="I776" i="6" s="1"/>
  <c r="J776" i="6" s="1"/>
  <c r="G984" i="1" s="1"/>
  <c r="B864" i="6"/>
  <c r="I864" i="6" s="1"/>
  <c r="J864" i="6" s="1"/>
  <c r="B933" i="6"/>
  <c r="B1008" i="6"/>
  <c r="H1008" i="6" s="1"/>
  <c r="B1025" i="6"/>
  <c r="H1025" i="6" s="1"/>
  <c r="J1025" i="6" s="1"/>
  <c r="G1194" i="1" s="1"/>
  <c r="B1009" i="6"/>
  <c r="B993" i="6"/>
  <c r="G993" i="6" s="1"/>
  <c r="J993" i="6" s="1"/>
  <c r="G1162" i="1" s="1"/>
  <c r="B1043" i="6"/>
  <c r="I1043" i="6" s="1"/>
  <c r="J1043" i="6" s="1"/>
  <c r="B302" i="6"/>
  <c r="G302" i="6" s="1"/>
  <c r="J302" i="6" s="1"/>
  <c r="B147" i="6"/>
  <c r="H147" i="6" s="1"/>
  <c r="J147" i="6" s="1"/>
  <c r="G168" i="1" s="1"/>
  <c r="B124" i="6"/>
  <c r="B143" i="6"/>
  <c r="I143" i="6" s="1"/>
  <c r="J143" i="6" s="1"/>
  <c r="G164" i="1" s="1"/>
  <c r="B139" i="6"/>
  <c r="H139" i="6" s="1"/>
  <c r="J139" i="6" s="1"/>
  <c r="G160" i="1" s="1"/>
  <c r="B119" i="6"/>
  <c r="G119" i="6" s="1"/>
  <c r="J119" i="6" s="1"/>
  <c r="G140" i="1" s="1"/>
  <c r="B299" i="6"/>
  <c r="H299" i="6" s="1"/>
  <c r="J299" i="6" s="1"/>
  <c r="B286" i="6"/>
  <c r="H286" i="6" s="1"/>
  <c r="J286" i="6" s="1"/>
  <c r="B303" i="6"/>
  <c r="H303" i="6" s="1"/>
  <c r="J303" i="6" s="1"/>
  <c r="B271" i="6"/>
  <c r="G271" i="6" s="1"/>
  <c r="J271" i="6" s="1"/>
  <c r="B396" i="6"/>
  <c r="I396" i="6" s="1"/>
  <c r="J396" i="6" s="1"/>
  <c r="G339" i="1" s="1"/>
  <c r="B518" i="6"/>
  <c r="I518" i="6" s="1"/>
  <c r="J518" i="6" s="1"/>
  <c r="G421" i="1" s="1"/>
  <c r="B860" i="6"/>
  <c r="I860" i="6" s="1"/>
  <c r="J860" i="6" s="1"/>
  <c r="B39" i="8"/>
  <c r="B137" i="6"/>
  <c r="G137" i="6" s="1"/>
  <c r="J137" i="6" s="1"/>
  <c r="G158" i="1" s="1"/>
  <c r="B151" i="6"/>
  <c r="H151" i="6" s="1"/>
  <c r="J151" i="6" s="1"/>
  <c r="G172" i="1" s="1"/>
  <c r="B262" i="6"/>
  <c r="H262" i="6" s="1"/>
  <c r="J262" i="6" s="1"/>
  <c r="G244" i="1" s="1"/>
  <c r="I244" i="1" s="1"/>
  <c r="B294" i="6"/>
  <c r="I294" i="6" s="1"/>
  <c r="J294" i="6" s="1"/>
  <c r="B291" i="6"/>
  <c r="H291" i="6" s="1"/>
  <c r="J291" i="6" s="1"/>
  <c r="B295" i="6"/>
  <c r="I295" i="6" s="1"/>
  <c r="J295" i="6" s="1"/>
  <c r="B305" i="6"/>
  <c r="I305" i="6" s="1"/>
  <c r="J305" i="6" s="1"/>
  <c r="B55" i="6"/>
  <c r="I55" i="6" s="1"/>
  <c r="J55" i="6" s="1"/>
  <c r="G78" i="1" s="1"/>
  <c r="B403" i="6"/>
  <c r="G403" i="6" s="1"/>
  <c r="J403" i="6" s="1"/>
  <c r="G346" i="1" s="1"/>
  <c r="B522" i="6"/>
  <c r="I522" i="6" s="1"/>
  <c r="J522" i="6" s="1"/>
  <c r="G425" i="1" s="1"/>
  <c r="B504" i="6"/>
  <c r="B528" i="6"/>
  <c r="H528" i="6" s="1"/>
  <c r="J528" i="6" s="1"/>
  <c r="G431" i="1" s="1"/>
  <c r="B533" i="6"/>
  <c r="I533" i="6" s="1"/>
  <c r="J533" i="6" s="1"/>
  <c r="G436" i="1" s="1"/>
  <c r="B510" i="6"/>
  <c r="I510" i="6" s="1"/>
  <c r="J510" i="6" s="1"/>
  <c r="G413" i="1" s="1"/>
  <c r="B631" i="6"/>
  <c r="G631" i="6" s="1"/>
  <c r="J631" i="6" s="1"/>
  <c r="G842" i="1" s="1"/>
  <c r="B645" i="6"/>
  <c r="H645" i="6" s="1"/>
  <c r="J645" i="6" s="1"/>
  <c r="G856" i="1" s="1"/>
  <c r="B629" i="6"/>
  <c r="B624" i="6"/>
  <c r="I624" i="6" s="1"/>
  <c r="J624" i="6" s="1"/>
  <c r="G835" i="1" s="1"/>
  <c r="B700" i="6"/>
  <c r="I700" i="6" s="1"/>
  <c r="J700" i="6" s="1"/>
  <c r="G909" i="1" s="1"/>
  <c r="B780" i="6"/>
  <c r="H780" i="6" s="1"/>
  <c r="B778" i="6"/>
  <c r="G778" i="6" s="1"/>
  <c r="J778" i="6" s="1"/>
  <c r="G986" i="1" s="1"/>
  <c r="B789" i="6"/>
  <c r="I789" i="6" s="1"/>
  <c r="J789" i="6" s="1"/>
  <c r="G997" i="1" s="1"/>
  <c r="B799" i="6"/>
  <c r="I799" i="6" s="1"/>
  <c r="J799" i="6" s="1"/>
  <c r="G1007" i="1" s="1"/>
  <c r="B765" i="6"/>
  <c r="G765" i="6" s="1"/>
  <c r="J765" i="6" s="1"/>
  <c r="G973" i="1" s="1"/>
  <c r="B852" i="6"/>
  <c r="I852" i="6" s="1"/>
  <c r="J852" i="6" s="1"/>
  <c r="B875" i="6"/>
  <c r="I875" i="6" s="1"/>
  <c r="J875" i="6" s="1"/>
  <c r="B1021" i="6"/>
  <c r="H1021" i="6" s="1"/>
  <c r="B998" i="6"/>
  <c r="B1022" i="6"/>
  <c r="H1022" i="6" s="1"/>
  <c r="J1022" i="6" s="1"/>
  <c r="G1191" i="1" s="1"/>
  <c r="I1191" i="1" s="1"/>
  <c r="B1013" i="6"/>
  <c r="H1013" i="6" s="1"/>
  <c r="J1013" i="6" s="1"/>
  <c r="G1182" i="1" s="1"/>
  <c r="B1014" i="6"/>
  <c r="H1014" i="6" s="1"/>
  <c r="J1014" i="6" s="1"/>
  <c r="G1183" i="1" s="1"/>
  <c r="J755" i="6"/>
  <c r="G964" i="1" s="1"/>
  <c r="B75" i="6"/>
  <c r="H75" i="6" s="1"/>
  <c r="J75" i="6" s="1"/>
  <c r="G98" i="1" s="1"/>
  <c r="B66" i="6"/>
  <c r="I66" i="6" s="1"/>
  <c r="J66" i="6" s="1"/>
  <c r="G89" i="1" s="1"/>
  <c r="B63" i="6"/>
  <c r="H63" i="6" s="1"/>
  <c r="J63" i="6" s="1"/>
  <c r="G86" i="1" s="1"/>
  <c r="B56" i="6"/>
  <c r="G56" i="6" s="1"/>
  <c r="J56" i="6" s="1"/>
  <c r="G79" i="1" s="1"/>
  <c r="B256" i="6"/>
  <c r="I256" i="6" s="1"/>
  <c r="J256" i="6" s="1"/>
  <c r="G238" i="1" s="1"/>
  <c r="B238" i="6"/>
  <c r="B257" i="6"/>
  <c r="I257" i="6" s="1"/>
  <c r="J257" i="6" s="1"/>
  <c r="G239" i="1" s="1"/>
  <c r="B267" i="6"/>
  <c r="I267" i="6" s="1"/>
  <c r="J267" i="6" s="1"/>
  <c r="G249" i="1" s="1"/>
  <c r="B244" i="6"/>
  <c r="I244" i="6" s="1"/>
  <c r="J244" i="6" s="1"/>
  <c r="G226" i="1" s="1"/>
  <c r="B61" i="6"/>
  <c r="G61" i="6" s="1"/>
  <c r="J61" i="6" s="1"/>
  <c r="G84" i="1" s="1"/>
  <c r="B712" i="6"/>
  <c r="I712" i="6" s="1"/>
  <c r="J712" i="6" s="1"/>
  <c r="G921" i="1" s="1"/>
  <c r="I921" i="1" s="1"/>
  <c r="B721" i="6"/>
  <c r="H721" i="6" s="1"/>
  <c r="J721" i="6" s="1"/>
  <c r="G930" i="1" s="1"/>
  <c r="B705" i="6"/>
  <c r="B689" i="6"/>
  <c r="G689" i="6" s="1"/>
  <c r="J689" i="6" s="1"/>
  <c r="G898" i="1" s="1"/>
  <c r="B859" i="6"/>
  <c r="G859" i="6" s="1"/>
  <c r="J859" i="6" s="1"/>
  <c r="B841" i="6"/>
  <c r="G841" i="6" s="1"/>
  <c r="J841" i="6" s="1"/>
  <c r="B870" i="6"/>
  <c r="H870" i="6" s="1"/>
  <c r="J870" i="6" s="1"/>
  <c r="B857" i="6"/>
  <c r="B945" i="6"/>
  <c r="H945" i="6" s="1"/>
  <c r="B932" i="6"/>
  <c r="H932" i="6" s="1"/>
  <c r="B946" i="6"/>
  <c r="H946" i="6" s="1"/>
  <c r="J946" i="6" s="1"/>
  <c r="G1116" i="1" s="1"/>
  <c r="I1116" i="1" s="1"/>
  <c r="B937" i="6"/>
  <c r="H937" i="6" s="1"/>
  <c r="J937" i="6" s="1"/>
  <c r="G1107" i="1" s="1"/>
  <c r="B917" i="6"/>
  <c r="G917" i="6" s="1"/>
  <c r="J917" i="6" s="1"/>
  <c r="G1087" i="1" s="1"/>
  <c r="B1059" i="6"/>
  <c r="H1059" i="6" s="1"/>
  <c r="B1046" i="6"/>
  <c r="H1046" i="6" s="1"/>
  <c r="B1044" i="6"/>
  <c r="G1044" i="6" s="1"/>
  <c r="J1044" i="6" s="1"/>
  <c r="B1055" i="6"/>
  <c r="I1055" i="6" s="1"/>
  <c r="J1055" i="6" s="1"/>
  <c r="B1042" i="6"/>
  <c r="I1042" i="6" s="1"/>
  <c r="J1042" i="6" s="1"/>
  <c r="B64" i="6"/>
  <c r="H64" i="6" s="1"/>
  <c r="J64" i="6" s="1"/>
  <c r="G87" i="1" s="1"/>
  <c r="B71" i="6"/>
  <c r="H71" i="6" s="1"/>
  <c r="B59" i="6"/>
  <c r="B48" i="6"/>
  <c r="B251" i="6"/>
  <c r="G251" i="6" s="1"/>
  <c r="J251" i="6" s="1"/>
  <c r="G233" i="1" s="1"/>
  <c r="B254" i="6"/>
  <c r="H254" i="6" s="1"/>
  <c r="J254" i="6" s="1"/>
  <c r="G236" i="1" s="1"/>
  <c r="B252" i="6"/>
  <c r="I252" i="6" s="1"/>
  <c r="J252" i="6" s="1"/>
  <c r="G234" i="1" s="1"/>
  <c r="B253" i="6"/>
  <c r="H253" i="6" s="1"/>
  <c r="J253" i="6" s="1"/>
  <c r="G235" i="1" s="1"/>
  <c r="B233" i="6"/>
  <c r="G233" i="6" s="1"/>
  <c r="J233" i="6" s="1"/>
  <c r="G215" i="1" s="1"/>
  <c r="B707" i="6"/>
  <c r="G707" i="6" s="1"/>
  <c r="J707" i="6" s="1"/>
  <c r="G916" i="1" s="1"/>
  <c r="B718" i="6"/>
  <c r="H718" i="6" s="1"/>
  <c r="J718" i="6" s="1"/>
  <c r="G927" i="1" s="1"/>
  <c r="B701" i="6"/>
  <c r="I701" i="6" s="1"/>
  <c r="J701" i="6" s="1"/>
  <c r="G910" i="1" s="1"/>
  <c r="B710" i="6"/>
  <c r="H710" i="6" s="1"/>
  <c r="J710" i="6" s="1"/>
  <c r="G919" i="1" s="1"/>
  <c r="B856" i="6"/>
  <c r="H856" i="6" s="1"/>
  <c r="B865" i="6"/>
  <c r="I865" i="6" s="1"/>
  <c r="J865" i="6" s="1"/>
  <c r="B861" i="6"/>
  <c r="H861" i="6" s="1"/>
  <c r="J861" i="6" s="1"/>
  <c r="B854" i="6"/>
  <c r="G854" i="6" s="1"/>
  <c r="J854" i="6" s="1"/>
  <c r="B922" i="6"/>
  <c r="B941" i="6"/>
  <c r="I941" i="6" s="1"/>
  <c r="J941" i="6" s="1"/>
  <c r="G1111" i="1" s="1"/>
  <c r="I1111" i="1" s="1"/>
  <c r="B930" i="6"/>
  <c r="G930" i="6" s="1"/>
  <c r="J930" i="6" s="1"/>
  <c r="G1100" i="1" s="1"/>
  <c r="B929" i="6"/>
  <c r="I929" i="6" s="1"/>
  <c r="J929" i="6" s="1"/>
  <c r="G1099" i="1" s="1"/>
  <c r="B938" i="6"/>
  <c r="H938" i="6" s="1"/>
  <c r="J938" i="6" s="1"/>
  <c r="G1108" i="1" s="1"/>
  <c r="B1054" i="6"/>
  <c r="I1054" i="6" s="1"/>
  <c r="J1054" i="6" s="1"/>
  <c r="B1036" i="6"/>
  <c r="G1036" i="6" s="1"/>
  <c r="J1036" i="6" s="1"/>
  <c r="B1050" i="6"/>
  <c r="I1050" i="6" s="1"/>
  <c r="J1050" i="6" s="1"/>
  <c r="B1031" i="6"/>
  <c r="G1031" i="6" s="1"/>
  <c r="J1031" i="6" s="1"/>
  <c r="B54" i="6"/>
  <c r="I54" i="6" s="1"/>
  <c r="J54" i="6" s="1"/>
  <c r="G77" i="1" s="1"/>
  <c r="B58" i="6"/>
  <c r="H58" i="6" s="1"/>
  <c r="J58" i="6" s="1"/>
  <c r="G81" i="1" s="1"/>
  <c r="B43" i="6"/>
  <c r="G43" i="6" s="1"/>
  <c r="J43" i="6" s="1"/>
  <c r="G66" i="1" s="1"/>
  <c r="B265" i="6"/>
  <c r="H265" i="6" s="1"/>
  <c r="J265" i="6" s="1"/>
  <c r="G247" i="1" s="1"/>
  <c r="B249" i="6"/>
  <c r="B245" i="6"/>
  <c r="I245" i="6" s="1"/>
  <c r="J245" i="6" s="1"/>
  <c r="G227" i="1" s="1"/>
  <c r="B717" i="6"/>
  <c r="H717" i="6" s="1"/>
  <c r="J717" i="6" s="1"/>
  <c r="G926" i="1" s="1"/>
  <c r="B704" i="6"/>
  <c r="H704" i="6" s="1"/>
  <c r="J704" i="6" s="1"/>
  <c r="G913" i="1" s="1"/>
  <c r="B713" i="6"/>
  <c r="I713" i="6" s="1"/>
  <c r="J713" i="6" s="1"/>
  <c r="G922" i="1" s="1"/>
  <c r="B723" i="6"/>
  <c r="I723" i="6" s="1"/>
  <c r="J723" i="6" s="1"/>
  <c r="G932" i="1" s="1"/>
  <c r="I932" i="1" s="1"/>
  <c r="B702" i="6"/>
  <c r="G702" i="6" s="1"/>
  <c r="J702" i="6" s="1"/>
  <c r="G911" i="1" s="1"/>
  <c r="B869" i="6"/>
  <c r="H869" i="6" s="1"/>
  <c r="B846" i="6"/>
  <c r="B862" i="6"/>
  <c r="H862" i="6" s="1"/>
  <c r="J862" i="6" s="1"/>
  <c r="B940" i="6"/>
  <c r="I940" i="6" s="1"/>
  <c r="J940" i="6" s="1"/>
  <c r="G1110" i="1" s="1"/>
  <c r="B936" i="6"/>
  <c r="I936" i="6" s="1"/>
  <c r="J936" i="6" s="1"/>
  <c r="G1106" i="1" s="1"/>
  <c r="B951" i="6"/>
  <c r="I951" i="6" s="1"/>
  <c r="J951" i="6" s="1"/>
  <c r="G1121" i="1" s="1"/>
  <c r="B1049" i="6"/>
  <c r="G1049" i="6" s="1"/>
  <c r="J1049" i="6" s="1"/>
  <c r="B1063" i="6"/>
  <c r="H1063" i="6" s="1"/>
  <c r="J1063" i="6" s="1"/>
  <c r="B1047" i="6"/>
  <c r="B1051" i="6"/>
  <c r="H1051" i="6" s="1"/>
  <c r="J1051" i="6" s="1"/>
  <c r="B1052" i="6"/>
  <c r="H1052" i="6" s="1"/>
  <c r="J1052" i="6" s="1"/>
  <c r="B72" i="6"/>
  <c r="H72" i="6" s="1"/>
  <c r="J72" i="6" s="1"/>
  <c r="G95" i="1" s="1"/>
  <c r="I95" i="1" s="1"/>
  <c r="J337" i="6"/>
  <c r="G281" i="1" s="1"/>
  <c r="B492" i="6"/>
  <c r="G492" i="6" s="1"/>
  <c r="J492" i="6" s="1"/>
  <c r="B461" i="6"/>
  <c r="G461" i="6" s="1"/>
  <c r="J461" i="6" s="1"/>
  <c r="B480" i="6"/>
  <c r="I480" i="6" s="1"/>
  <c r="J480" i="6" s="1"/>
  <c r="B490" i="6"/>
  <c r="H490" i="6" s="1"/>
  <c r="J490" i="6" s="1"/>
  <c r="B479" i="6"/>
  <c r="G479" i="6" s="1"/>
  <c r="J479" i="6" s="1"/>
  <c r="B474" i="6"/>
  <c r="G474" i="6" s="1"/>
  <c r="J474" i="6" s="1"/>
  <c r="B495" i="6"/>
  <c r="I495" i="6" s="1"/>
  <c r="J495" i="6" s="1"/>
  <c r="B466" i="6"/>
  <c r="B484" i="6"/>
  <c r="I484" i="6" s="1"/>
  <c r="J484" i="6" s="1"/>
  <c r="B482" i="6"/>
  <c r="H482" i="6" s="1"/>
  <c r="J482" i="6" s="1"/>
  <c r="B473" i="6"/>
  <c r="I473" i="6" s="1"/>
  <c r="J473" i="6" s="1"/>
  <c r="B493" i="6"/>
  <c r="H493" i="6" s="1"/>
  <c r="J493" i="6" s="1"/>
  <c r="B476" i="6"/>
  <c r="H476" i="6" s="1"/>
  <c r="B416" i="6"/>
  <c r="G416" i="6" s="1"/>
  <c r="J416" i="6" s="1"/>
  <c r="G359" i="1" s="1"/>
  <c r="B405" i="6"/>
  <c r="H405" i="6" s="1"/>
  <c r="J405" i="6" s="1"/>
  <c r="G348" i="1" s="1"/>
  <c r="B404" i="6"/>
  <c r="I404" i="6" s="1"/>
  <c r="J404" i="6" s="1"/>
  <c r="G347" i="1" s="1"/>
  <c r="I347" i="1" s="1"/>
  <c r="B406" i="6"/>
  <c r="H406" i="6" s="1"/>
  <c r="J406" i="6" s="1"/>
  <c r="G349" i="1" s="1"/>
  <c r="I349" i="1" s="1"/>
  <c r="B400" i="6"/>
  <c r="H400" i="6" s="1"/>
  <c r="B413" i="6"/>
  <c r="H413" i="6" s="1"/>
  <c r="B397" i="6"/>
  <c r="I397" i="6" s="1"/>
  <c r="J397" i="6" s="1"/>
  <c r="G340" i="1" s="1"/>
  <c r="B409" i="6"/>
  <c r="I409" i="6" s="1"/>
  <c r="J409" i="6" s="1"/>
  <c r="G352" i="1" s="1"/>
  <c r="B385" i="6"/>
  <c r="G385" i="6" s="1"/>
  <c r="J385" i="6" s="1"/>
  <c r="G328" i="1" s="1"/>
  <c r="B834" i="6"/>
  <c r="G834" i="6" s="1"/>
  <c r="J834" i="6" s="1"/>
  <c r="G1042" i="1" s="1"/>
  <c r="B827" i="6"/>
  <c r="I827" i="6" s="1"/>
  <c r="J827" i="6" s="1"/>
  <c r="G1035" i="1" s="1"/>
  <c r="I1035" i="1" s="1"/>
  <c r="B835" i="6"/>
  <c r="H835" i="6" s="1"/>
  <c r="J835" i="6" s="1"/>
  <c r="G1043" i="1" s="1"/>
  <c r="B815" i="6"/>
  <c r="I815" i="6" s="1"/>
  <c r="J815" i="6" s="1"/>
  <c r="G1023" i="1" s="1"/>
  <c r="B808" i="6"/>
  <c r="J808" i="6" s="1"/>
  <c r="G1016" i="1" s="1"/>
  <c r="B826" i="6"/>
  <c r="I826" i="6" s="1"/>
  <c r="J826" i="6" s="1"/>
  <c r="G1034" i="1" s="1"/>
  <c r="B803" i="6"/>
  <c r="G803" i="6" s="1"/>
  <c r="J803" i="6" s="1"/>
  <c r="G1011" i="1" s="1"/>
  <c r="B819" i="6"/>
  <c r="B818" i="6"/>
  <c r="H818" i="6" s="1"/>
  <c r="B816" i="6"/>
  <c r="G816" i="6" s="1"/>
  <c r="J816" i="6" s="1"/>
  <c r="G1024" i="1" s="1"/>
  <c r="B823" i="6"/>
  <c r="H823" i="6" s="1"/>
  <c r="J823" i="6" s="1"/>
  <c r="G1031" i="1" s="1"/>
  <c r="B822" i="6"/>
  <c r="I822" i="6" s="1"/>
  <c r="J822" i="6" s="1"/>
  <c r="G1030" i="1" s="1"/>
  <c r="I1030" i="1" s="1"/>
  <c r="B832" i="6"/>
  <c r="H832" i="6" s="1"/>
  <c r="J832" i="6" s="1"/>
  <c r="G1040" i="1" s="1"/>
  <c r="I1040" i="1" s="1"/>
  <c r="B824" i="6"/>
  <c r="H824" i="6" s="1"/>
  <c r="J824" i="6" s="1"/>
  <c r="G1032" i="1" s="1"/>
  <c r="B837" i="6"/>
  <c r="I837" i="6" s="1"/>
  <c r="J837" i="6" s="1"/>
  <c r="G1045" i="1" s="1"/>
  <c r="B821" i="6"/>
  <c r="G821" i="6" s="1"/>
  <c r="J821" i="6" s="1"/>
  <c r="G1029" i="1" s="1"/>
  <c r="B831" i="6"/>
  <c r="H831" i="6" s="1"/>
  <c r="J33" i="6"/>
  <c r="G57" i="1" s="1"/>
  <c r="E39" i="8"/>
  <c r="I440" i="1"/>
  <c r="I592" i="1"/>
  <c r="I1112" i="1"/>
  <c r="I777" i="1"/>
  <c r="I142" i="1"/>
  <c r="I998" i="1"/>
  <c r="I1074" i="1"/>
  <c r="I465" i="1"/>
  <c r="I863" i="1"/>
  <c r="I975" i="1"/>
  <c r="I31" i="1"/>
  <c r="I179" i="1"/>
  <c r="I202" i="1"/>
  <c r="I849" i="1"/>
  <c r="I1036" i="1"/>
  <c r="I1359" i="1"/>
  <c r="I1369" i="1"/>
  <c r="I1440" i="1"/>
  <c r="I153" i="9" s="1"/>
  <c r="G675" i="1"/>
  <c r="I263" i="1"/>
  <c r="I217" i="1"/>
  <c r="G669" i="1"/>
  <c r="I1051" i="1"/>
  <c r="I1356" i="1"/>
  <c r="I1433" i="1"/>
  <c r="I152" i="9" s="1"/>
  <c r="I1372" i="1"/>
  <c r="G1287" i="1"/>
  <c r="I1426" i="1"/>
  <c r="I1364" i="1"/>
  <c r="F397" i="5"/>
  <c r="I357" i="1" l="1"/>
  <c r="I1397" i="1"/>
  <c r="I901" i="1"/>
  <c r="I853" i="1"/>
  <c r="I1366" i="1"/>
  <c r="I1365" i="1" s="1"/>
  <c r="I926" i="1"/>
  <c r="AC26" i="12"/>
  <c r="I33" i="1"/>
  <c r="I807" i="1"/>
  <c r="I1448" i="1"/>
  <c r="I1425" i="1" s="1"/>
  <c r="I1004" i="1"/>
  <c r="I1416" i="1"/>
  <c r="I852" i="1"/>
  <c r="I624" i="1"/>
  <c r="I1186" i="1"/>
  <c r="I960" i="1"/>
  <c r="I190" i="1"/>
  <c r="I1124" i="1"/>
  <c r="I399" i="1"/>
  <c r="I1185" i="1"/>
  <c r="I586" i="1"/>
  <c r="I249" i="1"/>
  <c r="I1002" i="1"/>
  <c r="I951" i="1"/>
  <c r="I970" i="1"/>
  <c r="I1064" i="1"/>
  <c r="I631" i="1"/>
  <c r="I858" i="1"/>
  <c r="I42" i="1"/>
  <c r="I137" i="1"/>
  <c r="I487" i="1"/>
  <c r="I417" i="1"/>
  <c r="I362" i="1"/>
  <c r="I473" i="1"/>
  <c r="I1196" i="1"/>
  <c r="I224" i="1"/>
  <c r="I907" i="1"/>
  <c r="I239" i="1"/>
  <c r="I763" i="6"/>
  <c r="H730" i="6"/>
  <c r="J730" i="6" s="1"/>
  <c r="G939" i="1" s="1"/>
  <c r="I939" i="1" s="1"/>
  <c r="I1107" i="1"/>
  <c r="I1069" i="1"/>
  <c r="I1031" i="1"/>
  <c r="I993" i="1"/>
  <c r="I918" i="1"/>
  <c r="I422" i="1"/>
  <c r="I197" i="1"/>
  <c r="I123" i="1"/>
  <c r="I79" i="1"/>
  <c r="I675" i="1"/>
  <c r="I672" i="1" s="1"/>
  <c r="I1121" i="1"/>
  <c r="I118" i="1"/>
  <c r="I1236" i="1"/>
  <c r="I235" i="1"/>
  <c r="I431" i="1"/>
  <c r="I314" i="1"/>
  <c r="I153" i="1"/>
  <c r="I201" i="1"/>
  <c r="I874" i="1"/>
  <c r="I1399" i="1"/>
  <c r="I1235" i="1"/>
  <c r="I540" i="1"/>
  <c r="I579" i="1"/>
  <c r="I1007" i="1"/>
  <c r="I351" i="1"/>
  <c r="I63" i="1"/>
  <c r="I454" i="1"/>
  <c r="I238" i="1"/>
  <c r="I436" i="1"/>
  <c r="I52" i="1"/>
  <c r="I1147" i="1"/>
  <c r="I497" i="1"/>
  <c r="I160" i="1"/>
  <c r="I164" i="1"/>
  <c r="I884" i="1"/>
  <c r="I1360" i="1"/>
  <c r="I1357" i="1" s="1"/>
  <c r="I1411" i="1"/>
  <c r="I1409" i="1"/>
  <c r="I226" i="1"/>
  <c r="I40" i="1"/>
  <c r="I90" i="1"/>
  <c r="I616" i="1"/>
  <c r="I1388" i="1"/>
  <c r="H667" i="6"/>
  <c r="H668" i="6" s="1"/>
  <c r="J668" i="6" s="1"/>
  <c r="G878" i="1" s="1"/>
  <c r="I878" i="1" s="1"/>
  <c r="I782" i="1"/>
  <c r="I1407" i="1"/>
  <c r="I1386" i="1"/>
  <c r="I784" i="1"/>
  <c r="I1350" i="1"/>
  <c r="I1349" i="1" s="1"/>
  <c r="I1219" i="1"/>
  <c r="I1098" i="1"/>
  <c r="I780" i="1"/>
  <c r="I1058" i="1"/>
  <c r="I341" i="1"/>
  <c r="I1376" i="1"/>
  <c r="I1373" i="1" s="1"/>
  <c r="I1021" i="1"/>
  <c r="I53" i="1"/>
  <c r="I1118" i="1"/>
  <c r="I922" i="1"/>
  <c r="I984" i="1"/>
  <c r="I570" i="1"/>
  <c r="I1226" i="1"/>
  <c r="I609" i="1"/>
  <c r="I890" i="1"/>
  <c r="I848" i="1"/>
  <c r="I188" i="1"/>
  <c r="I134" i="1"/>
  <c r="I1408" i="1"/>
  <c r="I1389" i="1"/>
  <c r="I113" i="1"/>
  <c r="I1234" i="1"/>
  <c r="I1401" i="1"/>
  <c r="I1210" i="1"/>
  <c r="I629" i="1"/>
  <c r="I277" i="1"/>
  <c r="I228" i="1"/>
  <c r="I1062" i="1"/>
  <c r="I1398" i="1"/>
  <c r="I1070" i="1"/>
  <c r="I116" i="1"/>
  <c r="I312" i="1"/>
  <c r="I1158" i="1"/>
  <c r="I1175" i="1"/>
  <c r="I946" i="1"/>
  <c r="I1391" i="1"/>
  <c r="I1148" i="1"/>
  <c r="I75" i="1"/>
  <c r="I426" i="1"/>
  <c r="I490" i="1"/>
  <c r="I781" i="1"/>
  <c r="I322" i="1"/>
  <c r="I433" i="1"/>
  <c r="I949" i="1"/>
  <c r="I508" i="1"/>
  <c r="I824" i="1"/>
  <c r="I967" i="1"/>
  <c r="I396" i="1"/>
  <c r="I301" i="1"/>
  <c r="I1155" i="1"/>
  <c r="I1405" i="1"/>
  <c r="H92" i="17"/>
  <c r="G1421" i="1" s="1"/>
  <c r="I1421" i="1" s="1"/>
  <c r="G1417" i="1"/>
  <c r="I1417" i="1" s="1"/>
  <c r="H90" i="17"/>
  <c r="G1419" i="1" s="1"/>
  <c r="I1419" i="1" s="1"/>
  <c r="I339" i="1"/>
  <c r="I1022" i="1"/>
  <c r="I376" i="1"/>
  <c r="I1418" i="1"/>
  <c r="I460" i="1"/>
  <c r="I855" i="1"/>
  <c r="I1193" i="1"/>
  <c r="I929" i="1"/>
  <c r="I284" i="1"/>
  <c r="I470" i="1"/>
  <c r="I1203" i="1"/>
  <c r="I1083" i="1"/>
  <c r="I463" i="1"/>
  <c r="I378" i="1"/>
  <c r="I892" i="1"/>
  <c r="I955" i="1"/>
  <c r="I496" i="1"/>
  <c r="I337" i="1"/>
  <c r="F9" i="11"/>
  <c r="I9" i="11" s="1"/>
  <c r="F135" i="11"/>
  <c r="I135" i="11" s="1"/>
  <c r="F79" i="11"/>
  <c r="I79" i="11" s="1"/>
  <c r="F121" i="11"/>
  <c r="I121" i="11" s="1"/>
  <c r="F107" i="11"/>
  <c r="I107" i="11" s="1"/>
  <c r="F21" i="11"/>
  <c r="I21" i="11" s="1"/>
  <c r="G533" i="1" s="1"/>
  <c r="I533" i="1" s="1"/>
  <c r="E152" i="11"/>
  <c r="I152" i="11" s="1"/>
  <c r="G1224" i="1" s="1"/>
  <c r="I1224" i="1" s="1"/>
  <c r="E138" i="11"/>
  <c r="I138" i="11" s="1"/>
  <c r="G1208" i="1" s="1"/>
  <c r="I1208" i="1" s="1"/>
  <c r="F80" i="11"/>
  <c r="I608" i="1"/>
  <c r="E26" i="11"/>
  <c r="I26" i="11" s="1"/>
  <c r="G538" i="1" s="1"/>
  <c r="I538" i="1" s="1"/>
  <c r="F24" i="11"/>
  <c r="I24" i="11" s="1"/>
  <c r="G536" i="1" s="1"/>
  <c r="I536" i="1" s="1"/>
  <c r="C166" i="11"/>
  <c r="F164" i="11"/>
  <c r="I6" i="11"/>
  <c r="G517" i="1" s="1"/>
  <c r="I517" i="1" s="1"/>
  <c r="I1202" i="1"/>
  <c r="F150" i="11"/>
  <c r="I20" i="11"/>
  <c r="G532" i="1" s="1"/>
  <c r="I532" i="1" s="1"/>
  <c r="F22" i="11"/>
  <c r="I22" i="11" s="1"/>
  <c r="G534" i="1" s="1"/>
  <c r="I534" i="1" s="1"/>
  <c r="C10" i="11"/>
  <c r="F7" i="11"/>
  <c r="I7" i="11" s="1"/>
  <c r="G518" i="1" s="1"/>
  <c r="I518" i="1" s="1"/>
  <c r="I402" i="1"/>
  <c r="I62" i="11"/>
  <c r="F64" i="11"/>
  <c r="I64" i="11" s="1"/>
  <c r="I48" i="11"/>
  <c r="G562" i="1" s="1"/>
  <c r="I562" i="1" s="1"/>
  <c r="G153" i="11"/>
  <c r="I153" i="11" s="1"/>
  <c r="G1225" i="1" s="1"/>
  <c r="I1225" i="1" s="1"/>
  <c r="F151" i="11"/>
  <c r="I151" i="11" s="1"/>
  <c r="G1223" i="1" s="1"/>
  <c r="I1223" i="1" s="1"/>
  <c r="I150" i="11"/>
  <c r="G1222" i="1" s="1"/>
  <c r="I1222" i="1" s="1"/>
  <c r="F35" i="11"/>
  <c r="I35" i="11" s="1"/>
  <c r="G548" i="1" s="1"/>
  <c r="I548" i="1" s="1"/>
  <c r="C38" i="11"/>
  <c r="F137" i="11"/>
  <c r="I137" i="11" s="1"/>
  <c r="G1207" i="1" s="1"/>
  <c r="I1207" i="1" s="1"/>
  <c r="I136" i="11"/>
  <c r="G1206" i="1" s="1"/>
  <c r="I1206" i="1" s="1"/>
  <c r="G139" i="11"/>
  <c r="I139" i="11" s="1"/>
  <c r="G1209" i="1" s="1"/>
  <c r="I1209" i="1" s="1"/>
  <c r="F81" i="11"/>
  <c r="I81" i="11" s="1"/>
  <c r="G583" i="1" s="1"/>
  <c r="I583" i="1" s="1"/>
  <c r="I80" i="11"/>
  <c r="G582" i="1" s="1"/>
  <c r="I582" i="1" s="1"/>
  <c r="G83" i="11"/>
  <c r="I83" i="11" s="1"/>
  <c r="G585" i="1" s="1"/>
  <c r="I585" i="1" s="1"/>
  <c r="E110" i="11"/>
  <c r="I110" i="11" s="1"/>
  <c r="G614" i="1" s="1"/>
  <c r="I614" i="1" s="1"/>
  <c r="I584" i="1"/>
  <c r="I146" i="11"/>
  <c r="G1218" i="1" s="1"/>
  <c r="I1218" i="1" s="1"/>
  <c r="F148" i="11"/>
  <c r="I148" i="11" s="1"/>
  <c r="G1220" i="1" s="1"/>
  <c r="I1220" i="1" s="1"/>
  <c r="F108" i="11"/>
  <c r="I118" i="11"/>
  <c r="G623" i="1" s="1"/>
  <c r="I623" i="1" s="1"/>
  <c r="F120" i="11"/>
  <c r="I120" i="11" s="1"/>
  <c r="G625" i="1" s="1"/>
  <c r="I625" i="1" s="1"/>
  <c r="G125" i="11"/>
  <c r="I125" i="11" s="1"/>
  <c r="G630" i="1" s="1"/>
  <c r="I630" i="1" s="1"/>
  <c r="F123" i="11"/>
  <c r="I123" i="11" s="1"/>
  <c r="G628" i="1" s="1"/>
  <c r="I628" i="1" s="1"/>
  <c r="I122" i="11"/>
  <c r="G627" i="1" s="1"/>
  <c r="I627" i="1" s="1"/>
  <c r="C68" i="11"/>
  <c r="F66" i="11"/>
  <c r="F49" i="11"/>
  <c r="I49" i="11" s="1"/>
  <c r="G563" i="1" s="1"/>
  <c r="I563" i="1" s="1"/>
  <c r="C94" i="11"/>
  <c r="F91" i="11"/>
  <c r="I91" i="11" s="1"/>
  <c r="G594" i="1" s="1"/>
  <c r="I594" i="1" s="1"/>
  <c r="F134" i="11"/>
  <c r="I134" i="11" s="1"/>
  <c r="G1204" i="1" s="1"/>
  <c r="I1204" i="1" s="1"/>
  <c r="F78" i="11"/>
  <c r="I78" i="11" s="1"/>
  <c r="G580" i="1" s="1"/>
  <c r="I580" i="1" s="1"/>
  <c r="I76" i="11"/>
  <c r="G578" i="1" s="1"/>
  <c r="I578" i="1" s="1"/>
  <c r="D54" i="11"/>
  <c r="E54" i="11" s="1"/>
  <c r="I54" i="11" s="1"/>
  <c r="G568" i="1" s="1"/>
  <c r="I568" i="1" s="1"/>
  <c r="F52" i="11"/>
  <c r="F106" i="11"/>
  <c r="I106" i="11" s="1"/>
  <c r="G610" i="1" s="1"/>
  <c r="I610" i="1" s="1"/>
  <c r="I34" i="11"/>
  <c r="G547" i="1" s="1"/>
  <c r="I547" i="1" s="1"/>
  <c r="F36" i="11"/>
  <c r="I36" i="11" s="1"/>
  <c r="G549" i="1" s="1"/>
  <c r="I549" i="1" s="1"/>
  <c r="I90" i="11"/>
  <c r="G593" i="1" s="1"/>
  <c r="I593" i="1" s="1"/>
  <c r="I737" i="1"/>
  <c r="I1320" i="1"/>
  <c r="I746" i="1"/>
  <c r="I1329" i="1"/>
  <c r="I755" i="1"/>
  <c r="I719" i="1"/>
  <c r="I1338" i="1"/>
  <c r="I728" i="1"/>
  <c r="I187" i="1"/>
  <c r="I876" i="1"/>
  <c r="I386" i="1"/>
  <c r="I273" i="1"/>
  <c r="I246" i="1"/>
  <c r="I994" i="1"/>
  <c r="I870" i="1"/>
  <c r="I266" i="1"/>
  <c r="I1135" i="1"/>
  <c r="H643" i="6"/>
  <c r="J643" i="6" s="1"/>
  <c r="G854" i="1" s="1"/>
  <c r="I854" i="1" s="1"/>
  <c r="I208" i="1"/>
  <c r="H681" i="6"/>
  <c r="J681" i="6" s="1"/>
  <c r="G891" i="1" s="1"/>
  <c r="I891" i="1" s="1"/>
  <c r="I467" i="1"/>
  <c r="I1181" i="1"/>
  <c r="I1172" i="1"/>
  <c r="I388" i="1"/>
  <c r="I100" i="1"/>
  <c r="H149" i="6"/>
  <c r="J149" i="6" s="1"/>
  <c r="G170" i="1" s="1"/>
  <c r="I170" i="1" s="1"/>
  <c r="H553" i="6"/>
  <c r="H554" i="6" s="1"/>
  <c r="J554" i="6" s="1"/>
  <c r="G456" i="1" s="1"/>
  <c r="I456" i="1" s="1"/>
  <c r="H363" i="6"/>
  <c r="J363" i="6" s="1"/>
  <c r="G307" i="1" s="1"/>
  <c r="I307" i="1" s="1"/>
  <c r="I957" i="1"/>
  <c r="I439" i="1"/>
  <c r="I375" i="1"/>
  <c r="I498" i="1"/>
  <c r="I1153" i="1"/>
  <c r="I127" i="1"/>
  <c r="I1134" i="1"/>
  <c r="I196" i="1"/>
  <c r="I1173" i="1"/>
  <c r="I126" i="1"/>
  <c r="H135" i="6"/>
  <c r="J135" i="6" s="1"/>
  <c r="G156" i="1" s="1"/>
  <c r="I156" i="1" s="1"/>
  <c r="I174" i="1"/>
  <c r="H605" i="6"/>
  <c r="J605" i="6" s="1"/>
  <c r="G507" i="1" s="1"/>
  <c r="I507" i="1" s="1"/>
  <c r="H35" i="6"/>
  <c r="J35" i="6" s="1"/>
  <c r="G59" i="1" s="1"/>
  <c r="I59" i="1" s="1"/>
  <c r="I302" i="1"/>
  <c r="I97" i="1"/>
  <c r="I872" i="1"/>
  <c r="I1145" i="1"/>
  <c r="I200" i="1"/>
  <c r="I501" i="1"/>
  <c r="I325" i="1"/>
  <c r="H97" i="6"/>
  <c r="J97" i="6" s="1"/>
  <c r="G119" i="1" s="1"/>
  <c r="I119" i="1" s="1"/>
  <c r="I151" i="1"/>
  <c r="I103" i="1"/>
  <c r="H439" i="6"/>
  <c r="H440" i="6" s="1"/>
  <c r="J440" i="6" s="1"/>
  <c r="G382" i="1" s="1"/>
  <c r="I382" i="1" s="1"/>
  <c r="H985" i="6"/>
  <c r="J985" i="6" s="1"/>
  <c r="G1154" i="1" s="1"/>
  <c r="I1154" i="1" s="1"/>
  <c r="I423" i="1"/>
  <c r="H743" i="6"/>
  <c r="J743" i="6" s="1"/>
  <c r="G952" i="1" s="1"/>
  <c r="I952" i="1" s="1"/>
  <c r="I315" i="1"/>
  <c r="I171" i="1"/>
  <c r="J200" i="6"/>
  <c r="H173" i="6"/>
  <c r="J173" i="6" s="1"/>
  <c r="G193" i="1" s="1"/>
  <c r="I193" i="1" s="1"/>
  <c r="H225" i="6"/>
  <c r="J225" i="6" s="1"/>
  <c r="H453" i="6"/>
  <c r="J453" i="6" s="1"/>
  <c r="G395" i="1" s="1"/>
  <c r="I395" i="1" s="1"/>
  <c r="I131" i="1"/>
  <c r="I320" i="1"/>
  <c r="I1144" i="1"/>
  <c r="I114" i="1"/>
  <c r="H971" i="6"/>
  <c r="I122" i="1"/>
  <c r="H326" i="6"/>
  <c r="J326" i="6" s="1"/>
  <c r="G270" i="1" s="1"/>
  <c r="I270" i="1" s="1"/>
  <c r="H111" i="6"/>
  <c r="J111" i="6" s="1"/>
  <c r="G133" i="1" s="1"/>
  <c r="I133" i="1" s="1"/>
  <c r="H629" i="6"/>
  <c r="H630" i="6" s="1"/>
  <c r="J630" i="6" s="1"/>
  <c r="G841" i="1" s="1"/>
  <c r="I841" i="1" s="1"/>
  <c r="H757" i="6"/>
  <c r="J757" i="6" s="1"/>
  <c r="G966" i="1" s="1"/>
  <c r="I966" i="1" s="1"/>
  <c r="I500" i="1"/>
  <c r="I412" i="1"/>
  <c r="I124" i="1"/>
  <c r="H211" i="6"/>
  <c r="J211" i="6" s="1"/>
  <c r="E168" i="5"/>
  <c r="E165" i="5"/>
  <c r="E255" i="5"/>
  <c r="F85" i="5"/>
  <c r="F87" i="5" s="1"/>
  <c r="E81" i="5"/>
  <c r="E82" i="5"/>
  <c r="E79" i="5"/>
  <c r="E124" i="5"/>
  <c r="F352" i="5"/>
  <c r="F354" i="5"/>
  <c r="F213" i="5"/>
  <c r="E208" i="5"/>
  <c r="F127" i="5"/>
  <c r="F171" i="5"/>
  <c r="F173" i="5" s="1"/>
  <c r="F305" i="5"/>
  <c r="E166" i="5"/>
  <c r="E170" i="5" s="1"/>
  <c r="F260" i="5"/>
  <c r="F262" i="5" s="1"/>
  <c r="E256" i="5"/>
  <c r="E254" i="5"/>
  <c r="E259" i="5" s="1"/>
  <c r="E349" i="5"/>
  <c r="E167" i="5"/>
  <c r="E80" i="5"/>
  <c r="F42" i="5"/>
  <c r="E36" i="5"/>
  <c r="E38" i="5"/>
  <c r="E39" i="5"/>
  <c r="F44" i="5"/>
  <c r="E37" i="5"/>
  <c r="I1060" i="1"/>
  <c r="I895" i="1"/>
  <c r="I281" i="1"/>
  <c r="I274" i="1"/>
  <c r="I80" i="9"/>
  <c r="I839" i="1"/>
  <c r="I844" i="1"/>
  <c r="I947" i="1"/>
  <c r="I155" i="1"/>
  <c r="I459" i="1"/>
  <c r="I304" i="1"/>
  <c r="I87" i="1"/>
  <c r="I140" i="1"/>
  <c r="I889" i="1"/>
  <c r="I927" i="1"/>
  <c r="I1049" i="1"/>
  <c r="I311" i="1"/>
  <c r="I861" i="1"/>
  <c r="I1152" i="1"/>
  <c r="I1042" i="1"/>
  <c r="I348" i="1"/>
  <c r="I1106" i="1"/>
  <c r="I913" i="1"/>
  <c r="I394" i="1"/>
  <c r="I215" i="1"/>
  <c r="I1183" i="1"/>
  <c r="I161" i="1"/>
  <c r="I57" i="1"/>
  <c r="I1045" i="1"/>
  <c r="I1011" i="1"/>
  <c r="I352" i="1"/>
  <c r="I997" i="1"/>
  <c r="I413" i="1"/>
  <c r="I264" i="1"/>
  <c r="I458" i="1"/>
  <c r="I511" i="1"/>
  <c r="I385" i="1"/>
  <c r="I205" i="1"/>
  <c r="I1001" i="1"/>
  <c r="I488" i="1"/>
  <c r="I365" i="1"/>
  <c r="I198" i="1"/>
  <c r="I847" i="1"/>
  <c r="I477" i="1"/>
  <c r="I1073" i="1"/>
  <c r="I282" i="1"/>
  <c r="I169" i="1"/>
  <c r="I86" i="1"/>
  <c r="I845" i="1"/>
  <c r="I276" i="1"/>
  <c r="I60" i="1"/>
  <c r="I29" i="1"/>
  <c r="I81" i="1"/>
  <c r="I1108" i="1"/>
  <c r="I837" i="1"/>
  <c r="I163" i="1"/>
  <c r="I936" i="1"/>
  <c r="I380" i="1"/>
  <c r="I449" i="1"/>
  <c r="I234" i="1"/>
  <c r="I421" i="1"/>
  <c r="I192" i="1"/>
  <c r="I1072" i="1"/>
  <c r="I359" i="1"/>
  <c r="I1110" i="1"/>
  <c r="I919" i="1"/>
  <c r="I909" i="1"/>
  <c r="I168" i="1"/>
  <c r="I430" i="1"/>
  <c r="I85" i="1"/>
  <c r="I253" i="1"/>
  <c r="I452" i="1"/>
  <c r="I506" i="1"/>
  <c r="I389" i="1"/>
  <c r="I211" i="1"/>
  <c r="I206" i="1"/>
  <c r="I44" i="1"/>
  <c r="I965" i="1"/>
  <c r="I58" i="1"/>
  <c r="I1034" i="1"/>
  <c r="I835" i="1"/>
  <c r="I468" i="1"/>
  <c r="I1077" i="1"/>
  <c r="I1287" i="1"/>
  <c r="I1284" i="1" s="1"/>
  <c r="I131" i="9" s="1"/>
  <c r="I130" i="9" s="1"/>
  <c r="I986" i="1"/>
  <c r="I425" i="1"/>
  <c r="I1080" i="1"/>
  <c r="I1024" i="1"/>
  <c r="I1100" i="1"/>
  <c r="I132" i="1"/>
  <c r="I328" i="1"/>
  <c r="I66" i="1"/>
  <c r="I964" i="1"/>
  <c r="I268" i="1"/>
  <c r="I973" i="1"/>
  <c r="I159" i="1"/>
  <c r="I882" i="1"/>
  <c r="I319" i="1"/>
  <c r="I50" i="1"/>
  <c r="I415" i="1"/>
  <c r="I1182" i="1"/>
  <c r="I450" i="1"/>
  <c r="I1295" i="1"/>
  <c r="I134" i="9" s="1"/>
  <c r="I1032" i="1"/>
  <c r="I77" i="1"/>
  <c r="I898" i="1"/>
  <c r="I89" i="1"/>
  <c r="I1162" i="1"/>
  <c r="I669" i="1"/>
  <c r="I666" i="1" s="1"/>
  <c r="I59" i="9" s="1"/>
  <c r="I58" i="9" s="1"/>
  <c r="I462" i="1"/>
  <c r="I911" i="1"/>
  <c r="I306" i="1"/>
  <c r="I177" i="1"/>
  <c r="I48" i="1"/>
  <c r="I243" i="1"/>
  <c r="I236" i="1"/>
  <c r="I291" i="1"/>
  <c r="I1311" i="1"/>
  <c r="I639" i="1"/>
  <c r="I52" i="9" s="1"/>
  <c r="I1087" i="1"/>
  <c r="I710" i="1"/>
  <c r="I687" i="1"/>
  <c r="I64" i="9" s="1"/>
  <c r="I393" i="1"/>
  <c r="I1272" i="1"/>
  <c r="I1271" i="1" s="1"/>
  <c r="J895" i="6"/>
  <c r="G1065" i="1" s="1"/>
  <c r="I1065" i="1" s="1"/>
  <c r="H896" i="6"/>
  <c r="J896" i="6" s="1"/>
  <c r="G1066" i="1" s="1"/>
  <c r="I1066" i="1" s="1"/>
  <c r="H339" i="6"/>
  <c r="J339" i="6" s="1"/>
  <c r="G283" i="1" s="1"/>
  <c r="I283" i="1" s="1"/>
  <c r="H301" i="6"/>
  <c r="J301" i="6" s="1"/>
  <c r="H377" i="6"/>
  <c r="J377" i="6" s="1"/>
  <c r="G321" i="1" s="1"/>
  <c r="I321" i="1" s="1"/>
  <c r="H287" i="6"/>
  <c r="J287" i="6" s="1"/>
  <c r="H59" i="6"/>
  <c r="J59" i="6" s="1"/>
  <c r="G82" i="1" s="1"/>
  <c r="I82" i="1" s="1"/>
  <c r="H529" i="6"/>
  <c r="J529" i="6" s="1"/>
  <c r="G432" i="1" s="1"/>
  <c r="I432" i="1" s="1"/>
  <c r="H187" i="6"/>
  <c r="J187" i="6" s="1"/>
  <c r="G207" i="1" s="1"/>
  <c r="I207" i="1" s="1"/>
  <c r="H21" i="6"/>
  <c r="J21" i="6" s="1"/>
  <c r="G45" i="1" s="1"/>
  <c r="I45" i="1" s="1"/>
  <c r="H909" i="6"/>
  <c r="J909" i="6" s="1"/>
  <c r="G1079" i="1" s="1"/>
  <c r="I1079" i="1" s="1"/>
  <c r="H591" i="6"/>
  <c r="J590" i="6"/>
  <c r="G492" i="1" s="1"/>
  <c r="I492" i="1" s="1"/>
  <c r="H567" i="6"/>
  <c r="J567" i="6" s="1"/>
  <c r="G469" i="1" s="1"/>
  <c r="I469" i="1" s="1"/>
  <c r="H705" i="6"/>
  <c r="J705" i="6" s="1"/>
  <c r="G914" i="1" s="1"/>
  <c r="I914" i="1" s="1"/>
  <c r="H364" i="6"/>
  <c r="J364" i="6" s="1"/>
  <c r="G308" i="1" s="1"/>
  <c r="I308" i="1" s="1"/>
  <c r="H1023" i="6"/>
  <c r="J1023" i="6" s="1"/>
  <c r="G1192" i="1" s="1"/>
  <c r="I1192" i="1" s="1"/>
  <c r="J1021" i="6"/>
  <c r="G1190" i="1" s="1"/>
  <c r="I1190" i="1" s="1"/>
  <c r="H263" i="6"/>
  <c r="J263" i="6" s="1"/>
  <c r="G245" i="1" s="1"/>
  <c r="I245" i="1" s="1"/>
  <c r="H719" i="6"/>
  <c r="J719" i="6" s="1"/>
  <c r="G928" i="1" s="1"/>
  <c r="I928" i="1" s="1"/>
  <c r="H515" i="6"/>
  <c r="J515" i="6" s="1"/>
  <c r="G418" i="1" s="1"/>
  <c r="I418" i="1" s="1"/>
  <c r="H249" i="6"/>
  <c r="J249" i="6" s="1"/>
  <c r="G231" i="1" s="1"/>
  <c r="I231" i="1" s="1"/>
  <c r="J1008" i="6"/>
  <c r="G1177" i="1" s="1"/>
  <c r="I1177" i="1" s="1"/>
  <c r="H1009" i="6"/>
  <c r="H795" i="6"/>
  <c r="J795" i="6" s="1"/>
  <c r="G1003" i="1" s="1"/>
  <c r="I1003" i="1" s="1"/>
  <c r="H781" i="6"/>
  <c r="J781" i="6" s="1"/>
  <c r="G989" i="1" s="1"/>
  <c r="I989" i="1" s="1"/>
  <c r="J780" i="6"/>
  <c r="G988" i="1" s="1"/>
  <c r="I988" i="1" s="1"/>
  <c r="J856" i="6"/>
  <c r="H857" i="6"/>
  <c r="J857" i="6" s="1"/>
  <c r="H73" i="6"/>
  <c r="J73" i="6" s="1"/>
  <c r="G96" i="1" s="1"/>
  <c r="I96" i="1" s="1"/>
  <c r="J71" i="6"/>
  <c r="G94" i="1" s="1"/>
  <c r="I94" i="1" s="1"/>
  <c r="H1061" i="6"/>
  <c r="J1061" i="6" s="1"/>
  <c r="J1059" i="6"/>
  <c r="H871" i="6"/>
  <c r="J871" i="6" s="1"/>
  <c r="J869" i="6"/>
  <c r="H947" i="6"/>
  <c r="J947" i="6" s="1"/>
  <c r="G1117" i="1" s="1"/>
  <c r="I1117" i="1" s="1"/>
  <c r="J945" i="6"/>
  <c r="G1115" i="1" s="1"/>
  <c r="I1115" i="1" s="1"/>
  <c r="J932" i="6"/>
  <c r="G1102" i="1" s="1"/>
  <c r="I1102" i="1" s="1"/>
  <c r="H933" i="6"/>
  <c r="H491" i="6"/>
  <c r="J491" i="6" s="1"/>
  <c r="J1046" i="6"/>
  <c r="H1047" i="6"/>
  <c r="J400" i="6"/>
  <c r="G343" i="1" s="1"/>
  <c r="I343" i="1" s="1"/>
  <c r="H401" i="6"/>
  <c r="J401" i="6" s="1"/>
  <c r="G344" i="1" s="1"/>
  <c r="I344" i="1" s="1"/>
  <c r="H477" i="6"/>
  <c r="J477" i="6" s="1"/>
  <c r="J476" i="6"/>
  <c r="H833" i="6"/>
  <c r="J833" i="6" s="1"/>
  <c r="G1041" i="1" s="1"/>
  <c r="I1041" i="1" s="1"/>
  <c r="J831" i="6"/>
  <c r="G1039" i="1" s="1"/>
  <c r="I1039" i="1" s="1"/>
  <c r="J818" i="6"/>
  <c r="G1026" i="1" s="1"/>
  <c r="I1026" i="1" s="1"/>
  <c r="H819" i="6"/>
  <c r="J819" i="6" s="1"/>
  <c r="G1027" i="1" s="1"/>
  <c r="I1027" i="1" s="1"/>
  <c r="H415" i="6"/>
  <c r="J415" i="6" s="1"/>
  <c r="G358" i="1" s="1"/>
  <c r="I358" i="1" s="1"/>
  <c r="J413" i="6"/>
  <c r="G356" i="1" s="1"/>
  <c r="I356" i="1" s="1"/>
  <c r="H516" i="6"/>
  <c r="J516" i="6" s="1"/>
  <c r="G419" i="1" s="1"/>
  <c r="I419" i="1" s="1"/>
  <c r="H204" i="6"/>
  <c r="J202" i="6"/>
  <c r="I1261" i="1"/>
  <c r="I124" i="9" s="1"/>
  <c r="I1250" i="1"/>
  <c r="I121" i="9" s="1"/>
  <c r="I1255" i="1"/>
  <c r="I122" i="9" s="1"/>
  <c r="I649" i="1"/>
  <c r="I54" i="9" s="1"/>
  <c r="I1278" i="1"/>
  <c r="I129" i="9" s="1"/>
  <c r="I128" i="9" s="1"/>
  <c r="I654" i="1"/>
  <c r="I55" i="9" s="1"/>
  <c r="I1290" i="1"/>
  <c r="I682" i="1"/>
  <c r="I63" i="9" s="1"/>
  <c r="I644" i="1"/>
  <c r="I53" i="9" s="1"/>
  <c r="I677" i="1"/>
  <c r="I62" i="9" s="1"/>
  <c r="I693" i="1"/>
  <c r="I692" i="1" s="1"/>
  <c r="I700" i="1"/>
  <c r="I699" i="1" s="1"/>
  <c r="I1266" i="1"/>
  <c r="I125" i="9" s="1"/>
  <c r="I1302" i="1"/>
  <c r="I137" i="9" s="1"/>
  <c r="I136" i="9" s="1"/>
  <c r="I660" i="1"/>
  <c r="I151" i="9"/>
  <c r="I81" i="9"/>
  <c r="F398" i="5"/>
  <c r="F400" i="5"/>
  <c r="I1424" i="1" l="1"/>
  <c r="I709" i="1"/>
  <c r="I671" i="1"/>
  <c r="I57" i="9"/>
  <c r="I56" i="9" s="1"/>
  <c r="I659" i="1"/>
  <c r="I788" i="1"/>
  <c r="I787" i="1" s="1"/>
  <c r="H768" i="6"/>
  <c r="J768" i="6" s="1"/>
  <c r="G976" i="1" s="1"/>
  <c r="I976" i="1" s="1"/>
  <c r="I801" i="6"/>
  <c r="I1383" i="1"/>
  <c r="I1393" i="1"/>
  <c r="I145" i="9" s="1"/>
  <c r="I1403" i="1"/>
  <c r="I146" i="9" s="1"/>
  <c r="J667" i="6"/>
  <c r="G877" i="1" s="1"/>
  <c r="I877" i="1" s="1"/>
  <c r="I776" i="1"/>
  <c r="I76" i="9" s="1"/>
  <c r="I75" i="9" s="1"/>
  <c r="I1413" i="1"/>
  <c r="I147" i="9" s="1"/>
  <c r="I155" i="9"/>
  <c r="I150" i="9" s="1"/>
  <c r="I149" i="9" s="1"/>
  <c r="I71" i="9"/>
  <c r="I1310" i="1"/>
  <c r="I139" i="9" s="1"/>
  <c r="F25" i="11"/>
  <c r="I25" i="11" s="1"/>
  <c r="G537" i="1" s="1"/>
  <c r="I537" i="1" s="1"/>
  <c r="C168" i="11"/>
  <c r="H168" i="11" s="1"/>
  <c r="I168" i="11" s="1"/>
  <c r="G1242" i="1" s="1"/>
  <c r="I1242" i="1" s="1"/>
  <c r="E166" i="11"/>
  <c r="I166" i="11" s="1"/>
  <c r="G1240" i="1" s="1"/>
  <c r="I1240" i="1" s="1"/>
  <c r="G27" i="11"/>
  <c r="I27" i="11" s="1"/>
  <c r="G539" i="1" s="1"/>
  <c r="I539" i="1" s="1"/>
  <c r="G167" i="11"/>
  <c r="I167" i="11" s="1"/>
  <c r="G1241" i="1" s="1"/>
  <c r="I1241" i="1" s="1"/>
  <c r="I164" i="11"/>
  <c r="G1238" i="1" s="1"/>
  <c r="I1238" i="1" s="1"/>
  <c r="F165" i="11"/>
  <c r="I165" i="11" s="1"/>
  <c r="G1239" i="1" s="1"/>
  <c r="I1239" i="1" s="1"/>
  <c r="F92" i="11"/>
  <c r="I92" i="11" s="1"/>
  <c r="G595" i="1" s="1"/>
  <c r="I595" i="1" s="1"/>
  <c r="C12" i="11"/>
  <c r="F10" i="11"/>
  <c r="F8" i="11"/>
  <c r="I8" i="11" s="1"/>
  <c r="G519" i="1" s="1"/>
  <c r="I519" i="1" s="1"/>
  <c r="C70" i="11"/>
  <c r="H70" i="11" s="1"/>
  <c r="I70" i="11" s="1"/>
  <c r="E68" i="11"/>
  <c r="I68" i="11" s="1"/>
  <c r="F109" i="11"/>
  <c r="I109" i="11" s="1"/>
  <c r="G613" i="1" s="1"/>
  <c r="I613" i="1" s="1"/>
  <c r="I108" i="11"/>
  <c r="G612" i="1" s="1"/>
  <c r="I612" i="1" s="1"/>
  <c r="G111" i="11"/>
  <c r="I111" i="11" s="1"/>
  <c r="G615" i="1" s="1"/>
  <c r="I615" i="1" s="1"/>
  <c r="C40" i="11"/>
  <c r="F38" i="11"/>
  <c r="C96" i="11"/>
  <c r="F94" i="11"/>
  <c r="F50" i="11"/>
  <c r="I50" i="11" s="1"/>
  <c r="G564" i="1" s="1"/>
  <c r="I564" i="1" s="1"/>
  <c r="I52" i="11"/>
  <c r="G566" i="1" s="1"/>
  <c r="I566" i="1" s="1"/>
  <c r="F53" i="11"/>
  <c r="I53" i="11" s="1"/>
  <c r="G567" i="1" s="1"/>
  <c r="I567" i="1" s="1"/>
  <c r="G55" i="11"/>
  <c r="I55" i="11" s="1"/>
  <c r="G569" i="1" s="1"/>
  <c r="I569" i="1" s="1"/>
  <c r="F67" i="11"/>
  <c r="I67" i="11" s="1"/>
  <c r="I66" i="11"/>
  <c r="G69" i="11"/>
  <c r="I69" i="11" s="1"/>
  <c r="H136" i="6"/>
  <c r="J136" i="6" s="1"/>
  <c r="G157" i="1" s="1"/>
  <c r="I157" i="1" s="1"/>
  <c r="J439" i="6"/>
  <c r="G381" i="1" s="1"/>
  <c r="I381" i="1" s="1"/>
  <c r="J629" i="6"/>
  <c r="G840" i="1" s="1"/>
  <c r="I840" i="1" s="1"/>
  <c r="H744" i="6"/>
  <c r="J744" i="6" s="1"/>
  <c r="G953" i="1" s="1"/>
  <c r="I953" i="1" s="1"/>
  <c r="H212" i="6"/>
  <c r="J212" i="6" s="1"/>
  <c r="H98" i="6"/>
  <c r="J98" i="6" s="1"/>
  <c r="G120" i="1" s="1"/>
  <c r="I120" i="1" s="1"/>
  <c r="J553" i="6"/>
  <c r="G455" i="1" s="1"/>
  <c r="I455" i="1" s="1"/>
  <c r="H288" i="6"/>
  <c r="J288" i="6" s="1"/>
  <c r="H972" i="6"/>
  <c r="J972" i="6" s="1"/>
  <c r="G1141" i="1" s="1"/>
  <c r="I1141" i="1" s="1"/>
  <c r="J971" i="6"/>
  <c r="G1140" i="1" s="1"/>
  <c r="I1140" i="1" s="1"/>
  <c r="H60" i="6"/>
  <c r="J60" i="6" s="1"/>
  <c r="G83" i="1" s="1"/>
  <c r="I83" i="1" s="1"/>
  <c r="H174" i="6"/>
  <c r="J174" i="6" s="1"/>
  <c r="G194" i="1" s="1"/>
  <c r="I194" i="1" s="1"/>
  <c r="E487" i="5"/>
  <c r="E486" i="5"/>
  <c r="E484" i="5"/>
  <c r="E485" i="5"/>
  <c r="H1180" i="1"/>
  <c r="I1180" i="1" s="1"/>
  <c r="H1105" i="1"/>
  <c r="I1105" i="1" s="1"/>
  <c r="H1029" i="1"/>
  <c r="I1029" i="1" s="1"/>
  <c r="H954" i="1"/>
  <c r="I954" i="1" s="1"/>
  <c r="H879" i="1"/>
  <c r="I879" i="1" s="1"/>
  <c r="H495" i="1"/>
  <c r="I495" i="1" s="1"/>
  <c r="H420" i="1"/>
  <c r="I420" i="1" s="1"/>
  <c r="H383" i="1"/>
  <c r="I383" i="1" s="1"/>
  <c r="H309" i="1"/>
  <c r="I309" i="1" s="1"/>
  <c r="H195" i="1"/>
  <c r="I195" i="1" s="1"/>
  <c r="H121" i="1"/>
  <c r="I121" i="1" s="1"/>
  <c r="H1142" i="1"/>
  <c r="I1142" i="1" s="1"/>
  <c r="H991" i="1"/>
  <c r="I991" i="1" s="1"/>
  <c r="H842" i="1"/>
  <c r="I842" i="1" s="1"/>
  <c r="H271" i="1"/>
  <c r="I271" i="1" s="1"/>
  <c r="H158" i="1"/>
  <c r="I158" i="1" s="1"/>
  <c r="H47" i="1"/>
  <c r="I47" i="1" s="1"/>
  <c r="H1067" i="1"/>
  <c r="I1067" i="1" s="1"/>
  <c r="H916" i="1"/>
  <c r="I916" i="1" s="1"/>
  <c r="H457" i="1"/>
  <c r="I457" i="1" s="1"/>
  <c r="H346" i="1"/>
  <c r="I346" i="1" s="1"/>
  <c r="H233" i="1"/>
  <c r="I233" i="1" s="1"/>
  <c r="H84" i="1"/>
  <c r="I84" i="1" s="1"/>
  <c r="H1167" i="1"/>
  <c r="I1167" i="1" s="1"/>
  <c r="H1092" i="1"/>
  <c r="I1092" i="1" s="1"/>
  <c r="H1016" i="1"/>
  <c r="I1016" i="1" s="1"/>
  <c r="H941" i="1"/>
  <c r="I941" i="1" s="1"/>
  <c r="H866" i="1"/>
  <c r="I866" i="1" s="1"/>
  <c r="H482" i="1"/>
  <c r="I482" i="1" s="1"/>
  <c r="H407" i="1"/>
  <c r="I407" i="1" s="1"/>
  <c r="H370" i="1"/>
  <c r="I370" i="1" s="1"/>
  <c r="H296" i="1"/>
  <c r="I296" i="1" s="1"/>
  <c r="H182" i="1"/>
  <c r="I182" i="1" s="1"/>
  <c r="H108" i="1"/>
  <c r="I108" i="1" s="1"/>
  <c r="H1054" i="1"/>
  <c r="I1054" i="1" s="1"/>
  <c r="H903" i="1"/>
  <c r="I903" i="1" s="1"/>
  <c r="H444" i="1"/>
  <c r="I444" i="1" s="1"/>
  <c r="H333" i="1"/>
  <c r="I333" i="1" s="1"/>
  <c r="H220" i="1"/>
  <c r="I220" i="1" s="1"/>
  <c r="H71" i="1"/>
  <c r="I71" i="1" s="1"/>
  <c r="H34" i="1"/>
  <c r="I34" i="1" s="1"/>
  <c r="H1129" i="1"/>
  <c r="I1129" i="1" s="1"/>
  <c r="H978" i="1"/>
  <c r="I978" i="1" s="1"/>
  <c r="H829" i="1"/>
  <c r="I829" i="1" s="1"/>
  <c r="H258" i="1"/>
  <c r="I258" i="1" s="1"/>
  <c r="H145" i="1"/>
  <c r="I145" i="1" s="1"/>
  <c r="F214" i="5"/>
  <c r="F216" i="5" s="1"/>
  <c r="E211" i="5"/>
  <c r="E210" i="5"/>
  <c r="E209" i="5"/>
  <c r="E441" i="5"/>
  <c r="E440" i="5"/>
  <c r="E438" i="5"/>
  <c r="E439" i="5"/>
  <c r="F306" i="5"/>
  <c r="F308" i="5" s="1"/>
  <c r="E393" i="5"/>
  <c r="E300" i="5"/>
  <c r="E394" i="5"/>
  <c r="E301" i="5"/>
  <c r="E302" i="5"/>
  <c r="E348" i="5"/>
  <c r="E347" i="5"/>
  <c r="E346" i="5"/>
  <c r="E392" i="5"/>
  <c r="F128" i="5"/>
  <c r="F130" i="5" s="1"/>
  <c r="E125" i="5"/>
  <c r="E123" i="5"/>
  <c r="H1213" i="1"/>
  <c r="I1213" i="1" s="1"/>
  <c r="H619" i="1"/>
  <c r="I619" i="1" s="1"/>
  <c r="H589" i="1"/>
  <c r="I589" i="1" s="1"/>
  <c r="H573" i="1"/>
  <c r="I573" i="1" s="1"/>
  <c r="H543" i="1"/>
  <c r="I543" i="1" s="1"/>
  <c r="H1245" i="1"/>
  <c r="I1245" i="1" s="1"/>
  <c r="H604" i="1"/>
  <c r="I604" i="1" s="1"/>
  <c r="H558" i="1"/>
  <c r="I558" i="1" s="1"/>
  <c r="H634" i="1"/>
  <c r="I634" i="1" s="1"/>
  <c r="H528" i="1"/>
  <c r="I528" i="1" s="1"/>
  <c r="H1229" i="1"/>
  <c r="I1229" i="1" s="1"/>
  <c r="E84" i="5"/>
  <c r="H1243" i="1"/>
  <c r="I1243" i="1" s="1"/>
  <c r="H632" i="1"/>
  <c r="I632" i="1" s="1"/>
  <c r="H602" i="1"/>
  <c r="I602" i="1" s="1"/>
  <c r="H556" i="1"/>
  <c r="I556" i="1" s="1"/>
  <c r="H1227" i="1"/>
  <c r="I1227" i="1" s="1"/>
  <c r="H587" i="1"/>
  <c r="I587" i="1" s="1"/>
  <c r="H541" i="1"/>
  <c r="I541" i="1" s="1"/>
  <c r="H1211" i="1"/>
  <c r="I1211" i="1" s="1"/>
  <c r="H526" i="1"/>
  <c r="I526" i="1" s="1"/>
  <c r="H617" i="1"/>
  <c r="I617" i="1" s="1"/>
  <c r="H571" i="1"/>
  <c r="I571" i="1" s="1"/>
  <c r="E303" i="5"/>
  <c r="E122" i="5"/>
  <c r="E395" i="5"/>
  <c r="E41" i="5"/>
  <c r="H1131" i="1"/>
  <c r="I1131" i="1" s="1"/>
  <c r="H980" i="1"/>
  <c r="I980" i="1" s="1"/>
  <c r="H1169" i="1"/>
  <c r="I1169" i="1" s="1"/>
  <c r="H1056" i="1"/>
  <c r="I1056" i="1" s="1"/>
  <c r="H905" i="1"/>
  <c r="I905" i="1" s="1"/>
  <c r="H446" i="1"/>
  <c r="I446" i="1" s="1"/>
  <c r="H335" i="1"/>
  <c r="I335" i="1" s="1"/>
  <c r="H222" i="1"/>
  <c r="I222" i="1" s="1"/>
  <c r="H73" i="1"/>
  <c r="I73" i="1" s="1"/>
  <c r="H831" i="1"/>
  <c r="I831" i="1" s="1"/>
  <c r="H260" i="1"/>
  <c r="I260" i="1" s="1"/>
  <c r="H147" i="1"/>
  <c r="I147" i="1" s="1"/>
  <c r="H1018" i="1"/>
  <c r="I1018" i="1" s="1"/>
  <c r="H868" i="1"/>
  <c r="I868" i="1" s="1"/>
  <c r="H409" i="1"/>
  <c r="I409" i="1" s="1"/>
  <c r="H298" i="1"/>
  <c r="I298" i="1" s="1"/>
  <c r="H184" i="1"/>
  <c r="I184" i="1" s="1"/>
  <c r="H1094" i="1"/>
  <c r="I1094" i="1" s="1"/>
  <c r="H943" i="1"/>
  <c r="I943" i="1" s="1"/>
  <c r="H484" i="1"/>
  <c r="I484" i="1" s="1"/>
  <c r="H372" i="1"/>
  <c r="I372" i="1" s="1"/>
  <c r="H110" i="1"/>
  <c r="I110" i="1" s="1"/>
  <c r="H36" i="1"/>
  <c r="I36" i="1" s="1"/>
  <c r="I84" i="9"/>
  <c r="I79" i="9" s="1"/>
  <c r="I78" i="9" s="1"/>
  <c r="I1277" i="1"/>
  <c r="I1348" i="1"/>
  <c r="I141" i="9" s="1"/>
  <c r="I127" i="9"/>
  <c r="I126" i="9" s="1"/>
  <c r="I1289" i="1"/>
  <c r="I1301" i="1"/>
  <c r="I665" i="1"/>
  <c r="I120" i="9"/>
  <c r="I638" i="1"/>
  <c r="I1249" i="1"/>
  <c r="H250" i="6"/>
  <c r="J250" i="6" s="1"/>
  <c r="G232" i="1" s="1"/>
  <c r="I232" i="1" s="1"/>
  <c r="H706" i="6"/>
  <c r="J706" i="6" s="1"/>
  <c r="G915" i="1" s="1"/>
  <c r="I915" i="1" s="1"/>
  <c r="J591" i="6"/>
  <c r="G493" i="1" s="1"/>
  <c r="I493" i="1" s="1"/>
  <c r="H592" i="6"/>
  <c r="J592" i="6" s="1"/>
  <c r="G494" i="1" s="1"/>
  <c r="I494" i="1" s="1"/>
  <c r="H22" i="6"/>
  <c r="J22" i="6" s="1"/>
  <c r="G46" i="1" s="1"/>
  <c r="I46" i="1" s="1"/>
  <c r="H858" i="6"/>
  <c r="J858" i="6" s="1"/>
  <c r="J1009" i="6"/>
  <c r="G1178" i="1" s="1"/>
  <c r="I1178" i="1" s="1"/>
  <c r="H1010" i="6"/>
  <c r="J1010" i="6" s="1"/>
  <c r="G1179" i="1" s="1"/>
  <c r="I1179" i="1" s="1"/>
  <c r="H782" i="6"/>
  <c r="J782" i="6" s="1"/>
  <c r="G990" i="1" s="1"/>
  <c r="I990" i="1" s="1"/>
  <c r="J1047" i="6"/>
  <c r="H1048" i="6"/>
  <c r="J1048" i="6" s="1"/>
  <c r="H934" i="6"/>
  <c r="J934" i="6" s="1"/>
  <c r="G1104" i="1" s="1"/>
  <c r="I1104" i="1" s="1"/>
  <c r="J933" i="6"/>
  <c r="G1103" i="1" s="1"/>
  <c r="I1103" i="1" s="1"/>
  <c r="H478" i="6"/>
  <c r="J478" i="6" s="1"/>
  <c r="H820" i="6"/>
  <c r="J820" i="6" s="1"/>
  <c r="G1028" i="1" s="1"/>
  <c r="I1028" i="1" s="1"/>
  <c r="H402" i="6"/>
  <c r="J402" i="6" s="1"/>
  <c r="G345" i="1" s="1"/>
  <c r="I345" i="1" s="1"/>
  <c r="H205" i="6"/>
  <c r="J205" i="6" s="1"/>
  <c r="J204" i="6"/>
  <c r="I51" i="9"/>
  <c r="I133" i="9"/>
  <c r="I132" i="9" s="1"/>
  <c r="I66" i="9"/>
  <c r="I65" i="9" s="1"/>
  <c r="I69" i="9"/>
  <c r="I68" i="9" s="1"/>
  <c r="I1260" i="1"/>
  <c r="I123" i="9"/>
  <c r="I61" i="9"/>
  <c r="I60" i="9" s="1"/>
  <c r="I1283" i="1"/>
  <c r="I144" i="9"/>
  <c r="H635" i="1"/>
  <c r="I635" i="1" s="1"/>
  <c r="H529" i="1"/>
  <c r="I529" i="1" s="1"/>
  <c r="H1214" i="1"/>
  <c r="I1214" i="1" s="1"/>
  <c r="H544" i="1"/>
  <c r="I544" i="1" s="1"/>
  <c r="H559" i="1"/>
  <c r="I559" i="1" s="1"/>
  <c r="H620" i="1"/>
  <c r="I620" i="1" s="1"/>
  <c r="H1246" i="1"/>
  <c r="I1246" i="1" s="1"/>
  <c r="H590" i="1"/>
  <c r="I590" i="1" s="1"/>
  <c r="H605" i="1"/>
  <c r="I605" i="1" s="1"/>
  <c r="H1230" i="1"/>
  <c r="I1230" i="1" s="1"/>
  <c r="H574" i="1"/>
  <c r="I574" i="1" s="1"/>
  <c r="H806" i="6" l="1"/>
  <c r="J806" i="6" s="1"/>
  <c r="G1014" i="1" s="1"/>
  <c r="I1014" i="1" s="1"/>
  <c r="I839" i="6"/>
  <c r="I877" i="6" s="1"/>
  <c r="I775" i="1"/>
  <c r="I1382" i="1"/>
  <c r="I143" i="9"/>
  <c r="G13" i="11"/>
  <c r="I13" i="11" s="1"/>
  <c r="G524" i="1" s="1"/>
  <c r="I524" i="1" s="1"/>
  <c r="F11" i="11"/>
  <c r="I11" i="11" s="1"/>
  <c r="G522" i="1" s="1"/>
  <c r="I522" i="1" s="1"/>
  <c r="I10" i="11"/>
  <c r="G521" i="1" s="1"/>
  <c r="I521" i="1" s="1"/>
  <c r="C14" i="11"/>
  <c r="H14" i="11" s="1"/>
  <c r="I14" i="11" s="1"/>
  <c r="G525" i="1" s="1"/>
  <c r="I525" i="1" s="1"/>
  <c r="E12" i="11"/>
  <c r="I12" i="11" s="1"/>
  <c r="G523" i="1" s="1"/>
  <c r="I523" i="1" s="1"/>
  <c r="C98" i="11"/>
  <c r="H98" i="11" s="1"/>
  <c r="I98" i="11" s="1"/>
  <c r="G601" i="1" s="1"/>
  <c r="I601" i="1" s="1"/>
  <c r="E96" i="11"/>
  <c r="I96" i="11" s="1"/>
  <c r="G599" i="1" s="1"/>
  <c r="I599" i="1" s="1"/>
  <c r="I38" i="11"/>
  <c r="G551" i="1" s="1"/>
  <c r="I551" i="1" s="1"/>
  <c r="F39" i="11"/>
  <c r="I39" i="11" s="1"/>
  <c r="G552" i="1" s="1"/>
  <c r="I552" i="1" s="1"/>
  <c r="G41" i="11"/>
  <c r="I41" i="11" s="1"/>
  <c r="G554" i="1" s="1"/>
  <c r="I554" i="1" s="1"/>
  <c r="C42" i="11"/>
  <c r="H42" i="11" s="1"/>
  <c r="I42" i="11" s="1"/>
  <c r="G555" i="1" s="1"/>
  <c r="I555" i="1" s="1"/>
  <c r="E40" i="11"/>
  <c r="I40" i="11" s="1"/>
  <c r="G553" i="1" s="1"/>
  <c r="I553" i="1" s="1"/>
  <c r="G97" i="11"/>
  <c r="I97" i="11" s="1"/>
  <c r="G600" i="1" s="1"/>
  <c r="I600" i="1" s="1"/>
  <c r="I94" i="11"/>
  <c r="G597" i="1" s="1"/>
  <c r="I597" i="1" s="1"/>
  <c r="F95" i="11"/>
  <c r="I95" i="11" s="1"/>
  <c r="G598" i="1" s="1"/>
  <c r="I598" i="1" s="1"/>
  <c r="E489" i="5"/>
  <c r="E397" i="5"/>
  <c r="E127" i="5"/>
  <c r="E213" i="5"/>
  <c r="E305" i="5"/>
  <c r="H1156" i="1"/>
  <c r="I1156" i="1" s="1"/>
  <c r="H1081" i="1"/>
  <c r="I1081" i="1" s="1"/>
  <c r="H1005" i="1"/>
  <c r="I1005" i="1" s="1"/>
  <c r="H930" i="1"/>
  <c r="I930" i="1" s="1"/>
  <c r="H856" i="1"/>
  <c r="I856" i="1" s="1"/>
  <c r="H471" i="1"/>
  <c r="I471" i="1" s="1"/>
  <c r="H360" i="1"/>
  <c r="I360" i="1" s="1"/>
  <c r="H285" i="1"/>
  <c r="I285" i="1" s="1"/>
  <c r="H247" i="1"/>
  <c r="I247" i="1" s="1"/>
  <c r="H172" i="1"/>
  <c r="I172" i="1" s="1"/>
  <c r="H98" i="1"/>
  <c r="I98" i="1" s="1"/>
  <c r="H61" i="1"/>
  <c r="I61" i="1" s="1"/>
  <c r="H1194" i="1"/>
  <c r="I1194" i="1" s="1"/>
  <c r="H1119" i="1"/>
  <c r="I1119" i="1" s="1"/>
  <c r="H1043" i="1"/>
  <c r="I1043" i="1" s="1"/>
  <c r="H968" i="1"/>
  <c r="I968" i="1" s="1"/>
  <c r="H893" i="1"/>
  <c r="I893" i="1" s="1"/>
  <c r="H434" i="1"/>
  <c r="I434" i="1" s="1"/>
  <c r="H397" i="1"/>
  <c r="I397" i="1" s="1"/>
  <c r="H323" i="1"/>
  <c r="I323" i="1" s="1"/>
  <c r="H209" i="1"/>
  <c r="I209" i="1" s="1"/>
  <c r="H135" i="1"/>
  <c r="I135" i="1" s="1"/>
  <c r="H509" i="1"/>
  <c r="I509" i="1" s="1"/>
  <c r="H1228" i="1"/>
  <c r="I1228" i="1" s="1"/>
  <c r="I1216" i="1" s="1"/>
  <c r="I1215" i="1" s="1"/>
  <c r="H1212" i="1"/>
  <c r="I1212" i="1" s="1"/>
  <c r="I1200" i="1" s="1"/>
  <c r="H618" i="1"/>
  <c r="I618" i="1" s="1"/>
  <c r="I606" i="1" s="1"/>
  <c r="I47" i="9" s="1"/>
  <c r="H588" i="1"/>
  <c r="I588" i="1" s="1"/>
  <c r="I576" i="1" s="1"/>
  <c r="I45" i="9" s="1"/>
  <c r="H572" i="1"/>
  <c r="I572" i="1" s="1"/>
  <c r="I560" i="1" s="1"/>
  <c r="I43" i="9" s="1"/>
  <c r="H542" i="1"/>
  <c r="I542" i="1" s="1"/>
  <c r="I530" i="1" s="1"/>
  <c r="H603" i="1"/>
  <c r="I603" i="1" s="1"/>
  <c r="H1244" i="1"/>
  <c r="I1244" i="1" s="1"/>
  <c r="I1232" i="1" s="1"/>
  <c r="I117" i="9" s="1"/>
  <c r="I116" i="9" s="1"/>
  <c r="H557" i="1"/>
  <c r="I557" i="1" s="1"/>
  <c r="H633" i="1"/>
  <c r="I633" i="1" s="1"/>
  <c r="I621" i="1" s="1"/>
  <c r="I48" i="9" s="1"/>
  <c r="H527" i="1"/>
  <c r="I527" i="1" s="1"/>
  <c r="H1136" i="1"/>
  <c r="I1136" i="1" s="1"/>
  <c r="H1061" i="1"/>
  <c r="I1061" i="1" s="1"/>
  <c r="H985" i="1"/>
  <c r="I985" i="1" s="1"/>
  <c r="H910" i="1"/>
  <c r="I910" i="1" s="1"/>
  <c r="H836" i="1"/>
  <c r="I836" i="1" s="1"/>
  <c r="H451" i="1"/>
  <c r="I451" i="1" s="1"/>
  <c r="H340" i="1"/>
  <c r="I340" i="1" s="1"/>
  <c r="I326" i="1" s="1"/>
  <c r="H265" i="1"/>
  <c r="I265" i="1" s="1"/>
  <c r="H227" i="1"/>
  <c r="I227" i="1" s="1"/>
  <c r="H152" i="1"/>
  <c r="I152" i="1" s="1"/>
  <c r="H78" i="1"/>
  <c r="I78" i="1" s="1"/>
  <c r="H489" i="1"/>
  <c r="I489" i="1" s="1"/>
  <c r="H41" i="1"/>
  <c r="I41" i="1" s="1"/>
  <c r="H1174" i="1"/>
  <c r="I1174" i="1" s="1"/>
  <c r="H1099" i="1"/>
  <c r="I1099" i="1" s="1"/>
  <c r="H1023" i="1"/>
  <c r="I1023" i="1" s="1"/>
  <c r="H948" i="1"/>
  <c r="I948" i="1" s="1"/>
  <c r="H873" i="1"/>
  <c r="I873" i="1" s="1"/>
  <c r="H414" i="1"/>
  <c r="I414" i="1" s="1"/>
  <c r="H377" i="1"/>
  <c r="I377" i="1" s="1"/>
  <c r="H303" i="1"/>
  <c r="I303" i="1" s="1"/>
  <c r="H189" i="1"/>
  <c r="I189" i="1" s="1"/>
  <c r="H115" i="1"/>
  <c r="I115" i="1" s="1"/>
  <c r="E443" i="5"/>
  <c r="E351" i="5"/>
  <c r="I119" i="9"/>
  <c r="I50" i="9"/>
  <c r="I637" i="1"/>
  <c r="I1248" i="1"/>
  <c r="I915" i="6" l="1"/>
  <c r="H882" i="6"/>
  <c r="J882" i="6" s="1"/>
  <c r="G1052" i="1" s="1"/>
  <c r="I1052" i="1" s="1"/>
  <c r="I1047" i="1" s="1"/>
  <c r="I104" i="9" s="1"/>
  <c r="I103" i="9" s="1"/>
  <c r="I213" i="1"/>
  <c r="I437" i="1"/>
  <c r="I34" i="9" s="1"/>
  <c r="I515" i="1"/>
  <c r="I40" i="9" s="1"/>
  <c r="I1231" i="1"/>
  <c r="I545" i="1"/>
  <c r="I42" i="9" s="1"/>
  <c r="I591" i="1"/>
  <c r="I46" i="9" s="1"/>
  <c r="I44" i="9" s="1"/>
  <c r="I27" i="1"/>
  <c r="I289" i="1"/>
  <c r="I934" i="1"/>
  <c r="I115" i="9"/>
  <c r="I114" i="9" s="1"/>
  <c r="I475" i="1"/>
  <c r="I474" i="1" s="1"/>
  <c r="I251" i="1"/>
  <c r="I822" i="1"/>
  <c r="I1009" i="1"/>
  <c r="I1008" i="1" s="1"/>
  <c r="I175" i="1"/>
  <c r="I24" i="9" s="1"/>
  <c r="I400" i="1"/>
  <c r="I41" i="9"/>
  <c r="I859" i="1"/>
  <c r="I96" i="9" s="1"/>
  <c r="I1199" i="1"/>
  <c r="I113" i="9"/>
  <c r="I112" i="9" s="1"/>
  <c r="I138" i="1"/>
  <c r="I971" i="1"/>
  <c r="I100" i="9" s="1"/>
  <c r="I101" i="1"/>
  <c r="I22" i="9" s="1"/>
  <c r="I363" i="1"/>
  <c r="I32" i="9" s="1"/>
  <c r="I31" i="9"/>
  <c r="I896" i="1"/>
  <c r="I97" i="9" s="1"/>
  <c r="I64" i="1"/>
  <c r="I21" i="9" s="1"/>
  <c r="I20" i="9" l="1"/>
  <c r="I33" i="9"/>
  <c r="I23" i="9"/>
  <c r="I250" i="1"/>
  <c r="I26" i="9"/>
  <c r="I25" i="9" s="1"/>
  <c r="I212" i="1"/>
  <c r="I30" i="9"/>
  <c r="I29" i="9" s="1"/>
  <c r="I288" i="1"/>
  <c r="I99" i="9"/>
  <c r="I98" i="9" s="1"/>
  <c r="I95" i="9"/>
  <c r="I94" i="9" s="1"/>
  <c r="J6" i="9" s="1"/>
  <c r="K6" i="9" s="1"/>
  <c r="I953" i="6"/>
  <c r="H920" i="6"/>
  <c r="J920" i="6" s="1"/>
  <c r="G1090" i="1" s="1"/>
  <c r="I1090" i="1" s="1"/>
  <c r="I1085" i="1" s="1"/>
  <c r="I1046" i="1"/>
  <c r="I1198" i="1"/>
  <c r="I102" i="9"/>
  <c r="I101" i="9" s="1"/>
  <c r="I575" i="1"/>
  <c r="I111" i="9"/>
  <c r="I39" i="9"/>
  <c r="I38" i="9" s="1"/>
  <c r="I514" i="1"/>
  <c r="I36" i="9"/>
  <c r="I35" i="9" s="1"/>
  <c r="I28" i="9"/>
  <c r="I27" i="9" s="1"/>
  <c r="I821" i="1"/>
  <c r="I933" i="1"/>
  <c r="I26" i="1"/>
  <c r="I19" i="9"/>
  <c r="J7" i="9" l="1"/>
  <c r="I513" i="1"/>
  <c r="I106" i="9"/>
  <c r="H958" i="6"/>
  <c r="J958" i="6" s="1"/>
  <c r="G1127" i="1" s="1"/>
  <c r="I1127" i="1" s="1"/>
  <c r="I1122" i="1" s="1"/>
  <c r="I107" i="9" s="1"/>
  <c r="I105" i="9" s="1"/>
  <c r="I991" i="6"/>
  <c r="I18" i="9"/>
  <c r="I17" i="9" s="1"/>
  <c r="I86" i="9" s="1"/>
  <c r="I25" i="1"/>
  <c r="I24" i="1" l="1"/>
  <c r="I809" i="1" s="1"/>
  <c r="H996" i="6"/>
  <c r="J996" i="6" s="1"/>
  <c r="G1165" i="1" s="1"/>
  <c r="I1165" i="1" s="1"/>
  <c r="I1160" i="1" s="1"/>
  <c r="I1029" i="6"/>
  <c r="I1084" i="1"/>
  <c r="I1159" i="1" l="1"/>
  <c r="I109" i="9"/>
  <c r="I108" i="9" s="1"/>
  <c r="J8" i="9" s="1"/>
  <c r="I820" i="1"/>
  <c r="I93" i="9" l="1"/>
  <c r="I92" i="9" s="1"/>
  <c r="I157" i="9" s="1"/>
  <c r="I819" i="1"/>
  <c r="I1450" i="1" s="1"/>
  <c r="H21" i="1"/>
  <c r="I21" i="1" s="1"/>
  <c r="H23" i="1"/>
  <c r="I23" i="1" s="1"/>
  <c r="H22" i="1"/>
  <c r="I22" i="1" s="1"/>
  <c r="C8" i="21" l="1"/>
  <c r="I20" i="1"/>
  <c r="H816" i="1"/>
  <c r="I816" i="1" s="1"/>
  <c r="C4" i="21" s="1"/>
  <c r="L4" i="21" s="1"/>
  <c r="H817" i="1"/>
  <c r="I817" i="1" s="1"/>
  <c r="H818" i="1"/>
  <c r="I818" i="1" s="1"/>
  <c r="I815" i="1" l="1"/>
  <c r="I811" i="1"/>
  <c r="I812" i="1" s="1"/>
  <c r="I16" i="9"/>
  <c r="I19" i="1" l="1"/>
  <c r="I15" i="9" s="1"/>
  <c r="I87" i="9"/>
  <c r="I88" i="9" s="1"/>
  <c r="I91" i="9"/>
  <c r="I1452" i="1"/>
  <c r="I1453" i="1" s="1"/>
  <c r="I814" i="1" s="1"/>
  <c r="I158" i="9" l="1"/>
  <c r="I159" i="9" s="1"/>
  <c r="I161" i="9" s="1"/>
  <c r="I1455" i="1"/>
  <c r="H17" i="1" s="1"/>
  <c r="I17" i="1" s="1"/>
  <c r="I90" i="9"/>
  <c r="H16" i="1" l="1"/>
  <c r="I16" i="1" s="1"/>
  <c r="H15" i="1"/>
  <c r="I15" i="1" s="1"/>
  <c r="H14" i="1"/>
  <c r="I14" i="1" s="1"/>
  <c r="I13" i="1" l="1"/>
  <c r="I13" i="9" l="1"/>
  <c r="I11" i="9" s="1"/>
  <c r="I11" i="1"/>
  <c r="N4" i="21" l="1"/>
  <c r="U13" i="21"/>
  <c r="N9" i="21"/>
  <c r="S11" i="21"/>
  <c r="Q8" i="21"/>
  <c r="T12" i="21"/>
  <c r="O6" i="21"/>
  <c r="O5" i="21"/>
  <c r="P5" i="21"/>
  <c r="E5" i="21"/>
  <c r="L5" i="21"/>
  <c r="E6" i="21"/>
  <c r="L6" i="21"/>
  <c r="P6" i="21"/>
  <c r="F7" i="21"/>
  <c r="L7" i="21"/>
  <c r="Q7" i="21"/>
  <c r="G8" i="21"/>
  <c r="L8" i="21"/>
  <c r="R8" i="21"/>
  <c r="G9" i="21"/>
  <c r="H9" i="21"/>
  <c r="L9" i="21"/>
  <c r="R9" i="21"/>
  <c r="I10" i="21"/>
  <c r="L10" i="21"/>
  <c r="S10" i="21"/>
  <c r="J11" i="21"/>
  <c r="L11" i="21"/>
  <c r="T11" i="21"/>
  <c r="K12" i="21"/>
  <c r="L12" i="21"/>
  <c r="U12" i="21"/>
  <c r="K13" i="21"/>
  <c r="L13" i="21"/>
  <c r="V13" i="21"/>
  <c r="L15" i="21"/>
  <c r="C16" i="21"/>
  <c r="L16" i="21"/>
  <c r="C17" i="21"/>
  <c r="C18" i="21"/>
  <c r="D21" i="21"/>
  <c r="E21" i="21"/>
  <c r="F21" i="21"/>
  <c r="G21" i="21"/>
  <c r="H21" i="21"/>
  <c r="H22" i="21"/>
  <c r="I22" i="21"/>
  <c r="J22" i="21"/>
  <c r="K22" i="21"/>
  <c r="L22" i="21"/>
  <c r="D23" i="21"/>
  <c r="E23" i="21"/>
  <c r="F23" i="21"/>
  <c r="G23" i="21"/>
  <c r="H23" i="21"/>
  <c r="H24" i="21"/>
  <c r="I24" i="21"/>
  <c r="J24" i="21"/>
  <c r="K24" i="21"/>
  <c r="L24" i="21"/>
</calcChain>
</file>

<file path=xl/sharedStrings.xml><?xml version="1.0" encoding="utf-8"?>
<sst xmlns="http://schemas.openxmlformats.org/spreadsheetml/2006/main" count="36034" uniqueCount="14654">
  <si>
    <t>ITEM</t>
  </si>
  <si>
    <t>FONTE</t>
  </si>
  <si>
    <t>CÓDIGO</t>
  </si>
  <si>
    <t>DESCRIÇÃO DA ATIVIDADE/SERVIÇO</t>
  </si>
  <si>
    <t>UNIDADE</t>
  </si>
  <si>
    <t>QUANTIDADE</t>
  </si>
  <si>
    <t>CUSTO UNITÁRIO (R$)</t>
  </si>
  <si>
    <t>FUNDO DE DESENVOLVIMENTO DA INFRAESTRUTURA REGIONAL SUSTENTÁVEL - FDIRS (“FDIRS”)</t>
  </si>
  <si>
    <t>PLANILHA DE ORÇAMENTO</t>
  </si>
  <si>
    <t>DATA BASE:</t>
  </si>
  <si>
    <t>BDI:</t>
  </si>
  <si>
    <t>1.1</t>
  </si>
  <si>
    <t>COMPOSIÇÃO</t>
  </si>
  <si>
    <t>-</t>
  </si>
  <si>
    <t>CANTEIRO DE OBRAS</t>
  </si>
  <si>
    <t>Instalação do Canteiro</t>
  </si>
  <si>
    <t>Operação e Manutenção do Canteiro</t>
  </si>
  <si>
    <t>Administração Local</t>
  </si>
  <si>
    <t>Mobilização e Desmobilização de Equipamentos</t>
  </si>
  <si>
    <t>OBRAS CIVIS</t>
  </si>
  <si>
    <t>CUSTO          TOTAL (R$)</t>
  </si>
  <si>
    <t>ETAPA 3</t>
  </si>
  <si>
    <t>CANAIS</t>
  </si>
  <si>
    <t>Canal: CS19 - Trecho 1</t>
  </si>
  <si>
    <t>A</t>
  </si>
  <si>
    <t>B</t>
  </si>
  <si>
    <t>B1</t>
  </si>
  <si>
    <t>Código</t>
  </si>
  <si>
    <t>Descrição do Serviço</t>
  </si>
  <si>
    <t>Unidade</t>
  </si>
  <si>
    <t>Custo Unitário
(R$)</t>
  </si>
  <si>
    <t>0307731</t>
  </si>
  <si>
    <t>Aparelho de apoio de neoprene fretado para estruturas moldadas no local - fornecimento e instalação</t>
  </si>
  <si>
    <t>dm³</t>
  </si>
  <si>
    <t>0307732</t>
  </si>
  <si>
    <t>Aparelho de apoio de neoprene fretado para estruturas pré-moldadas - fornecimento e instalação</t>
  </si>
  <si>
    <t>0308308</t>
  </si>
  <si>
    <t>Aparelho de apoio metálico elastomérico fixo com capacidade de 1.500 kN - fornecimento e instalação</t>
  </si>
  <si>
    <t>un</t>
  </si>
  <si>
    <t>0308313</t>
  </si>
  <si>
    <t>Aparelho de apoio metálico elastomérico fixo com capacidade de 10.000 kN - fornecimento e instalação</t>
  </si>
  <si>
    <t>0308309</t>
  </si>
  <si>
    <t>Aparelho de apoio metálico elastomérico fixo com capacidade de 2.500 kN - fornecimento e instalação</t>
  </si>
  <si>
    <t>0308310</t>
  </si>
  <si>
    <t>Aparelho de apoio metálico elastomérico fixo com capacidade de 4.000 kN - fornecimento e instalação</t>
  </si>
  <si>
    <t>0308311</t>
  </si>
  <si>
    <t>Aparelho de apoio metálico elastomérico fixo com capacidade de 5.500 kN - fornecimento e instalação</t>
  </si>
  <si>
    <t>0308312</t>
  </si>
  <si>
    <t>Aparelho de apoio metálico elastomérico fixo com capacidade de 7.500 kN - fornecimento e instalação</t>
  </si>
  <si>
    <t>0308307</t>
  </si>
  <si>
    <t>Aparelho de apoio metálico elastomérico fixo com capacidade de 700 kN - fornecimento e instalação</t>
  </si>
  <si>
    <t>0308322</t>
  </si>
  <si>
    <t>Aparelho de apoio metálico elastomérico multidirecional com capacidade de 1.500 kN - fornecimento e instalação</t>
  </si>
  <si>
    <t>0308327</t>
  </si>
  <si>
    <t>Aparelho de apoio metálico elastomérico multidirecional com capacidade de 10.000 kN - fornecimento e instalação</t>
  </si>
  <si>
    <t>0308323</t>
  </si>
  <si>
    <t>Aparelho de apoio metálico elastomérico multidirecional com capacidade de 2.500 kN - fornecimento e instalação</t>
  </si>
  <si>
    <t>0308324</t>
  </si>
  <si>
    <t>Aparelho de apoio metálico elastomérico multidirecional com capacidade de 4.000 kN - fornecimento e instalação</t>
  </si>
  <si>
    <t>0308325</t>
  </si>
  <si>
    <t>Aparelho de apoio metálico elastomérico multidirecional com capacidade de 5.500 kN - fornecimento e instalação</t>
  </si>
  <si>
    <t>0308326</t>
  </si>
  <si>
    <t>Aparelho de apoio metálico elastomérico multidirecional com capacidade de 7.500 kN - fornecimento e instalação</t>
  </si>
  <si>
    <t>0308321</t>
  </si>
  <si>
    <t>Aparelho de apoio metálico elastomérico multidirecional com capacidade de 700 kN - fornecimento e instalação</t>
  </si>
  <si>
    <t>0308315</t>
  </si>
  <si>
    <t>Aparelho de apoio metálico elastomérico unidirecional com capacidade de 1.500 kN - fornecimento e instalação</t>
  </si>
  <si>
    <t>0308320</t>
  </si>
  <si>
    <t>Aparelho de apoio metálico elastomérico unidirecional com capacidade de 10.000 kN - fornecimento e instalação</t>
  </si>
  <si>
    <t>0308316</t>
  </si>
  <si>
    <t>Aparelho de apoio metálico elastomérico unidirecional com capacidade de 2.500 kN - fornecimento e instalação</t>
  </si>
  <si>
    <t>0308317</t>
  </si>
  <si>
    <t>Aparelho de apoio metálico elastomérico unidirecional com capacidade de 4.000 kN - fornecimento e instalação</t>
  </si>
  <si>
    <t>0308318</t>
  </si>
  <si>
    <t>Aparelho de apoio metálico elastomérico unidirecional com capacidade de 5.500 kN - fornecimento e instalação</t>
  </si>
  <si>
    <t>0308319</t>
  </si>
  <si>
    <t>Aparelho de apoio metálico elastomérico unidirecional com capacidade de 7.500 kN - fornecimento e instalação</t>
  </si>
  <si>
    <t>0308314</t>
  </si>
  <si>
    <t>Aparelho de apoio metálico elastomérico unidirecional com capacidade de 700 kN - fornecimento e instalação</t>
  </si>
  <si>
    <t>0308250</t>
  </si>
  <si>
    <t>Aparelho de apoio metálico esférico fixo com capacidade de 1.000 kN - fornecimento e instalação</t>
  </si>
  <si>
    <t>0308251</t>
  </si>
  <si>
    <t>Aparelho de apoio metálico esférico fixo com capacidade de 1.500 kN - fornecimento e instalação</t>
  </si>
  <si>
    <t>0308268</t>
  </si>
  <si>
    <t>Aparelho de apoio metálico esférico fixo com capacidade de 10.000 kN - fornecimento e instalação</t>
  </si>
  <si>
    <t>0308252</t>
  </si>
  <si>
    <t>Aparelho de apoio metálico esférico fixo com capacidade de 2.000 kN - fornecimento e instalação</t>
  </si>
  <si>
    <t>0308253</t>
  </si>
  <si>
    <t>Aparelho de apoio metálico esférico fixo com capacidade de 2.500 kN - fornecimento e instalação</t>
  </si>
  <si>
    <t>0308254</t>
  </si>
  <si>
    <t>Aparelho de apoio metálico esférico fixo com capacidade de 3.000 kN - fornecimento e instalação</t>
  </si>
  <si>
    <t>0308255</t>
  </si>
  <si>
    <t>Aparelho de apoio metálico esférico fixo com capacidade de 3.500 kN - fornecimento e instalação</t>
  </si>
  <si>
    <t>0308256</t>
  </si>
  <si>
    <t>Aparelho de apoio metálico esférico fixo com capacidade de 4.000 kN - fornecimento e instalação</t>
  </si>
  <si>
    <t>0308257</t>
  </si>
  <si>
    <t>Aparelho de apoio metálico esférico fixo com capacidade de 4.500 kN - fornecimento e instalação</t>
  </si>
  <si>
    <t>0308258</t>
  </si>
  <si>
    <t>Aparelho de apoio metálico esférico fixo com capacidade de 5.000 kN - fornecimento e instalação</t>
  </si>
  <si>
    <t>0308259</t>
  </si>
  <si>
    <t>Aparelho de apoio metálico esférico fixo com capacidade de 5.500 kN - fornecimento e instalação</t>
  </si>
  <si>
    <t>0308260</t>
  </si>
  <si>
    <t>Aparelho de apoio metálico esférico fixo com capacidade de 6.000 kN - fornecimento e instalação</t>
  </si>
  <si>
    <t>0308261</t>
  </si>
  <si>
    <t>Aparelho de apoio metálico esférico fixo com capacidade de 6.500 kN - fornecimento e instalação</t>
  </si>
  <si>
    <t>0308262</t>
  </si>
  <si>
    <t>Aparelho de apoio metálico esférico fixo com capacidade de 7.000 kN - fornecimento e instalação</t>
  </si>
  <si>
    <t>0308263</t>
  </si>
  <si>
    <t>Aparelho de apoio metálico esférico fixo com capacidade de 7.500 kN - fornecimento e instalação</t>
  </si>
  <si>
    <t>0308264</t>
  </si>
  <si>
    <t>Aparelho de apoio metálico esférico fixo com capacidade de 8.000 kN - fornecimento e instalação</t>
  </si>
  <si>
    <t>0308265</t>
  </si>
  <si>
    <t>Aparelho de apoio metálico esférico fixo com capacidade de 8.500 kN - fornecimento e instalação</t>
  </si>
  <si>
    <t>0308266</t>
  </si>
  <si>
    <t>Aparelho de apoio metálico esférico fixo com capacidade de 9.000 kN - fornecimento e instalação</t>
  </si>
  <si>
    <t>0308267</t>
  </si>
  <si>
    <t>Aparelho de apoio metálico esférico fixo com capacidade de 9.500 kN - fornecimento e instalação</t>
  </si>
  <si>
    <t>0308288</t>
  </si>
  <si>
    <t>Aparelho de apoio metálico esférico multidirecional com capacidade de 1.000 kN - fornecimento e instalação</t>
  </si>
  <si>
    <t>0308289</t>
  </si>
  <si>
    <t>Aparelho de apoio metálico esférico multidirecional com capacidade de 1.500 kN - fornecimento e instalação</t>
  </si>
  <si>
    <t>0308306</t>
  </si>
  <si>
    <t>Aparelho de apoio metálico esférico multidirecional com capacidade de 10.000 kN - fornecimento e instalação</t>
  </si>
  <si>
    <t>0308290</t>
  </si>
  <si>
    <t>Aparelho de apoio metálico esférico multidirecional com capacidade de 2.000 kN - fornecimento e instalação</t>
  </si>
  <si>
    <t>0308291</t>
  </si>
  <si>
    <t>Aparelho de apoio metálico esférico multidirecional com capacidade de 2.500 kN - fornecimento e instalação</t>
  </si>
  <si>
    <t>0308292</t>
  </si>
  <si>
    <t>Aparelho de apoio metálico esférico multidirecional com capacidade de 3.000 kN - fornecimento e instalação</t>
  </si>
  <si>
    <t>0308293</t>
  </si>
  <si>
    <t>Aparelho de apoio metálico esférico multidirecional com capacidade de 3.500 kN - fornecimento e instalação</t>
  </si>
  <si>
    <t>0308294</t>
  </si>
  <si>
    <t>Aparelho de apoio metálico esférico multidirecional com capacidade de 4.000 kN - fornecimento e instalação</t>
  </si>
  <si>
    <t>0308295</t>
  </si>
  <si>
    <t>Aparelho de apoio metálico esférico multidirecional com capacidade de 4.500 kN - fornecimento e instalação</t>
  </si>
  <si>
    <t>0308296</t>
  </si>
  <si>
    <t>Aparelho de apoio metálico esférico multidirecional com capacidade de 5.000 kN - fornecimento e instalação</t>
  </si>
  <si>
    <t>0308297</t>
  </si>
  <si>
    <t>Aparelho de apoio metálico esférico multidirecional com capacidade de 5.500 kN - fornecimento e instalação</t>
  </si>
  <si>
    <t>0308298</t>
  </si>
  <si>
    <t>Aparelho de apoio metálico esférico multidirecional com capacidade de 6.000 kN - fornecimento e instalação</t>
  </si>
  <si>
    <t>0308299</t>
  </si>
  <si>
    <t>Aparelho de apoio metálico esférico multidirecional com capacidade de 6.500 kN - fornecimento e instalação</t>
  </si>
  <si>
    <t>0308300</t>
  </si>
  <si>
    <t>Aparelho de apoio metálico esférico multidirecional com capacidade de 7.000 kN - fornecimento e instalação</t>
  </si>
  <si>
    <t>0308301</t>
  </si>
  <si>
    <t>Aparelho de apoio metálico esférico multidirecional com capacidade de 7.500 kN - fornecimento e instalação</t>
  </si>
  <si>
    <t>0308302</t>
  </si>
  <si>
    <t>Aparelho de apoio metálico esférico multidirecional com capacidade de 8.000 kN - fornecimento e instalação</t>
  </si>
  <si>
    <t>0308303</t>
  </si>
  <si>
    <t>Aparelho de apoio metálico esférico multidirecional com capacidade de 8.500 kN - fornecimento e instalação</t>
  </si>
  <si>
    <t>0308304</t>
  </si>
  <si>
    <t>Aparelho de apoio metálico esférico multidirecional com capacidade de 9.000 kN - fornecimento e instalação</t>
  </si>
  <si>
    <t>0308305</t>
  </si>
  <si>
    <t>Aparelho de apoio metálico esférico multidirecional com capacidade de 9.500 kN - fornecimento e instalação</t>
  </si>
  <si>
    <t>0308269</t>
  </si>
  <si>
    <t>Aparelho de apoio metálico esférico unidirecional com capacidade de 1.000 kN - fornecimento e instalação</t>
  </si>
  <si>
    <t>0308270</t>
  </si>
  <si>
    <t>Aparelho de apoio metálico esférico unidirecional com capacidade de 1.500 kN - fornecimento e instalação</t>
  </si>
  <si>
    <t>0308287</t>
  </si>
  <si>
    <t>Aparelho de apoio metálico esférico unidirecional com capacidade de 10.000 kN - fornecimento e instalação</t>
  </si>
  <si>
    <t>0308271</t>
  </si>
  <si>
    <t>Aparelho de apoio metálico esférico unidirecional com capacidade de 2.000 kN - fornecimento e instalação</t>
  </si>
  <si>
    <t>0308272</t>
  </si>
  <si>
    <t>Aparelho de apoio metálico esférico unidirecional com capacidade de 2.500 kN - fornecimento e instalação</t>
  </si>
  <si>
    <t>0308273</t>
  </si>
  <si>
    <t>Aparelho de apoio metálico esférico unidirecional com capacidade de 3.000 kN - fornecimento e instalação</t>
  </si>
  <si>
    <t>0308274</t>
  </si>
  <si>
    <t>Aparelho de apoio metálico esférico unidirecional com capacidade de 3.500 kN - fornecimento e instalação</t>
  </si>
  <si>
    <t>0308275</t>
  </si>
  <si>
    <t>Aparelho de apoio metálico esférico unidirecional com capacidade de 4.000 kN - fornecimento e instalação</t>
  </si>
  <si>
    <t>0308276</t>
  </si>
  <si>
    <t>Aparelho de apoio metálico esférico unidirecional com capacidade de 4.500 kN - fornecimento e instalação</t>
  </si>
  <si>
    <t>0308277</t>
  </si>
  <si>
    <t>Aparelho de apoio metálico esférico unidirecional com capacidade de 5.000 kN - fornecimento e instalação</t>
  </si>
  <si>
    <t>0308278</t>
  </si>
  <si>
    <t>Aparelho de apoio metálico esférico unidirecional com capacidade de 5.500 kN - fornecimento e instalação</t>
  </si>
  <si>
    <t>0308279</t>
  </si>
  <si>
    <t>Aparelho de apoio metálico esférico unidirecional com capacidade de 6.000 kN - fornecimento e instalação</t>
  </si>
  <si>
    <t>0308280</t>
  </si>
  <si>
    <t>Aparelho de apoio metálico esférico unidirecional com capacidade de 6.500 kN - fornecimento e instalação</t>
  </si>
  <si>
    <t>0308281</t>
  </si>
  <si>
    <t>Aparelho de apoio metálico esférico unidirecional com capacidade de 7.000 kN - fornecimento e instalação</t>
  </si>
  <si>
    <t>0308282</t>
  </si>
  <si>
    <t>Aparelho de apoio metálico esférico unidirecional com capacidade de 7.500 kN - fornecimento e instalação</t>
  </si>
  <si>
    <t>0308283</t>
  </si>
  <si>
    <t>Aparelho de apoio metálico esférico unidirecional com capacidade de 8.000 kN - fornecimento e instalação</t>
  </si>
  <si>
    <t>0308284</t>
  </si>
  <si>
    <t>Aparelho de apoio metálico esférico unidirecional com capacidade de 8.500 kN - fornecimento e instalação</t>
  </si>
  <si>
    <t>0308285</t>
  </si>
  <si>
    <t>Aparelho de apoio metálico esférico unidirecional com capacidade de 9.000 kN - fornecimento e instalação</t>
  </si>
  <si>
    <t>0308286</t>
  </si>
  <si>
    <t>Aparelho de apoio metálico esférico unidirecional com capacidade de 9.500 kN - fornecimento e instalação</t>
  </si>
  <si>
    <t>0307733</t>
  </si>
  <si>
    <t>Junta de dilatação em elastômero e perfil VV - L = 20 mm e H = 40 mm - fornecimento e instalação</t>
  </si>
  <si>
    <t>m</t>
  </si>
  <si>
    <t>0307734</t>
  </si>
  <si>
    <t>Junta de dilatação em elastômero e perfil VV - L = 25 mm e H = 50 mm - fornecimento e instalação</t>
  </si>
  <si>
    <t>0307735</t>
  </si>
  <si>
    <t>Junta de dilatação em elastômero e perfil VV - L = 35 mm e H = 60 mm - fornecimento e instalação</t>
  </si>
  <si>
    <t>0307736</t>
  </si>
  <si>
    <t>Junta de dilatação em elastômero e perfil VV - L = 40 mm e H = 70 mm - fornecimento e instalação</t>
  </si>
  <si>
    <t>0307737</t>
  </si>
  <si>
    <t>Junta de dilatação em elastômero e perfil VV - L = 50 mm e H = 80 mm - fornecimento e instalação</t>
  </si>
  <si>
    <t>0307730</t>
  </si>
  <si>
    <t>Junta de dilatação em perfil extrudado de borracha vulcanizada</t>
  </si>
  <si>
    <t>0307084</t>
  </si>
  <si>
    <t>Lábios poliméricos em junta de pavimento de concreto - L = 20 mm e H = 30 mm - confecção e assentamento</t>
  </si>
  <si>
    <t>0407818</t>
  </si>
  <si>
    <t>Armação em aço CA-25 - fornecimento, preparo e colocação</t>
  </si>
  <si>
    <t>kg</t>
  </si>
  <si>
    <t>0407819</t>
  </si>
  <si>
    <t>Armação em aço CA-50 - fornecimento, preparo e colocação</t>
  </si>
  <si>
    <t>0407820</t>
  </si>
  <si>
    <t>Armação em aço CA-60 - fornecimento, preparo e colocação</t>
  </si>
  <si>
    <t>0407740</t>
  </si>
  <si>
    <t>Chumbador tipo espera em aço CA-25 para fixação de estrutura metálica em concreto - fornecimento e instalação</t>
  </si>
  <si>
    <t>0408037</t>
  </si>
  <si>
    <t>Luva de emenda com rosca cônica para aço CA-50 - D = 12,5 mm - fornecimento e instalação</t>
  </si>
  <si>
    <t>0408038</t>
  </si>
  <si>
    <t>Luva de emenda com rosca cônica para aço CA-50 - D = 16 mm - fornecimento e instalação</t>
  </si>
  <si>
    <t>0408039</t>
  </si>
  <si>
    <t>Luva de emenda com rosca cônica para aço CA-50 - D = 20 mm - fornecimento e instalação</t>
  </si>
  <si>
    <t>0408041</t>
  </si>
  <si>
    <t>Luva de emenda com rosca cônica para aço CA-50 - D = 25 mm - fornecimento e instalação</t>
  </si>
  <si>
    <t>0408042</t>
  </si>
  <si>
    <t>Luva de emenda com rosca cônica para aço CA-50 - D = 32 mm - fornecimento e instalação</t>
  </si>
  <si>
    <t>0408031</t>
  </si>
  <si>
    <t>Luva de emenda prensada para aço CA-50 - D = 12,5 mm - fornecimento e instalação</t>
  </si>
  <si>
    <t>0408032</t>
  </si>
  <si>
    <t>Luva de emenda prensada para aço CA-50 - D = 16 mm - fornecimento e instalação</t>
  </si>
  <si>
    <t>0408033</t>
  </si>
  <si>
    <t>Luva de emenda prensada para aço CA-50 - D = 20 mm - fornecimento e instalação</t>
  </si>
  <si>
    <t>0408035</t>
  </si>
  <si>
    <t>Luva de emenda prensada para aço CA-50 - D = 25 mm - fornecimento e instalação</t>
  </si>
  <si>
    <t>0408036</t>
  </si>
  <si>
    <t>Luva de emenda prensada para aço CA-50 - D = 32 mm - fornecimento e instalação</t>
  </si>
  <si>
    <t>0408067</t>
  </si>
  <si>
    <t>Tela de aço eletrossoldada - fornecimento, preparo e colocação</t>
  </si>
  <si>
    <t>0407743</t>
  </si>
  <si>
    <t>Treliça nervurada três barras longitudinais interligadas por duas diagonais sinusoidal - fornecimento e instalação</t>
  </si>
  <si>
    <t>0607137</t>
  </si>
  <si>
    <t>Arco metálico galvanizado tipo MP 152S - arco alto - vão = 10,08 m e altura = 6,12 m - aterro rodoviário mínimo = 0,90 m e máximo = 5,00 m - areia e brita comerciais</t>
  </si>
  <si>
    <t>0606785</t>
  </si>
  <si>
    <t>Arco metálico galvanizado tipo MP 152S - arco alto - vão = 10,08 m e altura = 6,12 m - aterro rodoviário mínimo = 0,90 m e máximo = 5,00 m - areia extraída e brita produzida</t>
  </si>
  <si>
    <t>0607139</t>
  </si>
  <si>
    <t>Arco metálico galvanizado tipo MP 152S - arco alto - vão = 10,31 m e altura = 6,17 m - aterro rodoviário mínimo = 0,90 m e máximo = 4,90 m - areia e brita comerciais</t>
  </si>
  <si>
    <t>0606787</t>
  </si>
  <si>
    <t>Arco metálico galvanizado tipo MP 152S - arco alto - vão = 10,31 m e altura = 6,17 m - aterro rodoviário mínimo = 0,90 m e máximo = 4,90 m - areia extraída e brita produzida</t>
  </si>
  <si>
    <t>0607140</t>
  </si>
  <si>
    <t>Arco metálico galvanizado tipo MP 152S - arco alto - vão = 10,36 m e altura = 5,38 m - aterro rodoviário mínimo = 1,20 m e máximo = 3,60 m - areia e brita comerciais</t>
  </si>
  <si>
    <t>0606788</t>
  </si>
  <si>
    <t>Arco metálico galvanizado tipo MP 152S - arco alto - vão = 10,36 m e altura = 5,38 m - aterro rodoviário mínimo = 1,20 m e máximo = 3,60 m - areia extraída e brita produzida</t>
  </si>
  <si>
    <t>0607141</t>
  </si>
  <si>
    <t>Arco metálico galvanizado tipo MP 152S - arco alto - vão = 10,54 m e altura = 6,05 m - aterro rodoviário mínimo = 1,20 m e máximo = 4,20 m - areia e brita comerciais</t>
  </si>
  <si>
    <t>0606789</t>
  </si>
  <si>
    <t>Arco metálico galvanizado tipo MP 152S - arco alto - vão = 10,54 m e altura = 6,05 m - aterro rodoviário mínimo = 1,20 m e máximo = 4,20 m - areia extraída e brita produzida</t>
  </si>
  <si>
    <t>0607144</t>
  </si>
  <si>
    <t>Arco metálico galvanizado tipo MP 152S - arco alto - vão = 10,57 m e altura = 5,41 m - aterro rodoviário mínimo = 1,20 m e máximo = 4,10 m - areia e brita comerciais</t>
  </si>
  <si>
    <t>0606792</t>
  </si>
  <si>
    <t>Arco metálico galvanizado tipo MP 152S - arco alto - vão = 10,57 m e altura = 5,41 m - aterro rodoviário mínimo = 1,20 m e máximo = 4,10 m - areia extraída e brita produzida</t>
  </si>
  <si>
    <t>0607142</t>
  </si>
  <si>
    <t>Arco metálico galvanizado tipo MP 152S - arco alto - vão = 10,74 m e altura = 6,48 m - aterro rodoviário mínimo = 1,20 m e máximo = 4,70 m - areia e brita comerciais</t>
  </si>
  <si>
    <t>0606790</t>
  </si>
  <si>
    <t>Arco metálico galvanizado tipo MP 152S - arco alto - vão = 10,74 m e altura = 6,48 m - aterro rodoviário mínimo = 1,20 m e máximo = 4,70 m - areia extraída e brita produzida</t>
  </si>
  <si>
    <t>0607145</t>
  </si>
  <si>
    <t>Arco metálico galvanizado tipo MP 152S - arco alto - vão = 10,77 m e altura = 6,10 m - aterro rodoviário mínimo = 1,20 m e máximo = 4,70 m - areia e brita comerciais</t>
  </si>
  <si>
    <t>0606793</t>
  </si>
  <si>
    <t>Arco metálico galvanizado tipo MP 152S - arco alto - vão = 10,77 m e altura = 6,10 m - aterro rodoviário mínimo = 1,20 m e máximo = 4,70 m - areia extraída e brita produzida</t>
  </si>
  <si>
    <t>0607146</t>
  </si>
  <si>
    <t>Arco metálico galvanizado tipo MP 152S - arco alto - vão = 10,97 m e altura = 6,53 m - aterro rodoviário mínimo = 1,20 m e máximo = 4,70 m - areia e brita comerciais</t>
  </si>
  <si>
    <t>0606794</t>
  </si>
  <si>
    <t>Arco metálico galvanizado tipo MP 152S - arco alto - vão = 10,97 m e altura = 6,53 m - aterro rodoviário mínimo = 1,20 m e máximo = 4,70 m - areia extraída e brita produzida</t>
  </si>
  <si>
    <t>0607143</t>
  </si>
  <si>
    <t>Arco metálico galvanizado tipo MP 152S - arco alto - vão = 11,35 m e altura = 7,12 m - aterro rodoviário mínimo = 1,20 m e máximo = 4,70 m - areia e brita comerciais</t>
  </si>
  <si>
    <t>0606791</t>
  </si>
  <si>
    <t>Arco metálico galvanizado tipo MP 152S - arco alto - vão = 11,35 m e altura = 7,12 m - aterro rodoviário mínimo = 1,20 m e máximo = 4,70 m - areia extraída e brita produzida</t>
  </si>
  <si>
    <t>0607147</t>
  </si>
  <si>
    <t>Arco metálico galvanizado tipo MP 152S - arco alto - vão = 11,58 m e altura = 7,16 m - aterro rodoviário mínimo = 1,20 m e máximo = 6,40 m - areia e brita comerciais</t>
  </si>
  <si>
    <t>0606795</t>
  </si>
  <si>
    <t>Arco metálico galvanizado tipo MP 152S - arco alto - vão = 11,58 m e altura = 7,16 m - aterro rodoviário mínimo = 1,20 m e máximo = 6,40 m - areia extraída e brita produzida</t>
  </si>
  <si>
    <t>0607112</t>
  </si>
  <si>
    <t>Arco metálico galvanizado tipo MP 152S - arco alto - vão = 6,12 m e altura = 2,77 m - aterro rodoviário mínimo = 0,75 m e máximo = 5,40 m - areia e brita comerciais</t>
  </si>
  <si>
    <t>0606760</t>
  </si>
  <si>
    <t>Arco metálico galvanizado tipo MP 152S - arco alto - vão = 6,12 m e altura = 2,77 m - aterro rodoviário mínimo = 0,75 m e máximo = 5,40 m - areia extraída e brita produzida</t>
  </si>
  <si>
    <t>0607113</t>
  </si>
  <si>
    <t>Arco metálico galvanizado tipo MP 152S - arco alto - vão = 6,30 m e altura = 3,68 m - aterro rodoviário mínimo = 0,75 m e máximo = 7,50 m - areia e brita comerciais</t>
  </si>
  <si>
    <t>0606761</t>
  </si>
  <si>
    <t>Arco metálico galvanizado tipo MP 152S - arco alto - vão = 6,30 m e altura = 3,68 m - aterro rodoviário mínimo = 0,75 m e máximo = 7,50 m - areia extraída e brita produzida</t>
  </si>
  <si>
    <t>0606762</t>
  </si>
  <si>
    <t>Arco metálico galvanizado tipo MP 152S - arco alto - vão = 6,55 m e altura = 3,56 m - aterro rodoviário mínimo = 0,75 m e máximo = 4,9 m - areia extraída e brita produzida</t>
  </si>
  <si>
    <t>0607114</t>
  </si>
  <si>
    <t>Arco metálico galvanizado tipo MP 152S - arco alto - vão = 6,55 m e altura = 3,56 m - aterro rodoviário mínimo = 0,75 m e máximo = 4,90 m - areia e brita comerciais</t>
  </si>
  <si>
    <t>0607116</t>
  </si>
  <si>
    <t>Arco metálico galvanizado tipo MP 152S - arco alto - vão = 6,78 m e altura = 3,61 m - aterro rodoviário mínimo = 0,75 m e máximo = 4,80 m - areia e brita comerciais</t>
  </si>
  <si>
    <t>0606764</t>
  </si>
  <si>
    <t>Arco metálico galvanizado tipo MP 152S - arco alto - vão = 6,78 m e altura = 3,61 m - aterro rodoviário mínimo = 0,75 m e máximo = 4,80 m - areia extraída e brita produzida</t>
  </si>
  <si>
    <t>0607115</t>
  </si>
  <si>
    <t>Arco metálico galvanizado tipo MP 152S - arco alto - vão = 6,96 m e altura = 4,42 m - aterro rodoviário mínimo = 0,75 m e máximo = 8,10 m - areia e brita comerciais</t>
  </si>
  <si>
    <t>0606763</t>
  </si>
  <si>
    <t>Arco metálico galvanizado tipo MP 152S - arco alto - vão = 6,96 m e altura = 4,42 m - aterro rodoviário mínimo = 0,75 m e máximo = 8,10 m - areia extraída e brita produzida</t>
  </si>
  <si>
    <t>0607117</t>
  </si>
  <si>
    <t>Arco metálico galvanizado tipo MP 152S - arco alto - vão = 6,99 m e altura = 4,27 m - aterro rodoviário mínimo = 0,75 m e máximo = 5,70 m - areia e brita comerciais</t>
  </si>
  <si>
    <t>0606765</t>
  </si>
  <si>
    <t>Arco metálico galvanizado tipo MP 152S - arco alto - vão = 6,99 m e altura = 4,27 m - aterro rodoviário mínimo = 0,75 m e máximo = 5,70 m - areia extraída e brita produzida</t>
  </si>
  <si>
    <t>0607118</t>
  </si>
  <si>
    <t>Arco metálico galvanizado tipo MP 152S - arco alto - vão = 7,01 m e altura = 3,63 m - aterro rodoviário mínimo = 0,75 m e máximo = 4,60 m - areia e brita comerciais</t>
  </si>
  <si>
    <t>0606766</t>
  </si>
  <si>
    <t>Arco metálico galvanizado tipo MP 152S - arco alto - vão = 7,01 m e altura = 3,63 m - aterro rodoviário mínimo = 0,75 m e máximo = 4,60 m - areia extraída e brita produzida</t>
  </si>
  <si>
    <t>0607120</t>
  </si>
  <si>
    <t>Arco metálico galvanizado tipo MP 152S - arco alto - vão = 7,24 m e altura = 3,68 m - aterro rodoviário mínimo = 0,90 m e máximo = 4,4 m - areia e brita comerciais</t>
  </si>
  <si>
    <t>0606768</t>
  </si>
  <si>
    <t>Arco metálico galvanizado tipo MP 152S - arco alto - vão = 7,24 m e altura = 3,68 m - aterro rodoviário mínimo = 0,90 m e máximo = 4,40 m - areia extraída e brita produzida</t>
  </si>
  <si>
    <t>0607119</t>
  </si>
  <si>
    <t>Arco metálico galvanizado tipo MP 152S - arco alto - vão = 7,42 m e altura = 4,52 m - aterro rodoviário mínimo = 0,90 m e máximo = 6,40 m - areia e brita comerciais</t>
  </si>
  <si>
    <t>0606767</t>
  </si>
  <si>
    <t>Arco metálico galvanizado tipo MP 152S - arco alto - vão = 7,42 m e altura = 4,52 m - aterro rodoviário mínimo = 0,90 m e máximo = 6,40 m - areia extraída e brita produzida</t>
  </si>
  <si>
    <t>0607121</t>
  </si>
  <si>
    <t>Arco metálico galvanizado tipo MP 152S - arco alto - vão = 7,47 m e altura = 4,19 m - aterro rodoviário mínimo = 0,90 m e máximo = 4,30 m - areia e brita comerciais</t>
  </si>
  <si>
    <t>0606769</t>
  </si>
  <si>
    <t>Arco metálico galvanizado tipo MP 152S - arco alto - vão = 7,47 m e altura = 4,19 m - aterro rodoviário mínimo = 0,90 m e máximo = 4,30 m - areia extraída e brita produzida</t>
  </si>
  <si>
    <t>0607123</t>
  </si>
  <si>
    <t>Arco metálico galvanizado tipo MP 152S - arco alto - vão = 7,67 m e altura = 3,99 m - aterro rodoviário mínimo = 0,90 m e máximo = 4,10 m - areia e brita comerciais</t>
  </si>
  <si>
    <t>0606771</t>
  </si>
  <si>
    <t>Arco metálico galvanizado tipo MP 152S - arco alto - vão = 7,67 m e altura = 3,99 m - aterro rodoviário mínimo = 0,90 m e máximo = 4,10 m - areia extraída e brita produzida</t>
  </si>
  <si>
    <t>0607122</t>
  </si>
  <si>
    <t>Arco metálico galvanizado tipo MP 152S - arco alto - vão = 7,85 m e altura = 4,60 m - aterro rodoviário mínimo = 0,90 m e máximo = 6,00 m - areia e brita comerciais</t>
  </si>
  <si>
    <t>0606770</t>
  </si>
  <si>
    <t>Arco metálico galvanizado tipo MP 152S - arco alto - vão = 7,85 m e altura = 4,60 m - aterro rodoviário mínimo = 0,90 m e máximo = 6,00 m - areia extraída e brita produzida</t>
  </si>
  <si>
    <t>0607125</t>
  </si>
  <si>
    <t>Arco metálico galvanizado tipo MP 152S - arco alto - vão = 7,90 m e altura = 4,04 m - aterro rodoviário mínimo = 0,90 m e máximo = 4,00 m - areia e brita comerciais</t>
  </si>
  <si>
    <t>0606773</t>
  </si>
  <si>
    <t>Arco metálico galvanizado tipo MP 152S - arco alto - vão = 7,90 m e altura = 4,04 m - aterro rodoviário mínimo = 0,90 m e máximo = 4,00 m - areia extraída e brita produzida</t>
  </si>
  <si>
    <t>0607124</t>
  </si>
  <si>
    <t>Arco metálico galvanizado tipo MP 152S - arco alto - vão = 8,08 m e altura = 4,65 m - aterro rodoviário mínimo = 0,90 m e máximo = 5,80 m - areia e brita comerciais</t>
  </si>
  <si>
    <t>0606772</t>
  </si>
  <si>
    <t>Arco metálico galvanizado tipo MP 152S - arco alto - vão = 8,08 m e altura = 4,65 m - aterro rodoviário mínimo = 0,90 m e máximo = 5,80 m - areia extraída e brita produzida</t>
  </si>
  <si>
    <t>0607126</t>
  </si>
  <si>
    <t>Arco metálico galvanizado tipo MP 152S - arco alto - vão = 8,31 m e altura = 4,70 m - aterro rodoviário mínimo = 0,90 m e máximo = 5,60 m - areia e brita comerciais</t>
  </si>
  <si>
    <t>0606774</t>
  </si>
  <si>
    <t>Arco metálico galvanizado tipo MP 152S - arco alto - vão = 8,31 m e altura = 4,70 m - aterro rodoviário mínimo = 0,90 m e máximo = 5,60 m - areia extraída e brita produzida</t>
  </si>
  <si>
    <t>0607127</t>
  </si>
  <si>
    <t>Arco metálico galvanizado tipo MP 152S - arco alto - vão = 8,36 m e altura = 4,11 m - aterro rodoviário mínimo = 0,90 m e máximo = 3,70 m - areia e brita comerciais</t>
  </si>
  <si>
    <t>0606775</t>
  </si>
  <si>
    <t>Arco metálico galvanizado tipo MP 152S - arco alto - vão = 8,36 m e altura = 4,11 m - aterro rodoviário mínimo = 0,90 m e máximo = 3,70 m - areia extraída e brita produzida</t>
  </si>
  <si>
    <t>0607129</t>
  </si>
  <si>
    <t>Arco metálico galvanizado tipo MP 152S - arco alto - vão = 8,59 m e altura = 4,39 m - aterro rodoviário mínimo = 0,90 m e máximo = 3,60 m - areia e brita comerciais</t>
  </si>
  <si>
    <t>0606777</t>
  </si>
  <si>
    <t>Arco metálico galvanizado tipo MP 152S - arco alto - vão = 8,59 m e altura = 4,39 m - aterro rodoviário mínimo = 0,90 m e máximo = 3,60 m - areia extraída e brita produzida</t>
  </si>
  <si>
    <t>0607128</t>
  </si>
  <si>
    <t>Arco metálico galvanizado tipo MP 152S - arco alto - vão = 8,97 m e altura = 5,00 m - aterro rodoviário mínimo = 0,90 m e máximo = 5,80 m - areia e brita comerciais</t>
  </si>
  <si>
    <t>0606776</t>
  </si>
  <si>
    <t>Arco metálico galvanizado tipo MP 152S - arco alto - vão = 8,97 m e altura = 5,00 m - aterro rodoviário mínimo = 0,90 m e máximo = 5,80 m - areia extraída e brita produzida</t>
  </si>
  <si>
    <t>0607130</t>
  </si>
  <si>
    <t>Arco metálico galvanizado tipo MP 152S - arco alto - vão = 9,17 m e altura = 5,49 m - aterro rodoviário mínimo = 0,90 m e máximo = 5,60 m - areia e brita comerciais</t>
  </si>
  <si>
    <t>0606778</t>
  </si>
  <si>
    <t>Arco metálico galvanizado tipo MP 152S - arco alto - vão = 9,17 m e altura = 5,49 m - aterro rodoviário mínimo = 0,90 m e máximo = 5,60 m - areia extraída e brita produzida</t>
  </si>
  <si>
    <t>0607131</t>
  </si>
  <si>
    <t>Arco metálico galvanizado tipo MP 152S - arco alto - vão = 9,22 m e altura = 4,70 m - aterro rodoviário mínimo = 0,90 m e máximo = 4,10 m - areia e brita comerciais</t>
  </si>
  <si>
    <t>0606779</t>
  </si>
  <si>
    <t>Arco metálico galvanizado tipo MP 152S - arco alto - vão = 9,22 m e altura = 4,70 m - aterro rodoviário mínimo = 0,90 m e máximo = 4,10 m - areia extraída e brita produzida</t>
  </si>
  <si>
    <t>0607133</t>
  </si>
  <si>
    <t>Arco metálico galvanizado tipo MP 152S - arco alto - vão = 9,45 m e altura = 4,75 m - aterro rodoviário mínimo = 0,90 m e máximo = 4,00 m - areia e brita comerciais</t>
  </si>
  <si>
    <t>0606781</t>
  </si>
  <si>
    <t>Arco metálico galvanizado tipo MP 152S - arco alto - vão = 9,45 m e altura = 4,75 m - aterro rodoviário mínimo = 0,90 m e máximo = 4,00 m - areia extraída e brita produzida</t>
  </si>
  <si>
    <t>0607132</t>
  </si>
  <si>
    <t>Arco metálico galvanizado tipo MP 152S - arco alto - vão = 9,63 m e altura = 5,59 m - aterro rodoviário mínimo = 0,90 m e máximo = 5,30 m - areia e brita comerciais</t>
  </si>
  <si>
    <t>0606780</t>
  </si>
  <si>
    <t>Arco metálico galvanizado tipo MP 152S - arco alto - vão = 9,63 m e altura = 5,59 m - aterro rodoviário mínimo = 0,90 m e máximo = 5,30 m - areia extraída e brita produzida</t>
  </si>
  <si>
    <t>0607134</t>
  </si>
  <si>
    <t>Arco metálico galvanizado tipo MP 152S - arco alto - vão = 9,65 m e altura = 5,41 m - aterro rodoviário mínimo = 0,90 m e máximo = 4,70 m - areia e brita comerciais</t>
  </si>
  <si>
    <t>0606782</t>
  </si>
  <si>
    <t>Arco metálico galvanizado tipo MP 152S - arco alto - vão = 9,65 m e altura = 5,41 m - aterro rodoviário mínimo = 0,90 m e máximo = 4,70 m - areia extraída e brita produzida</t>
  </si>
  <si>
    <t>0607136</t>
  </si>
  <si>
    <t>Arco metálico galvanizado tipo MP 152S - arco alto - vão = 9,68 m e altura = 5,23 m - aterro rodoviário mínimo = 0,90 m e máximo = 3,90 m - areia e brita comerciais</t>
  </si>
  <si>
    <t>0606784</t>
  </si>
  <si>
    <t>Arco metálico galvanizado tipo MP 152S - arco alto - vão = 9,68 m e altura = 5,23 m - aterro rodoviário mínimo = 0,90 m e máximo = 3,90 m - areia extraída e brita produzida</t>
  </si>
  <si>
    <t>0607135</t>
  </si>
  <si>
    <t>Arco metálico galvanizado tipo MP 152S - arco alto - vão = 9,86 m e altura = 6,07 m - aterro rodoviário mínimo = 0,90 m e máximo = 5,20 m - areia e brita comerciais</t>
  </si>
  <si>
    <t>0606783</t>
  </si>
  <si>
    <t>Arco metálico galvanizado tipo MP 152S - arco alto - vão = 9,86 m e altura = 6,07 m - aterro rodoviário mínimo = 0,90 m e máximo = 5,20 m - areia extraída e brita produzida</t>
  </si>
  <si>
    <t>0607138</t>
  </si>
  <si>
    <t>Arco metálico galvanizado tipo MP 152S - arco alto - vão = 9,91 m e altura = 5,28 m - aterro rodoviário mínimo = 0,90 m e máximo = 3,80 m - areia e brita comerciais</t>
  </si>
  <si>
    <t>0606786</t>
  </si>
  <si>
    <t>Arco metálico galvanizado tipo MP 152S - arco alto - vão = 9,91 m e altura = 5,28 m - aterro rodoviário mínimo = 0,90 m e máximo = 3,80 m - areia extraída e brita produzida</t>
  </si>
  <si>
    <t>0606842</t>
  </si>
  <si>
    <t>Arco metálico galvanizado tipo MP 152S - ovoide - vão = 7,21 m e altura = 7,82 m - aterro rodoviário mínimo = 0,75 m e máximo = 6,70 m - areia e brita comerciais</t>
  </si>
  <si>
    <t>0606832</t>
  </si>
  <si>
    <t>Arco metálico galvanizado tipo MP 152S - ovoide - vão = 7,21 m e altura = 7,82 m - aterro rodoviário mínimo = 0,75 m e máximo = 6,70 m - areia extraída e brita produzida</t>
  </si>
  <si>
    <t>0606843</t>
  </si>
  <si>
    <t>Arco metálico galvanizado tipo MP 152S - ovoide - vão = 7,31 m e altura = 7,87 m - aterro rodoviário mínimo = 0,90 m e máximo = 6,80 m - areia e brita comerciais</t>
  </si>
  <si>
    <t>0606833</t>
  </si>
  <si>
    <t>Arco metálico galvanizado tipo MP 152S - ovoide - vão = 7,31 m e altura = 7,87 m - aterro rodoviário mínimo = 0,90 m e máximo = 6,80 m - areia extraída e brita produzida</t>
  </si>
  <si>
    <t>0606845</t>
  </si>
  <si>
    <t>Arco metálico galvanizado tipo MP 152S - ovoide - vão = 7,57 m e altura = 8,44 m - aterro rodoviário mínimo = 0,90 m e máximo = 5,60 m - areia e brita comerciais</t>
  </si>
  <si>
    <t>0606835</t>
  </si>
  <si>
    <t>Arco metálico galvanizado tipo MP 152S - ovoide - vão = 7,57 m e altura = 8,44 m - aterro rodoviário mínimo = 0,90 m e máximo = 5,60 m - areia extraída e brita produzida</t>
  </si>
  <si>
    <t>0606844</t>
  </si>
  <si>
    <t>Arco metálico galvanizado tipo MP 152S - ovoide - vão = 7,77 m e altura = 7,90 m - aterro rodoviário mínimo = 0,90 m e máximo = 6,80 m - areia e brita comerciais</t>
  </si>
  <si>
    <t>0606834</t>
  </si>
  <si>
    <t>Arco metálico galvanizado tipo MP 152S - ovoide - vão = 7,77 m e altura = 7,90 m - aterro rodoviário mínimo = 0,90 m e máximo = 6,80 m - areia extraída e brita produzida</t>
  </si>
  <si>
    <t>0606847</t>
  </si>
  <si>
    <t>Arco metálico galvanizado tipo MP 152S - ovoide - vão = 8,13 m e altura = 8,01 m - aterro rodoviário mínimo = 0,90 m e máximo = 3,50 m - areia e brita comerciais</t>
  </si>
  <si>
    <t>0606837</t>
  </si>
  <si>
    <t>Arco metálico galvanizado tipo MP 152S - ovoide - vão = 8,13 m e altura = 8,01 m - aterro rodoviário mínimo = 0,90 m e máximo = 3,50 m - areia extraída e brita produzida</t>
  </si>
  <si>
    <t>0606846</t>
  </si>
  <si>
    <t>Arco metálico galvanizado tipo MP 152S - ovoide - vão = 8,36 m e altura = 8,23 m - aterro rodoviário mínimo = 0,90 m e máximo = 4,30 m - areia e brita comerciais</t>
  </si>
  <si>
    <t>0606836</t>
  </si>
  <si>
    <t>Arco metálico galvanizado tipo MP 152S - ovoide - vão = 8,36 m e altura = 8,23 m - aterro rodoviário mínimo = 0,90 m e máximo = 4,30 m - areia extraída e brita produzida</t>
  </si>
  <si>
    <t>0606848</t>
  </si>
  <si>
    <t>Arco metálico galvanizado tipo MP 152S - ovoide - vão = 8,56 m e altura = 8,48 m - aterro rodoviário mínimo = 0,90 m e máximo = 5,30 m - areia e brita comerciais</t>
  </si>
  <si>
    <t>0606838</t>
  </si>
  <si>
    <t>Arco metálico galvanizado tipo MP 152S - ovoide - vão = 8,56 m e altura = 8,48 m - aterro rodoviário mínimo = 0,90 m e máximo = 5,30 m - areia extraída e brita produzida</t>
  </si>
  <si>
    <t>0606849</t>
  </si>
  <si>
    <t>Arco metálico galvanizado tipo MP 152S - ovoide - vão = 8,71 m e altura = 9,32 m - aterro rodoviário mínimo = 0,90 m e máximo = 6,00 m - areia e brita comerciais</t>
  </si>
  <si>
    <t>0606839</t>
  </si>
  <si>
    <t>Arco metálico galvanizado tipo MP 152S - ovoide - vão = 8,71 m e altura = 9,32 m - aterro rodoviário mínimo = 0,90 m e máximo = 6,00 m - areia extraída e brita produzida</t>
  </si>
  <si>
    <t>0606850</t>
  </si>
  <si>
    <t>Arco metálico galvanizado tipo MP 152S - ovoide - vão = 9,15 m e altura = 9,04 m - aterro rodoviário mínimo = 0,90 m e máximo = 4,70 m - areia e brita comerciais</t>
  </si>
  <si>
    <t>0606840</t>
  </si>
  <si>
    <t>Arco metálico galvanizado tipo MP 152S - ovoide - vão = 9,15 m e altura = 9,04 m - aterro rodoviário mínimo = 0,90 m e máximo = 4,70 m - areia extraída e brita produzida</t>
  </si>
  <si>
    <t>0606851</t>
  </si>
  <si>
    <t>Arco metálico galvanizado tipo MP 152S - ovoide - vão = 9,15 m e altura = 9,50 m - aterro rodoviário mínimo = 0,90 m e máximo = 5,70 m - areia e brita comerciais</t>
  </si>
  <si>
    <t>0606841</t>
  </si>
  <si>
    <t>Arco metálico galvanizado tipo MP 152S - ovoide - vão = 9,15 m e altura = 9,50 m - aterro rodoviário mínimo = 0,90 m e máximo = 5,70 m - areia extraída e brita produzida</t>
  </si>
  <si>
    <t>0605604</t>
  </si>
  <si>
    <t>Argamassa de solo-cimento com 10% de cimento e material de jazida - preparo e injeção em tunnel liner</t>
  </si>
  <si>
    <t>m³</t>
  </si>
  <si>
    <t>0605695</t>
  </si>
  <si>
    <t>Bueiro metálico com chapas múltiplas MP 100 com revestimento em epóxi - D = 0,60 m - brita comercial</t>
  </si>
  <si>
    <t>0605607</t>
  </si>
  <si>
    <t>Bueiro metálico com chapas múltiplas MP 100 com revestimento em epóxi - D = 0,60 m - brita produzida</t>
  </si>
  <si>
    <t>0605696</t>
  </si>
  <si>
    <t>Bueiro metálico com chapas múltiplas MP 100 com revestimento em epóxi - D = 0,70 m - brita comercial</t>
  </si>
  <si>
    <t>0605608</t>
  </si>
  <si>
    <t>Bueiro metálico com chapas múltiplas MP 100 com revestimento em epóxi - D = 0,70 m - brita produzida</t>
  </si>
  <si>
    <t>0605697</t>
  </si>
  <si>
    <t>Bueiro metálico com chapas múltiplas MP 100 com revestimento em epóxi - D = 0,80 m - brita comercial</t>
  </si>
  <si>
    <t>0605609</t>
  </si>
  <si>
    <t>Bueiro metálico com chapas múltiplas MP 100 com revestimento em epóxi - D = 0,80 m - brita produzida</t>
  </si>
  <si>
    <t>0605698</t>
  </si>
  <si>
    <t>Bueiro metálico com chapas múltiplas MP 100 com revestimento em epóxi - D = 0,90 m - brita comercial</t>
  </si>
  <si>
    <t>0605610</t>
  </si>
  <si>
    <t>Bueiro metálico com chapas múltiplas MP 100 com revestimento em epóxi - D = 0,90 m - brita produzida</t>
  </si>
  <si>
    <t>0605699</t>
  </si>
  <si>
    <t>Bueiro metálico com chapas múltiplas MP 100 com revestimento em epóxi - D = 1,00 m - brita comercial</t>
  </si>
  <si>
    <t>0605611</t>
  </si>
  <si>
    <t>Bueiro metálico com chapas múltiplas MP 100 com revestimento em epóxi - D = 1,00 m - brita produzida</t>
  </si>
  <si>
    <t>0605700</t>
  </si>
  <si>
    <t>Bueiro metálico com chapas múltiplas MP 100 com revestimento em epóxi - D = 1,10 m - brita comercial</t>
  </si>
  <si>
    <t>0605612</t>
  </si>
  <si>
    <t>Bueiro metálico com chapas múltiplas MP 100 com revestimento em epóxi - D = 1,10 m - brita produzida</t>
  </si>
  <si>
    <t>0605701</t>
  </si>
  <si>
    <t>Bueiro metálico com chapas múltiplas MP 100 com revestimento em epóxi - D = 1,20 m - brita comercial</t>
  </si>
  <si>
    <t>0605613</t>
  </si>
  <si>
    <t>Bueiro metálico com chapas múltiplas MP 100 com revestimento em epóxi - D = 1,20 m - brita produzida</t>
  </si>
  <si>
    <t>0605702</t>
  </si>
  <si>
    <t>Bueiro metálico com chapas múltiplas MP 100 com revestimento em epóxi - D = 1,30 m - brita comercial</t>
  </si>
  <si>
    <t>0605614</t>
  </si>
  <si>
    <t>Bueiro metálico com chapas múltiplas MP 100 com revestimento em epóxi - D = 1,30 m - brita produzida</t>
  </si>
  <si>
    <t>0605703</t>
  </si>
  <si>
    <t>Bueiro metálico com chapas múltiplas MP 100 com revestimento em epóxi - D = 1,40 m - brita comercial</t>
  </si>
  <si>
    <t>0605615</t>
  </si>
  <si>
    <t>Bueiro metálico com chapas múltiplas MP 100 com revestimento em epóxi - D = 1,40 m - brita produzida</t>
  </si>
  <si>
    <t>0605704</t>
  </si>
  <si>
    <t>Bueiro metálico com chapas múltiplas MP 100 com revestimento em epóxi - D = 1,50 m - brita comercial</t>
  </si>
  <si>
    <t>0605616</t>
  </si>
  <si>
    <t>Bueiro metálico com chapas múltiplas MP 100 com revestimento em epóxi - D = 1,50 m - brita produzida</t>
  </si>
  <si>
    <t>0605705</t>
  </si>
  <si>
    <t>Bueiro metálico com chapas múltiplas MP 100 com revestimento em epóxi - D = 1,60 m - brita comercial</t>
  </si>
  <si>
    <t>0605617</t>
  </si>
  <si>
    <t>Bueiro metálico com chapas múltiplas MP 100 com revestimento em epóxi - D = 1,60 m - brita produzida</t>
  </si>
  <si>
    <t>0605706</t>
  </si>
  <si>
    <t>Bueiro metálico com chapas múltiplas MP 100 com revestimento em epóxi - D = 1,70 m - brita comercial</t>
  </si>
  <si>
    <t>0605618</t>
  </si>
  <si>
    <t>Bueiro metálico com chapas múltiplas MP 100 com revestimento em epóxi - D = 1,70 m - brita produzida</t>
  </si>
  <si>
    <t>0605707</t>
  </si>
  <si>
    <t>Bueiro metálico com chapas múltiplas MP 100 com revestimento em epóxi - D = 1,80 m - brita comercial</t>
  </si>
  <si>
    <t>0605619</t>
  </si>
  <si>
    <t>Bueiro metálico com chapas múltiplas MP 100 com revestimento em epóxi - D = 1,80 m - brita produzida</t>
  </si>
  <si>
    <t>0605708</t>
  </si>
  <si>
    <t>Bueiro metálico com chapas múltiplas MP 100 com revestimento em epóxi - D = 1,90 m - brita comercial</t>
  </si>
  <si>
    <t>0605620</t>
  </si>
  <si>
    <t>Bueiro metálico com chapas múltiplas MP 100 com revestimento em epóxi - D = 1,90 m - brita produzida</t>
  </si>
  <si>
    <t>0605709</t>
  </si>
  <si>
    <t>Bueiro metálico com chapas múltiplas MP 100 com revestimento em epóxi - D = 2,00 m - brita comercial</t>
  </si>
  <si>
    <t>0605621</t>
  </si>
  <si>
    <t>Bueiro metálico com chapas múltiplas MP 100 com revestimento em epóxi - D = 2,00 m - brita produzida</t>
  </si>
  <si>
    <t>0605710</t>
  </si>
  <si>
    <t>Bueiro metálico com chapas múltiplas MP 100 com revestimento em epóxi - D = 2,10 m - brita comercial</t>
  </si>
  <si>
    <t>0605622</t>
  </si>
  <si>
    <t>Bueiro metálico com chapas múltiplas MP 100 com revestimento em epóxi - D = 2,10 m - brita produzida</t>
  </si>
  <si>
    <t>0605711</t>
  </si>
  <si>
    <t>Bueiro metálico com chapas múltiplas MP 100 com revestimento em epóxi - D = 2,20 m - brita comercial</t>
  </si>
  <si>
    <t>0605623</t>
  </si>
  <si>
    <t>Bueiro metálico com chapas múltiplas MP 100 com revestimento em epóxi - D = 2,20 m - brita produzida</t>
  </si>
  <si>
    <t>0605712</t>
  </si>
  <si>
    <t>Bueiro metálico com chapas múltiplas MP 100 com revestimento em epóxi - D = 2,30 m - brita comercial</t>
  </si>
  <si>
    <t>0605624</t>
  </si>
  <si>
    <t>Bueiro metálico com chapas múltiplas MP 100 com revestimento em epóxi - D = 2,30 m - brita produzida</t>
  </si>
  <si>
    <t>0605713</t>
  </si>
  <si>
    <t>Bueiro metálico com chapas múltiplas MP 100 com revestimento em epóxi - D = 2,40 m - brita comercial</t>
  </si>
  <si>
    <t>0605625</t>
  </si>
  <si>
    <t>Bueiro metálico com chapas múltiplas MP 100 com revestimento em epóxi - D = 2,40 m - brita produzida</t>
  </si>
  <si>
    <t>0605714</t>
  </si>
  <si>
    <t>Bueiro metálico com chapas múltiplas MP 100 com revestimento em epóxi - D = 2,50 m - brita comercial</t>
  </si>
  <si>
    <t>0605626</t>
  </si>
  <si>
    <t>Bueiro metálico com chapas múltiplas MP 100 com revestimento em epóxi - D = 2,50 m - brita produzida</t>
  </si>
  <si>
    <t>0605715</t>
  </si>
  <si>
    <t>Bueiro metálico com chapas múltiplas MP 100 com revestimento em epóxi - D = 2,60 m - brita comercial</t>
  </si>
  <si>
    <t>0605627</t>
  </si>
  <si>
    <t>Bueiro metálico com chapas múltiplas MP 100 com revestimento em epóxi - D = 2,60 m - brita produzida</t>
  </si>
  <si>
    <t>0605716</t>
  </si>
  <si>
    <t>Bueiro metálico com chapas múltiplas MP 100 com revestimento em epóxi - D = 2,70 m - brita comercial</t>
  </si>
  <si>
    <t>0605628</t>
  </si>
  <si>
    <t>Bueiro metálico com chapas múltiplas MP 100 com revestimento em epóxi - D = 2,70 m - brita produzida</t>
  </si>
  <si>
    <t>0605717</t>
  </si>
  <si>
    <t>Bueiro metálico com chapas múltiplas MP 100 com revestimento em epóxi - D = 2,80 m - brita comercial</t>
  </si>
  <si>
    <t>0605629</t>
  </si>
  <si>
    <t>Bueiro metálico com chapas múltiplas MP 100 com revestimento em epóxi - D = 2,80 m - brita produzida</t>
  </si>
  <si>
    <t>0605651</t>
  </si>
  <si>
    <t>Bueiro metálico com chapas múltiplas MP 100 galvanizadas - D = 0,60 m - brita comercial</t>
  </si>
  <si>
    <t>0605460</t>
  </si>
  <si>
    <t>Bueiro metálico com chapas múltiplas MP 100 galvanizadas - D = 0,60 m - brita produzida</t>
  </si>
  <si>
    <t>0605652</t>
  </si>
  <si>
    <t>Bueiro metálico com chapas múltiplas MP 100 galvanizadas - D = 0,70 m - brita comercial</t>
  </si>
  <si>
    <t>0605461</t>
  </si>
  <si>
    <t>Bueiro metálico com chapas múltiplas MP 100 galvanizadas - D = 0,70 m - brita produzida</t>
  </si>
  <si>
    <t>0605653</t>
  </si>
  <si>
    <t>Bueiro metálico com chapas múltiplas MP 100 galvanizadas - D = 0,80 m - brita comercial</t>
  </si>
  <si>
    <t>0605462</t>
  </si>
  <si>
    <t>Bueiro metálico com chapas múltiplas MP 100 galvanizadas - D = 0,80 m - brita produzida</t>
  </si>
  <si>
    <t>0605654</t>
  </si>
  <si>
    <t>Bueiro metálico com chapas múltiplas MP 100 galvanizadas - D = 0,90 m - brita comercial</t>
  </si>
  <si>
    <t>0605463</t>
  </si>
  <si>
    <t>Bueiro metálico com chapas múltiplas MP 100 galvanizadas - D = 0,90 m - brita produzida</t>
  </si>
  <si>
    <t>0605655</t>
  </si>
  <si>
    <t>Bueiro metálico com chapas múltiplas MP 100 galvanizadas - D = 1,00 m - brita comercial</t>
  </si>
  <si>
    <t>0605464</t>
  </si>
  <si>
    <t>Bueiro metálico com chapas múltiplas MP 100 galvanizadas - D = 1,00 m - brita produzida</t>
  </si>
  <si>
    <t>0605656</t>
  </si>
  <si>
    <t>Bueiro metálico com chapas múltiplas MP 100 galvanizadas - D = 1,10 m - brita comercial</t>
  </si>
  <si>
    <t>0605465</t>
  </si>
  <si>
    <t>Bueiro metálico com chapas múltiplas MP 100 galvanizadas - D = 1,10 m - brita produzida</t>
  </si>
  <si>
    <t>0605657</t>
  </si>
  <si>
    <t>Bueiro metálico com chapas múltiplas MP 100 galvanizadas - D = 1,20 m - brita comercial</t>
  </si>
  <si>
    <t>0605466</t>
  </si>
  <si>
    <t>Bueiro metálico com chapas múltiplas MP 100 galvanizadas - D = 1,20 m - brita produzida</t>
  </si>
  <si>
    <t>0605658</t>
  </si>
  <si>
    <t>Bueiro metálico com chapas múltiplas MP 100 galvanizadas - D = 1,30 m - brita comercial</t>
  </si>
  <si>
    <t>0605467</t>
  </si>
  <si>
    <t>Bueiro metálico com chapas múltiplas MP 100 galvanizadas - D = 1,30 m - brita produzida</t>
  </si>
  <si>
    <t>0605659</t>
  </si>
  <si>
    <t>Bueiro metálico com chapas múltiplas MP 100 galvanizadas - D = 1,40 m - brita comercial</t>
  </si>
  <si>
    <t>0605468</t>
  </si>
  <si>
    <t>Bueiro metálico com chapas múltiplas MP 100 galvanizadas - D = 1,40 m - brita produzida</t>
  </si>
  <si>
    <t>0605660</t>
  </si>
  <si>
    <t>Bueiro metálico com chapas múltiplas MP 100 galvanizadas - D = 1,50 m - brita comercial</t>
  </si>
  <si>
    <t>0605469</t>
  </si>
  <si>
    <t>Bueiro metálico com chapas múltiplas MP 100 galvanizadas - D = 1,50 m - brita produzida</t>
  </si>
  <si>
    <t>0605661</t>
  </si>
  <si>
    <t>Bueiro metálico com chapas múltiplas MP 100 galvanizadas - D = 1,60 m - brita comercial</t>
  </si>
  <si>
    <t>0605470</t>
  </si>
  <si>
    <t>Bueiro metálico com chapas múltiplas MP 100 galvanizadas - D = 1,60 m - brita produzida</t>
  </si>
  <si>
    <t>0605662</t>
  </si>
  <si>
    <t>Bueiro metálico com chapas múltiplas MP 100 galvanizadas - D = 1,70 m - brita comercial</t>
  </si>
  <si>
    <t>0605471</t>
  </si>
  <si>
    <t>Bueiro metálico com chapas múltiplas MP 100 galvanizadas - D = 1,70 m - brita produzida</t>
  </si>
  <si>
    <t>0605663</t>
  </si>
  <si>
    <t>Bueiro metálico com chapas múltiplas MP 100 galvanizadas - D = 1,80 m - brita comercial</t>
  </si>
  <si>
    <t>0605472</t>
  </si>
  <si>
    <t>Bueiro metálico com chapas múltiplas MP 100 galvanizadas - D = 1,80 m - brita produzida</t>
  </si>
  <si>
    <t>0605664</t>
  </si>
  <si>
    <t>Bueiro metálico com chapas múltiplas MP 100 galvanizadas - D = 1,90 m - brita comercial</t>
  </si>
  <si>
    <t>0605473</t>
  </si>
  <si>
    <t>Bueiro metálico com chapas múltiplas MP 100 galvanizadas - D = 1,90 m - brita produzida</t>
  </si>
  <si>
    <t>0605665</t>
  </si>
  <si>
    <t>Bueiro metálico com chapas múltiplas MP 100 galvanizadas - D = 2,00 m - brita comercial</t>
  </si>
  <si>
    <t>0605474</t>
  </si>
  <si>
    <t>Bueiro metálico com chapas múltiplas MP 100 galvanizadas - D = 2,00 m - brita produzida</t>
  </si>
  <si>
    <t>0605666</t>
  </si>
  <si>
    <t>Bueiro metálico com chapas múltiplas MP 100 galvanizadas - D = 2,10 m - brita comercial</t>
  </si>
  <si>
    <t>0605475</t>
  </si>
  <si>
    <t>Bueiro metálico com chapas múltiplas MP 100 galvanizadas - D = 2,10 m - brita produzida</t>
  </si>
  <si>
    <t>0605667</t>
  </si>
  <si>
    <t>Bueiro metálico com chapas múltiplas MP 100 galvanizadas - D = 2,20 m - brita comercial</t>
  </si>
  <si>
    <t>0605476</t>
  </si>
  <si>
    <t>Bueiro metálico com chapas múltiplas MP 100 galvanizadas - D = 2,20 m - brita produzida</t>
  </si>
  <si>
    <t>0605668</t>
  </si>
  <si>
    <t>Bueiro metálico com chapas múltiplas MP 100 galvanizadas - D = 2,30 m - brita comercial</t>
  </si>
  <si>
    <t>0605477</t>
  </si>
  <si>
    <t>Bueiro metálico com chapas múltiplas MP 100 galvanizadas - D = 2,30 m - brita produzida</t>
  </si>
  <si>
    <t>0605669</t>
  </si>
  <si>
    <t>Bueiro metálico com chapas múltiplas MP 100 galvanizadas - D = 2,40 m - brita comercial</t>
  </si>
  <si>
    <t>0605478</t>
  </si>
  <si>
    <t>Bueiro metálico com chapas múltiplas MP 100 galvanizadas - D = 2,40 m - brita produzida</t>
  </si>
  <si>
    <t>0605670</t>
  </si>
  <si>
    <t>Bueiro metálico com chapas múltiplas MP 100 galvanizadas - D = 2,50 m - brita comercial</t>
  </si>
  <si>
    <t>0605479</t>
  </si>
  <si>
    <t>Bueiro metálico com chapas múltiplas MP 100 galvanizadas - D = 2,50 m - brita produzida</t>
  </si>
  <si>
    <t>0605671</t>
  </si>
  <si>
    <t>Bueiro metálico com chapas múltiplas MP 100 galvanizadas - D = 2,60 m - brita comercial</t>
  </si>
  <si>
    <t>0605480</t>
  </si>
  <si>
    <t>Bueiro metálico com chapas múltiplas MP 100 galvanizadas - D = 2,60 m - brita produzida</t>
  </si>
  <si>
    <t>0605672</t>
  </si>
  <si>
    <t>Bueiro metálico com chapas múltiplas MP 100 galvanizadas - D = 2,70 m - brita comercial</t>
  </si>
  <si>
    <t>0605481</t>
  </si>
  <si>
    <t>Bueiro metálico com chapas múltiplas MP 100 galvanizadas - D = 2,70 m - brita produzida</t>
  </si>
  <si>
    <t>0605673</t>
  </si>
  <si>
    <t>Bueiro metálico com chapas múltiplas MP 100 galvanizadas - D = 2,80 m - brita comercial</t>
  </si>
  <si>
    <t>0605482</t>
  </si>
  <si>
    <t>Bueiro metálico com chapas múltiplas MP 100 galvanizadas - D = 2,80 m - brita produzida</t>
  </si>
  <si>
    <t>0605718</t>
  </si>
  <si>
    <t>Bueiro metálico com chapas múltiplas MP 152 com revestimento em epóxi - D = 1,50 m - brita comercial</t>
  </si>
  <si>
    <t>0605630</t>
  </si>
  <si>
    <t>Bueiro metálico com chapas múltiplas MP 152 com revestimento em epóxi - D = 1,50 m - brita produzida</t>
  </si>
  <si>
    <t>0605719</t>
  </si>
  <si>
    <t>Bueiro metálico com chapas múltiplas MP 152 com revestimento em epóxi - D = 1,80 m - brita comercial</t>
  </si>
  <si>
    <t>0605631</t>
  </si>
  <si>
    <t>Bueiro metálico com chapas múltiplas MP 152 com revestimento em epóxi - D = 1,80 m - brita produzida</t>
  </si>
  <si>
    <t>0605720</t>
  </si>
  <si>
    <t>Bueiro metálico com chapas múltiplas MP 152 com revestimento em epóxi - D = 1,90 m - brita comercial</t>
  </si>
  <si>
    <t>0605632</t>
  </si>
  <si>
    <t>Bueiro metálico com chapas múltiplas MP 152 com revestimento em epóxi - D = 1,90 m - brita produzida</t>
  </si>
  <si>
    <t>0605721</t>
  </si>
  <si>
    <t>Bueiro metálico com chapas múltiplas MP 152 com revestimento em epóxi - D = 2,15 m - brita comercial</t>
  </si>
  <si>
    <t>0605633</t>
  </si>
  <si>
    <t>Bueiro metálico com chapas múltiplas MP 152 com revestimento em epóxi - D = 2,15 m - brita produzida</t>
  </si>
  <si>
    <t>0605722</t>
  </si>
  <si>
    <t>Bueiro metálico com chapas múltiplas MP 152 com revestimento em epóxi - D = 2,30 m - brita comercial</t>
  </si>
  <si>
    <t>0605634</t>
  </si>
  <si>
    <t>Bueiro metálico com chapas múltiplas MP 152 com revestimento em epóxi - D = 2,30 m - brita produzida</t>
  </si>
  <si>
    <t>0605723</t>
  </si>
  <si>
    <t>Bueiro metálico com chapas múltiplas MP 152 com revestimento em epóxi - D = 2,65 m - brita comercial</t>
  </si>
  <si>
    <t>0605635</t>
  </si>
  <si>
    <t>Bueiro metálico com chapas múltiplas MP 152 com revestimento em epóxi - D = 2,65 m - brita produzida</t>
  </si>
  <si>
    <t>0605724</t>
  </si>
  <si>
    <t>Bueiro metálico com chapas múltiplas MP 152 com revestimento em epóxi - D = 3,05 m - brita comercial</t>
  </si>
  <si>
    <t>0605636</t>
  </si>
  <si>
    <t>Bueiro metálico com chapas múltiplas MP 152 com revestimento em epóxi - D = 3,05 m - brita produzida</t>
  </si>
  <si>
    <t>0605725</t>
  </si>
  <si>
    <t>Bueiro metálico com chapas múltiplas MP 152 com revestimento em epóxi - D = 3,20 m - brita comercial</t>
  </si>
  <si>
    <t>0605637</t>
  </si>
  <si>
    <t>Bueiro metálico com chapas múltiplas MP 152 com revestimento em epóxi - D = 3,20 m - brita produzida</t>
  </si>
  <si>
    <t>0605726</t>
  </si>
  <si>
    <t>Bueiro metálico com chapas múltiplas MP 152 com revestimento em epóxi - D = 3,40 m - brita comercial</t>
  </si>
  <si>
    <t>0605638</t>
  </si>
  <si>
    <t>Bueiro metálico com chapas múltiplas MP 152 com revestimento em epóxi - D = 3,40 m - brita produzida</t>
  </si>
  <si>
    <t>0605727</t>
  </si>
  <si>
    <t>Bueiro metálico com chapas múltiplas MP 152 com revestimento em epóxi - D = 3,65 m - brita comercial</t>
  </si>
  <si>
    <t>0605639</t>
  </si>
  <si>
    <t>Bueiro metálico com chapas múltiplas MP 152 com revestimento em epóxi - D = 3,65 m - brita produzida</t>
  </si>
  <si>
    <t>0605728</t>
  </si>
  <si>
    <t>Bueiro metálico com chapas múltiplas MP 152 com revestimento em epóxi - D = 3,80 m - brita comercial</t>
  </si>
  <si>
    <t>0605640</t>
  </si>
  <si>
    <t>Bueiro metálico com chapas múltiplas MP 152 com revestimento em epóxi - D = 3,80 m - brita produzida</t>
  </si>
  <si>
    <t>0605729</t>
  </si>
  <si>
    <t>Bueiro metálico com chapas múltiplas MP 152 com revestimento em epóxi - D = 4,20 m - brita comercial</t>
  </si>
  <si>
    <t>0605641</t>
  </si>
  <si>
    <t>Bueiro metálico com chapas múltiplas MP 152 com revestimento em epóxi - D = 4,20 m - brita produzida</t>
  </si>
  <si>
    <t>0605730</t>
  </si>
  <si>
    <t>Bueiro metálico com chapas múltiplas MP 152 com revestimento em epóxi - D = 4,60 m - brita comercial</t>
  </si>
  <si>
    <t>0605642</t>
  </si>
  <si>
    <t>Bueiro metálico com chapas múltiplas MP 152 com revestimento em epóxi - D = 4,60 m - brita produzida</t>
  </si>
  <si>
    <t>0605731</t>
  </si>
  <si>
    <t>Bueiro metálico com chapas múltiplas MP 152 com revestimento em epóxi - D = 4,80 m - brita comercial</t>
  </si>
  <si>
    <t>0605643</t>
  </si>
  <si>
    <t>Bueiro metálico com chapas múltiplas MP 152 com revestimento em epóxi - D = 4,80 m - brita produzida</t>
  </si>
  <si>
    <t>0605732</t>
  </si>
  <si>
    <t>Bueiro metálico com chapas múltiplas MP 152 com revestimento em epóxi - D = 5,00 m - brita comercial</t>
  </si>
  <si>
    <t>0605644</t>
  </si>
  <si>
    <t>Bueiro metálico com chapas múltiplas MP 152 com revestimento em epóxi - D = 5,00 m - brita produzida</t>
  </si>
  <si>
    <t>0605733</t>
  </si>
  <si>
    <t>Bueiro metálico com chapas múltiplas MP 152 com revestimento em epóxi - D = 5,35 m - brita comercial</t>
  </si>
  <si>
    <t>0605645</t>
  </si>
  <si>
    <t>Bueiro metálico com chapas múltiplas MP 152 com revestimento em epóxi - D = 5,35 m - brita produzida</t>
  </si>
  <si>
    <t>0605734</t>
  </si>
  <si>
    <t>Bueiro metálico com chapas múltiplas MP 152 com revestimento em epóxi - D = 5,70 m - brita comercial</t>
  </si>
  <si>
    <t>0605646</t>
  </si>
  <si>
    <t>Bueiro metálico com chapas múltiplas MP 152 com revestimento em epóxi - D = 5,70 m - brita produzida</t>
  </si>
  <si>
    <t>0605735</t>
  </si>
  <si>
    <t>Bueiro metálico com chapas múltiplas MP 152 com revestimento em epóxi - D = 6,10 m - brita comercial</t>
  </si>
  <si>
    <t>0605647</t>
  </si>
  <si>
    <t>Bueiro metálico com chapas múltiplas MP 152 com revestimento em epóxi - D = 6,10 m - brita produzida</t>
  </si>
  <si>
    <t>0605736</t>
  </si>
  <si>
    <t>Bueiro metálico com chapas múltiplas MP 152 com revestimento em epóxi - D = 6,50 m - brita comercial</t>
  </si>
  <si>
    <t>0605648</t>
  </si>
  <si>
    <t>Bueiro metálico com chapas múltiplas MP 152 com revestimento em epóxi - D = 6,50 m - brita produzida</t>
  </si>
  <si>
    <t>0605737</t>
  </si>
  <si>
    <t>Bueiro metálico com chapas múltiplas MP 152 com revestimento em epóxi - D = 6,85 m - brita comercial</t>
  </si>
  <si>
    <t>0605649</t>
  </si>
  <si>
    <t>Bueiro metálico com chapas múltiplas MP 152 com revestimento em epóxi - D = 6,85 m - brita produzida</t>
  </si>
  <si>
    <t>0605738</t>
  </si>
  <si>
    <t>Bueiro metálico com chapas múltiplas MP 152 com revestimento em epóxi - D = 7,25 m - brita comercial</t>
  </si>
  <si>
    <t>0605650</t>
  </si>
  <si>
    <t>Bueiro metálico com chapas múltiplas MP 152 com revestimento em epóxi - D = 7,25 m - brita produzida</t>
  </si>
  <si>
    <t>0605674</t>
  </si>
  <si>
    <t>Bueiro metálico com chapas múltiplas MP 152 galvanizadas - D = 1,50 m - brita comercial</t>
  </si>
  <si>
    <t>0605483</t>
  </si>
  <si>
    <t>Bueiro metálico com chapas múltiplas MP 152 galvanizadas - D = 1,50 m - brita produzida</t>
  </si>
  <si>
    <t>0605675</t>
  </si>
  <si>
    <t>Bueiro metálico com chapas múltiplas MP 152 galvanizadas - D = 1,80 m - brita comercial</t>
  </si>
  <si>
    <t>0605484</t>
  </si>
  <si>
    <t>Bueiro metálico com chapas múltiplas MP 152 galvanizadas - D = 1,80 m - brita produzida</t>
  </si>
  <si>
    <t>0605676</t>
  </si>
  <si>
    <t>Bueiro metálico com chapas múltiplas MP 152 galvanizadas - D = 1,90 m - brita comercial</t>
  </si>
  <si>
    <t>0605485</t>
  </si>
  <si>
    <t>Bueiro metálico com chapas múltiplas MP 152 galvanizadas - D = 1,90 m - brita produzida</t>
  </si>
  <si>
    <t>0605677</t>
  </si>
  <si>
    <t>Bueiro metálico com chapas múltiplas MP 152 galvanizadas - D = 2,15 m - brita comercial</t>
  </si>
  <si>
    <t>0605486</t>
  </si>
  <si>
    <t>Bueiro metálico com chapas múltiplas MP 152 galvanizadas - D = 2,15 m - brita produzida</t>
  </si>
  <si>
    <t>0605678</t>
  </si>
  <si>
    <t>Bueiro metálico com chapas múltiplas MP 152 galvanizadas - D = 2,30 m - brita comercial</t>
  </si>
  <si>
    <t>0605487</t>
  </si>
  <si>
    <t>Bueiro metálico com chapas múltiplas MP 152 galvanizadas - D = 2,30 m - brita produzida</t>
  </si>
  <si>
    <t>0605679</t>
  </si>
  <si>
    <t>Bueiro metálico com chapas múltiplas MP 152 galvanizadas - D = 2,65 m - brita comercial</t>
  </si>
  <si>
    <t>0605488</t>
  </si>
  <si>
    <t>Bueiro metálico com chapas múltiplas MP 152 galvanizadas - D = 2,65 m - brita produzida</t>
  </si>
  <si>
    <t>0605680</t>
  </si>
  <si>
    <t>Bueiro metálico com chapas múltiplas MP 152 galvanizadas - D = 3,05 m - brita comercial</t>
  </si>
  <si>
    <t>0605489</t>
  </si>
  <si>
    <t>Bueiro metálico com chapas múltiplas MP 152 galvanizadas - D = 3,05 m - brita produzida</t>
  </si>
  <si>
    <t>0605681</t>
  </si>
  <si>
    <t>Bueiro metálico com chapas múltiplas MP 152 galvanizadas - D = 3,20 m - brita comercial</t>
  </si>
  <si>
    <t>0605490</t>
  </si>
  <si>
    <t>Bueiro metálico com chapas múltiplas MP 152 galvanizadas - D = 3,20 m - brita produzida</t>
  </si>
  <si>
    <t>0605682</t>
  </si>
  <si>
    <t>Bueiro metálico com chapas múltiplas MP 152 galvanizadas - D = 3,40 m - brita comercial</t>
  </si>
  <si>
    <t>0605491</t>
  </si>
  <si>
    <t>Bueiro metálico com chapas múltiplas MP 152 galvanizadas - D = 3,40 m - brita produzida</t>
  </si>
  <si>
    <t>0605683</t>
  </si>
  <si>
    <t>Bueiro metálico com chapas múltiplas MP 152 galvanizadas - D = 3,65 m - brita comercial</t>
  </si>
  <si>
    <t>0605492</t>
  </si>
  <si>
    <t>Bueiro metálico com chapas múltiplas MP 152 galvanizadas - D = 3,65 m - brita produzida</t>
  </si>
  <si>
    <t>0605684</t>
  </si>
  <si>
    <t>Bueiro metálico com chapas múltiplas MP 152 galvanizadas - D = 3,80 m - brita comercial</t>
  </si>
  <si>
    <t>0605493</t>
  </si>
  <si>
    <t>Bueiro metálico com chapas múltiplas MP 152 galvanizadas - D = 3,80 m - brita produzida</t>
  </si>
  <si>
    <t>0605685</t>
  </si>
  <si>
    <t>Bueiro metálico com chapas múltiplas MP 152 galvanizadas - D = 4,20 m - brita comercial</t>
  </si>
  <si>
    <t>0605494</t>
  </si>
  <si>
    <t>Bueiro metálico com chapas múltiplas MP 152 galvanizadas - D = 4,20 m - brita produzida</t>
  </si>
  <si>
    <t>0605686</t>
  </si>
  <si>
    <t>Bueiro metálico com chapas múltiplas MP 152 galvanizadas - D = 4,60 m - brita comercial</t>
  </si>
  <si>
    <t>0605495</t>
  </si>
  <si>
    <t>Bueiro metálico com chapas múltiplas MP 152 galvanizadas - D = 4,60 m - brita produzida</t>
  </si>
  <si>
    <t>0605687</t>
  </si>
  <si>
    <t>Bueiro metálico com chapas múltiplas MP 152 galvanizadas - D = 4,80 m - brita comercial</t>
  </si>
  <si>
    <t>0605496</t>
  </si>
  <si>
    <t>Bueiro metálico com chapas múltiplas MP 152 galvanizadas - D = 4,80 m - brita produzida</t>
  </si>
  <si>
    <t>0605688</t>
  </si>
  <si>
    <t>Bueiro metálico com chapas múltiplas MP 152 galvanizadas - D = 5,00 m - brita comercial</t>
  </si>
  <si>
    <t>0605497</t>
  </si>
  <si>
    <t>Bueiro metálico com chapas múltiplas MP 152 galvanizadas - D = 5,00 m - brita produzida</t>
  </si>
  <si>
    <t>0605689</t>
  </si>
  <si>
    <t>Bueiro metálico com chapas múltiplas MP 152 galvanizadas - D = 5,35 m - brita comercial</t>
  </si>
  <si>
    <t>0605498</t>
  </si>
  <si>
    <t>Bueiro metálico com chapas múltiplas MP 152 galvanizadas - D = 5,35 m - brita produzida</t>
  </si>
  <si>
    <t>0605690</t>
  </si>
  <si>
    <t>Bueiro metálico com chapas múltiplas MP 152 galvanizadas - D = 5,70 m - brita comercial</t>
  </si>
  <si>
    <t>0605499</t>
  </si>
  <si>
    <t>Bueiro metálico com chapas múltiplas MP 152 galvanizadas - D = 5,70 m - brita produzida</t>
  </si>
  <si>
    <t>0605691</t>
  </si>
  <si>
    <t>Bueiro metálico com chapas múltiplas MP 152 galvanizadas - D = 6,10 m - brita comercial</t>
  </si>
  <si>
    <t>0605500</t>
  </si>
  <si>
    <t>Bueiro metálico com chapas múltiplas MP 152 galvanizadas - D = 6,10 m - brita produzida</t>
  </si>
  <si>
    <t>0605692</t>
  </si>
  <si>
    <t>Bueiro metálico com chapas múltiplas MP 152 galvanizadas - D = 6,50 m - brita comercial</t>
  </si>
  <si>
    <t>0605501</t>
  </si>
  <si>
    <t>Bueiro metálico com chapas múltiplas MP 152 galvanizadas - D = 6,50 m - brita produzida</t>
  </si>
  <si>
    <t>0605693</t>
  </si>
  <si>
    <t>Bueiro metálico com chapas múltiplas MP 152 galvanizadas - D = 6,85 m - brita comercial</t>
  </si>
  <si>
    <t>0605502</t>
  </si>
  <si>
    <t>Bueiro metálico com chapas múltiplas MP 152 galvanizadas - D = 6,85 m - brita produzida</t>
  </si>
  <si>
    <t>0605694</t>
  </si>
  <si>
    <t>Bueiro metálico com chapas múltiplas MP 152 galvanizadas - D = 7,25 m - brita comercial</t>
  </si>
  <si>
    <t>0605503</t>
  </si>
  <si>
    <t>Bueiro metálico com chapas múltiplas MP 152 galvanizadas - D = 7,25 m - brita produzida</t>
  </si>
  <si>
    <t>0606433</t>
  </si>
  <si>
    <t>Bueiro metálico com chapas múltiplas MP 152 galvanizadas - lenticular - vão = 1,95 m e altura = 1,40 m - aterro rodoviário mínimo = 0,60 m e máximo = 8,40 m - brita comercial</t>
  </si>
  <si>
    <t>0606343</t>
  </si>
  <si>
    <t>Bueiro metálico com chapas múltiplas MP 152 galvanizadas - lenticular - vão = 1,95 m e altura = 1,40 m - aterro rodoviário mínimo = 0,60 m e máximo = 8,40 m - brita produzida</t>
  </si>
  <si>
    <t>0606434</t>
  </si>
  <si>
    <t>Bueiro metálico com chapas múltiplas MP 152 galvanizadas - lenticular - vão = 2,15 m e altura = 1,50 m - aterro rodoviário mínimo = 0,60 m e máximo = 7,50 m - brita comercial</t>
  </si>
  <si>
    <t>0606344</t>
  </si>
  <si>
    <t>Bueiro metálico com chapas múltiplas MP 152 galvanizadas - lenticular - vão = 2,15 m e altura = 1,50 m - aterro rodoviário mínimo = 0,60 m e máximo = 7,50 m - brita produzida</t>
  </si>
  <si>
    <t>0606435</t>
  </si>
  <si>
    <t>Bueiro metálico com chapas múltiplas MP 152 galvanizadas - lenticular - vão = 2,30 m e altura = 1,60 m - aterro rodoviário mínimo = 0,60 m e máximo = 7,20 m - brita comercial</t>
  </si>
  <si>
    <t>0606345</t>
  </si>
  <si>
    <t>Bueiro metálico com chapas múltiplas MP 152 galvanizadas - lenticular - vão = 2,30 m e altura = 1,60 m - aterro rodoviário mínimo = 0,60 m e máximo = 7,20 m - brita produzida</t>
  </si>
  <si>
    <t>0606436</t>
  </si>
  <si>
    <t>Bueiro metálico com chapas múltiplas MP 152 galvanizadas - lenticular - vão = 2,55 m e altura = 1,65 m - aterro rodoviário mínimo = 0,60 m e máximo = 6,50 m - brita comercial</t>
  </si>
  <si>
    <t>0606346</t>
  </si>
  <si>
    <t>Bueiro metálico com chapas múltiplas MP 152 galvanizadas - lenticular - vão = 2,55 m e altura = 1,65 m - aterro rodoviário mínimo = 0,60 m e máximo = 6,50 m - brita produzida</t>
  </si>
  <si>
    <t>0606437</t>
  </si>
  <si>
    <t>Bueiro metálico com chapas múltiplas MP 152 galvanizadas - lenticular - vão = 2,70 m e altura = 1,85 m - aterro rodoviário mínimo = 0,60 m e máximo = 6,60 m - brita comercial</t>
  </si>
  <si>
    <t>0606347</t>
  </si>
  <si>
    <t>Bueiro metálico com chapas múltiplas MP 152 galvanizadas - lenticular - vão = 2,70 m e altura = 1,85 m - aterro rodoviário mínimo = 0,60 m e máximo = 6,60 m - brita produzida</t>
  </si>
  <si>
    <t>0606438</t>
  </si>
  <si>
    <t>Bueiro metálico com chapas múltiplas MP 152 galvanizadas - lenticular - vão = 2,75 m e altura = 1,90 m - aterro rodoviário mínimo = 0,60 m e máximo = 6,50 m - brita comercial</t>
  </si>
  <si>
    <t>0606348</t>
  </si>
  <si>
    <t>Bueiro metálico com chapas múltiplas MP 152 galvanizadas - lenticular - vão = 2,75 m e altura = 1,90 m - aterro rodoviário mínimo = 0,60 m e máximo = 6,50 m - brita produzida</t>
  </si>
  <si>
    <t>0606439</t>
  </si>
  <si>
    <t>Bueiro metálico com chapas múltiplas MP 152 galvanizadas - lenticular - vão = 3,00 m e altura = 2,00 m - aterro rodoviário mínimo = 0,60 m e máximo = 6,00 m - brita comercial</t>
  </si>
  <si>
    <t>0606349</t>
  </si>
  <si>
    <t>Bueiro metálico com chapas múltiplas MP 152 galvanizadas - lenticular - vão = 3,00 m e altura = 2,00 m - aterro rodoviário mínimo = 0,60 m e máximo = 6,00 m - brita produzida</t>
  </si>
  <si>
    <t>0606440</t>
  </si>
  <si>
    <t>Bueiro metálico com chapas múltiplas MP 152 galvanizadas - lenticular - vão = 3,20 m e altura = 2,10 m - aterro rodoviário mínimo = 0,60 m e máximo = 5,60 m - brita comercial</t>
  </si>
  <si>
    <t>0606350</t>
  </si>
  <si>
    <t>Bueiro metálico com chapas múltiplas MP 152 galvanizadas - lenticular - vão = 3,20 m e altura = 2,10 m - aterro rodoviário mínimo = 0,60 m e máximo = 5,60 m - brita produzida</t>
  </si>
  <si>
    <t>0606441</t>
  </si>
  <si>
    <t>Bueiro metálico com chapas múltiplas MP 152 galvanizadas - lenticular - vão = 3,35 m e altura = 2,15 m - aterro rodoviário mínimo = 0,60 m e máximo = 5,30 m - brita comercial</t>
  </si>
  <si>
    <t>0606351</t>
  </si>
  <si>
    <t>Bueiro metálico com chapas múltiplas MP 152 galvanizadas - lenticular - vão = 3,35 m e altura = 2,15 m - aterro rodoviário mínimo = 0,60 m e máximo = 5,30 m - brita produzida</t>
  </si>
  <si>
    <t>0606442</t>
  </si>
  <si>
    <t>Bueiro metálico com chapas múltiplas MP 152 galvanizadas - lenticular - vão = 3,55 m e altura = 2,25 m - aterro rodoviário mínimo = 0,60 m e máximo = 5,00 m - brita comercial</t>
  </si>
  <si>
    <t>0606352</t>
  </si>
  <si>
    <t>Bueiro metálico com chapas múltiplas MP 152 galvanizadas - lenticular - vão = 3,55 m e altura = 2,25 m - aterro rodoviário mínimo = 0,60 m e máximo = 5,00 m - brita produzida</t>
  </si>
  <si>
    <t>0606443</t>
  </si>
  <si>
    <t>Bueiro metálico com chapas múltiplas MP 152 galvanizadas - lenticular - vão = 3,70 m e altura = 2,35 m - aterro rodoviário mínimo = 0,60 m e máximo = 4,90 m - brita comercial</t>
  </si>
  <si>
    <t>0606353</t>
  </si>
  <si>
    <t>Bueiro metálico com chapas múltiplas MP 152 galvanizadas - lenticular - vão = 3,70 m e altura = 2,35 m - aterro rodoviário mínimo = 0,60 m e máximo = 4,90 m - brita produzida</t>
  </si>
  <si>
    <t>0606444</t>
  </si>
  <si>
    <t>Bueiro metálico com chapas múltiplas MP 152 galvanizadas - lenticular - vão = 3,90 m e altura = 2,45 m - aterro rodoviário mínimo = 0,60 m e máximo = 4,60 m - brita comercial</t>
  </si>
  <si>
    <t>0606354</t>
  </si>
  <si>
    <t>Bueiro metálico com chapas múltiplas MP 152 galvanizadas - lenticular - vão = 3,90 m e altura = 2,45 m - aterro rodoviário mínimo = 0,60 m e máximo = 4,60 m - brita produzida</t>
  </si>
  <si>
    <t>0606445</t>
  </si>
  <si>
    <t>Bueiro metálico com chapas múltiplas MP 152 galvanizadas - lenticular - vão = 4,00 m e altura = 2,55 m - aterro rodoviário mínimo = 0,60 m e máximo = 4,50 m - brita comercial</t>
  </si>
  <si>
    <t>0606355</t>
  </si>
  <si>
    <t>Bueiro metálico com chapas múltiplas MP 152 galvanizadas - lenticular - vão = 4,00 m e altura = 2,55 m - aterro rodoviário mínimo = 0,60 m e máximo = 4,50 m - brita produzida</t>
  </si>
  <si>
    <t>0606446</t>
  </si>
  <si>
    <t>Bueiro metálico com chapas múltiplas MP 152 galvanizadas - lenticular - vão = 4,15 m e altura = 2,80 m - aterro rodoviário mínimo = 0,60 m e máximo = 6,80 m - brita comercial</t>
  </si>
  <si>
    <t>0606356</t>
  </si>
  <si>
    <t>Bueiro metálico com chapas múltiplas MP 152 galvanizadas - lenticular - vão = 4,15 m e altura = 2,80 m - aterro rodoviário mínimo = 0,60 m e máximo = 6,80 m - brita produzida</t>
  </si>
  <si>
    <t>0606447</t>
  </si>
  <si>
    <t>Bueiro metálico com chapas múltiplas MP 152 galvanizadas - lenticular - vão = 4,40 m e altura = 2,90 m - aterro rodoviário mínimo = 0,60 m e máximo = 6,40 m - brita comercial</t>
  </si>
  <si>
    <t>0606357</t>
  </si>
  <si>
    <t>Bueiro metálico com chapas múltiplas MP 152 galvanizadas - lenticular - vão = 4,40 m e altura = 2,90 m - aterro rodoviário mínimo = 0,60 m e máximo = 6,40 m - brita produzida</t>
  </si>
  <si>
    <t>0606448</t>
  </si>
  <si>
    <t>Bueiro metálico com chapas múltiplas MP 152 galvanizadas - lenticular - vão = 4,60 m e altura = 3,00 m - aterro rodoviário mínimo = 0,60 m e máximo = 6,10 m - brita comercial</t>
  </si>
  <si>
    <t>0606358</t>
  </si>
  <si>
    <t>Bueiro metálico com chapas múltiplas MP 152 galvanizadas - lenticular - vão = 4,60 m e altura = 3,00 m - aterro rodoviário mínimo = 0,60 m e máximo = 6,10 m - brita produzida</t>
  </si>
  <si>
    <t>0606449</t>
  </si>
  <si>
    <t>Bueiro metálico com chapas múltiplas MP 152 galvanizadas - lenticular - vão = 4,80 m e altura = 3,05 m - aterro rodoviário mínimo = 0,60 m e máximo = 5,80 m - brita comercial</t>
  </si>
  <si>
    <t>0606359</t>
  </si>
  <si>
    <t>Bueiro metálico com chapas múltiplas MP 152 galvanizadas - lenticular - vão = 4,80 m e altura = 3,05 m - aterro rodoviário mínimo = 0,60 m e máximo = 5,80 m - brita produzida</t>
  </si>
  <si>
    <t>0606450</t>
  </si>
  <si>
    <t>Bueiro metálico com chapas múltiplas MP 152 galvanizadas - lenticular - vão = 5,05 m e altura = 3,15 m - aterro rodoviário mínimo = 0,90 m e máximo = 5,50 m - brita comercial</t>
  </si>
  <si>
    <t>0606360</t>
  </si>
  <si>
    <t>Bueiro metálico com chapas múltiplas MP 152 galvanizadas - lenticular - vão = 5,05 m e altura = 3,15 m - aterro rodoviário mínimo = 0,90 m e máximo = 5,50 m - brita produzida</t>
  </si>
  <si>
    <t>0606451</t>
  </si>
  <si>
    <t>Bueiro metálico com chapas múltiplas MP 152 galvanizadas - lenticular - vão = 5,25 m e altura = 3,25 m - aterro rodoviário mínimo = 0,90 m e máximo = 5,30 m - brita comercial</t>
  </si>
  <si>
    <t>0606361</t>
  </si>
  <si>
    <t>Bueiro metálico com chapas múltiplas MP 152 galvanizadas - lenticular - vão = 5,25 m e altura = 3,25 m - aterro rodoviário mínimo = 0,90 m e máximo = 5,30 m - brita produzida</t>
  </si>
  <si>
    <t>0606452</t>
  </si>
  <si>
    <t>Bueiro metálico com chapas múltiplas MP 152 galvanizadas - lenticular - vão = 5,45 m e altura = 3,35 m - aterro rodoviário mínimo = 0,90 m e máximo = 5,10 m - brita comercial</t>
  </si>
  <si>
    <t>0606362</t>
  </si>
  <si>
    <t>Bueiro metálico com chapas múltiplas MP 152 galvanizadas - lenticular - vão = 5,45 m e altura = 3,35 m - aterro rodoviário mínimo = 0,90 m e máximo = 5,10 m - brita produzida</t>
  </si>
  <si>
    <t>0606453</t>
  </si>
  <si>
    <t>Bueiro metálico com chapas múltiplas MP 152 galvanizadas - lenticular - vão = 5,60 m e altura = 3,40 m - aterro rodoviário mínimo = 0,90 m e máximo = 4,90 m - brita comercial</t>
  </si>
  <si>
    <t>0606363</t>
  </si>
  <si>
    <t>Bueiro metálico com chapas múltiplas MP 152 galvanizadas - lenticular - vão = 5,60 m e altura = 3,40 m - aterro rodoviário mínimo = 0,90 m e máximo = 4,90 m - brita produzida</t>
  </si>
  <si>
    <t>0606454</t>
  </si>
  <si>
    <t>Bueiro metálico com chapas múltiplas MP 152 galvanizadas - lenticular - vão = 5,80 m e altura = 3,50 m - aterro rodoviário mínimo = 0,90 m e máximo = 4,70 m - brita comercial</t>
  </si>
  <si>
    <t>0606364</t>
  </si>
  <si>
    <t>Bueiro metálico com chapas múltiplas MP 152 galvanizadas - lenticular - vão = 5,80 m e altura = 3,50 m - aterro rodoviário mínimo = 0,90 m e máximo = 4,70 m - brita produzida</t>
  </si>
  <si>
    <t>0606455</t>
  </si>
  <si>
    <t>Bueiro metálico com chapas múltiplas MP 152 galvanizadas - lenticular - vão = 5,90 m e altura = 3,55 m - aterro rodoviário mínimo = 0,90 m e máximo = 4,70 m - brita comercial</t>
  </si>
  <si>
    <t>0606365</t>
  </si>
  <si>
    <t>Bueiro metálico com chapas múltiplas MP 152 galvanizadas - lenticular - vão = 5,90 m e altura = 3,55 m - aterro rodoviário mínimo = 0,90 m e máximo = 4,70 m - brita produzida</t>
  </si>
  <si>
    <t>0606456</t>
  </si>
  <si>
    <t>Bueiro metálico com chapas múltiplas MP 152 galvanizadas - lenticular - vão = 6,10 m e altura = 3,65 m - aterro rodoviário mínimo = 0,90 m e máximo = 4,50 m - brita comercial</t>
  </si>
  <si>
    <t>0606366</t>
  </si>
  <si>
    <t>Bueiro metálico com chapas múltiplas MP 152 galvanizadas - lenticular - vão = 6,10 m e altura = 3,65 m - aterro rodoviário mínimo = 0,90 m e máximo = 4,50 m - brita produzida</t>
  </si>
  <si>
    <t>0606457</t>
  </si>
  <si>
    <t>Bueiro metálico com chapas múltiplas MP 152 galvanizadas - lenticular - vão = 6,25 m e altura = 3,65 m - aterro rodoviário mínimo = 0,90 m e máximo = 4,30 m - brita comercial</t>
  </si>
  <si>
    <t>0606367</t>
  </si>
  <si>
    <t>Bueiro metálico com chapas múltiplas MP 152 galvanizadas - lenticular - vão = 6,25 m e altura = 3,65 m - aterro rodoviário mínimo = 0,90 m e máximo = 4,30 m - brita produzida</t>
  </si>
  <si>
    <t>0606458</t>
  </si>
  <si>
    <t>Bueiro metálico com chapas múltiplas MP 152 galvanizadas - lenticular - vão = 6,40 m e altura = 3,75 m - aterro rodoviário mínimo = 0,90 m e máximo = 4,30 m - brita comercial</t>
  </si>
  <si>
    <t>0606368</t>
  </si>
  <si>
    <t>Bueiro metálico com chapas múltiplas MP 152 galvanizadas - lenticular - vão = 6,40 m e altura = 3,75 m - aterro rodoviário mínimo = 0,90 m e máximo = 4,30 m - brita produzida</t>
  </si>
  <si>
    <t>0606459</t>
  </si>
  <si>
    <t>Bueiro metálico com chapas múltiplas MP 152 galvanizadas - lenticular - vão = 6,60 m e altura = 3,85 m - aterro rodoviário mínimo = 0,90 m e máximo = 4,10 m - brita comercial</t>
  </si>
  <si>
    <t>0606369</t>
  </si>
  <si>
    <t>Bueiro metálico com chapas múltiplas MP 152 galvanizadas - lenticular - vão = 6,60 m e altura = 3,85 m - aterro rodoviário mínimo = 0,90 m e máximo = 4,10 m - brita produzida</t>
  </si>
  <si>
    <t>0606479</t>
  </si>
  <si>
    <t>Bueiro metálico com chapas múltiplas MP 152 galvanizadas - passagem de gado - vão = 2,20 m e altura = 2,25 m -aterro rodoviário mínimo = 0,30 m e máximo = 8,90 m - brita comercial</t>
  </si>
  <si>
    <t>0606460</t>
  </si>
  <si>
    <t>Bueiro metálico com chapas múltiplas MP 152 galvanizadas - passagem de gado - vão = 2,20 m e altura = 2,25 m -aterro rodoviário mínimo = 0,30 m e máximo = 8,90 m - brita produzida</t>
  </si>
  <si>
    <t>0606480</t>
  </si>
  <si>
    <t>Bueiro metálico com chapas múltiplas MP 152 galvanizadas - passagem de gado - vão = 2,90 m e altura = 3,10 m - aterro rodoviário mínimo = 0,60 m e máximo = 11,40 m - brita comercial</t>
  </si>
  <si>
    <t>0606461</t>
  </si>
  <si>
    <t>Bueiro metálico com chapas múltiplas MP 152 galvanizadas - passagem de gado - vão = 2,90 m e altura = 3,10 m - aterro rodoviário mínimo = 0,60 m e máximo = 11,40 m - brita produzida</t>
  </si>
  <si>
    <t>0606481</t>
  </si>
  <si>
    <t>Bueiro metálico com chapas múltiplas MP 152 galvanizadas - passagem inferior - vão = 3,70 m e altura = 3,50 m - aterro rodoviário mínimo = 0,60 m e máximo = 10,30 m - brita comercial</t>
  </si>
  <si>
    <t>0606462</t>
  </si>
  <si>
    <t>Bueiro metálico com chapas múltiplas MP 152 galvanizadas - passagem inferior - vão = 3,70 m e altura = 3,50 m - aterro rodoviário mínimo = 0,60 m e máximo = 10,30 m - brita produzida</t>
  </si>
  <si>
    <t>0606482</t>
  </si>
  <si>
    <t>Bueiro metálico com chapas múltiplas MP 152 galvanizadas - passagem inferior - vão = 3,90 m e altura = 3,60 m - aterro rodoviário mínimo = 0,60 m e máximo = 9,80 m - brita comercial</t>
  </si>
  <si>
    <t>0606463</t>
  </si>
  <si>
    <t>Bueiro metálico com chapas múltiplas MP 152 galvanizadas - passagem inferior - vão = 3,90 m e altura = 3,60 m - aterro rodoviário mínimo = 0,60 m e máximo = 9,80 m - brita produzida</t>
  </si>
  <si>
    <t>0606483</t>
  </si>
  <si>
    <t>Bueiro metálico com chapas múltiplas MP 152 galvanizadas - passagem inferior - vão = 4,00 m e altura = 3,75 m - aterro rodoviário mínimo = 0,60 m e máximo = 9,50 m - brita comercial</t>
  </si>
  <si>
    <t>0606464</t>
  </si>
  <si>
    <t>Bueiro metálico com chapas múltiplas MP 152 galvanizadas - passagem inferior - vão = 4,00 m e altura = 3,75 m - aterro rodoviário mínimo = 0,60 m e máximo = 9,50 m - brita produzida</t>
  </si>
  <si>
    <t>0606484</t>
  </si>
  <si>
    <t>Bueiro metálico com chapas múltiplas MP 152 galvanizadas - passagem inferior - vão = 4,20 m e altura = 3,90 m - aterro rodoviário mínimo = 0,60 m e máximo = 9,10 m - brita comercial</t>
  </si>
  <si>
    <t>0606465</t>
  </si>
  <si>
    <t>Bueiro metálico com chapas múltiplas MP 152 galvanizadas - passagem inferior - vão = 4,20 m e altura = 3,90 m - aterro rodoviário mínimo = 0,60 m e máximo = 9,10 m - brita produzida</t>
  </si>
  <si>
    <t>0606485</t>
  </si>
  <si>
    <t>Bueiro metálico com chapas múltiplas MP 152 galvanizadas - passagem inferior - vão = 4,25 m e altura = 4,10 m - aterro rodoviário mínimo = 0,60 m e máximo = 8,90 m - brita comercial</t>
  </si>
  <si>
    <t>0606466</t>
  </si>
  <si>
    <t>Bueiro metálico com chapas múltiplas MP 152 galvanizadas - passagem inferior - vão = 4,25 m e altura = 4,10 m - aterro rodoviário mínimo = 0,60 m e máximo = 8,90 m - brita produzida</t>
  </si>
  <si>
    <t>0606486</t>
  </si>
  <si>
    <t>Bueiro metálico com chapas múltiplas MP 152 galvanizadas - passagem inferior - vão = 4,40 m e altura = 4,25 m - aterro rodoviário mínimo = 0,60 m e máximo = 8,60 m - brita comercial</t>
  </si>
  <si>
    <t>0606467</t>
  </si>
  <si>
    <t>Bueiro metálico com chapas múltiplas MP 152 galvanizadas - passagem inferior - vão = 4,40 m e altura = 4,25 m - aterro rodoviário mínimo = 0,60 m e máximo = 8,60 m - brita produzida</t>
  </si>
  <si>
    <t>0606487</t>
  </si>
  <si>
    <t>Bueiro metálico com chapas múltiplas MP 152 galvanizadas - passagem inferior - vão = 4,50 m e altura = 4,40 m - aterro rodoviário mínimo = 0,60 m e máximo = 8,40 m - brita comercial</t>
  </si>
  <si>
    <t>0606468</t>
  </si>
  <si>
    <t>Bueiro metálico com chapas múltiplas MP 152 galvanizadas - passagem inferior - vão = 4,50 m e altura = 4,40 m - aterro rodoviário mínimo = 0,60 m e máximo = 8,40 m - brita produzida</t>
  </si>
  <si>
    <t>0606488</t>
  </si>
  <si>
    <t>Bueiro metálico com chapas múltiplas MP 152 galvanizadas - passagem inferior - vão = 4,70 m e altura = 4,50 m - aterro rodoviário mínimo = 0,60 m e máximo = 8,90 m - brita comercial</t>
  </si>
  <si>
    <t>0606469</t>
  </si>
  <si>
    <t>Bueiro metálico com chapas múltiplas MP 152 galvanizadas - passagem inferior - vão = 4,70 m e altura = 4,50 m - aterro rodoviário mínimo = 0,60 m e máximo = 8,90 m - brita produzida</t>
  </si>
  <si>
    <t>0606489</t>
  </si>
  <si>
    <t>Bueiro metálico com chapas múltiplas MP 152 galvanizadas - passagem inferior - vão = 4,80 m e altura = 4,75 m - aterro rodoviário mínimo = 0,90 m e máximo = 9,00 m - brita comercial</t>
  </si>
  <si>
    <t>0606470</t>
  </si>
  <si>
    <t>Bueiro metálico com chapas múltiplas MP 152 galvanizadas - passagem inferior - vão = 4,80 m e altura = 4,75 m - aterro rodoviário mínimo = 0,90 m e máximo = 9,00 m - brita produzida</t>
  </si>
  <si>
    <t>0606490</t>
  </si>
  <si>
    <t>Bueiro metálico com chapas múltiplas MP 152 galvanizadas - passagem inferior - vão = 5,00 m e altura = 4,85 m - aterro rodoviário mínimo = 0,90 m e máximo = 8,60 m - brita comercial</t>
  </si>
  <si>
    <t>0606471</t>
  </si>
  <si>
    <t>Bueiro metálico com chapas múltiplas MP 152 galvanizadas - passagem inferior - vão = 5,00 m e altura = 4,85 m - aterro rodoviário mínimo = 0,90 m e máximo = 8,60 m - brita produzida</t>
  </si>
  <si>
    <t>0606491</t>
  </si>
  <si>
    <t>Bueiro metálico com chapas múltiplas MP 152 galvanizadas - passagem inferior - vão = 5,15 m e altura = 4,90 m - aterro rodoviário mínimo = 0,90 m e máximo = 8,50 m - brita comercial</t>
  </si>
  <si>
    <t>0606472</t>
  </si>
  <si>
    <t>Bueiro metálico com chapas múltiplas MP 152 galvanizadas - passagem inferior - vão = 5,15 m e altura = 4,90 m - aterro rodoviário mínimo = 0,90 m e máximo = 8,50 m - brita produzida</t>
  </si>
  <si>
    <t>0606492</t>
  </si>
  <si>
    <t>Bueiro metálico com chapas múltiplas MP 152 galvanizadas - passagem inferior - vão = 5,25 m e altura = 5,00 m - aterro rodoviário mínimo = 0,90 m e máximo = 8,40 m - brita comercial</t>
  </si>
  <si>
    <t>0606473</t>
  </si>
  <si>
    <t>Bueiro metálico com chapas múltiplas MP 152 galvanizadas - passagem inferior - vão = 5,25 m e altura = 5,00 m - aterro rodoviário mínimo = 0,90 m e máximo = 8,40 m - brita produzida</t>
  </si>
  <si>
    <t>0606493</t>
  </si>
  <si>
    <t>Bueiro metálico com chapas múltiplas MP 152 galvanizadas - passagem inferior - vão = 5,30 m e altura = 5,30 m - aterro rodoviário mínimo = 0,90 m e máximo = 9,60 m - brita comercial</t>
  </si>
  <si>
    <t>0606474</t>
  </si>
  <si>
    <t>Bueiro metálico com chapas múltiplas MP 152 galvanizadas - passagem inferior - vão = 5,30 m e altura = 5,30 m - aterro rodoviário mínimo = 0,90 m e máximo = 9,60 m - brita produzida</t>
  </si>
  <si>
    <t>0606494</t>
  </si>
  <si>
    <t>Bueiro metálico com chapas múltiplas MP 152 galvanizadas - passagem inferior - vão = 5,65 m e altura = 5,25 m - aterro rodoviário mínimo = 0,90 m e máximo = 9,00 m - brita comercial</t>
  </si>
  <si>
    <t>0606475</t>
  </si>
  <si>
    <t>Bueiro metálico com chapas múltiplas MP 152 galvanizadas - passagem inferior - vão = 5,65 m e altura = 5,25 m - aterro rodoviário mínimo = 0,90 m e máximo = 9,00 m - brita produzida</t>
  </si>
  <si>
    <t>0606495</t>
  </si>
  <si>
    <t>Bueiro metálico com chapas múltiplas MP 152 galvanizadas - passagem inferior - vão = 5,85 m e altura = 5,30 m - aterro rodoviário mínimo = 0,90 m e máximo = 8,40 m - brita comercial</t>
  </si>
  <si>
    <t>0606476</t>
  </si>
  <si>
    <t>Bueiro metálico com chapas múltiplas MP 152 galvanizadas - passagem inferior - vão = 5,85 m e altura = 5,30 m - aterro rodoviário mínimo = 0,90 m e máximo = 8,40 m - brita produzida</t>
  </si>
  <si>
    <t>0606496</t>
  </si>
  <si>
    <t>Bueiro metálico com chapas múltiplas MP 152 galvanizadas - passagem inferior - vão = 6,00 m e altura = 5,45 m - aterro rodoviário mínimo = 0,90 m e máximo = 8,30 m - brita comercial</t>
  </si>
  <si>
    <t>0606477</t>
  </si>
  <si>
    <t>Bueiro metálico com chapas múltiplas MP 152 galvanizadas - passagem inferior - vão = 6,00 m e altura = 5,45 m - aterro rodoviário mínimo = 0,90 m e máximo = 8,30 m - brita produzida</t>
  </si>
  <si>
    <t>0606497</t>
  </si>
  <si>
    <t>Bueiro metálico com chapas múltiplas MP 152 galvanizadas - passagem inferior - vão = 6,25 m e altura = 5,50 m - aterro rodoviário mínimo = 0,90 m e máximo = 7,90 m - brita comercial</t>
  </si>
  <si>
    <t>0606478</t>
  </si>
  <si>
    <t>Bueiro metálico com chapas múltiplas MP 152 galvanizadas - passagem inferior - vão = 6,25 m e altura = 5,50 m - aterro rodoviário mínimo = 0,90 m e máximo = 7,90 m - brita produzida</t>
  </si>
  <si>
    <t>0605835</t>
  </si>
  <si>
    <t>Bueiro metálico sem interrupção de tráfego - D = 1,20 m - chapa com epóxi - escavado em material de 1ª categoria - aterro ferroviário máximo = 12,90 m</t>
  </si>
  <si>
    <t>0605571</t>
  </si>
  <si>
    <t>Bueiro metálico sem interrupção de tráfego - D = 1,20 m - chapa com epóxi - escavado em material de 1ª categoria - aterro rodoviário máximo = 9,00 m</t>
  </si>
  <si>
    <t>0605850</t>
  </si>
  <si>
    <t>Bueiro metálico sem interrupção de tráfego - D = 1,20 m - chapa com epóxi - escavado em material de 2ª categoria - aterro ferroviário máximo = 12,90 m</t>
  </si>
  <si>
    <t>0605582</t>
  </si>
  <si>
    <t>Bueiro metálico sem interrupção de tráfego - D = 1,20 m - chapa com epóxi - escavado em material de 2ª categoria - aterro rodoviário máximo = 9,00 m</t>
  </si>
  <si>
    <t>0605889</t>
  </si>
  <si>
    <t>Bueiro metálico sem interrupção de tráfego - D = 1,20 m - chapa com epóxi - escavado em material de 3ª categoria - aterro ferroviário máximo = 12,90 m</t>
  </si>
  <si>
    <t>0605593</t>
  </si>
  <si>
    <t>Bueiro metálico sem interrupção de tráfego - D = 1,20 m - chapa com epóxi - escavado em material de 3ª categoria - aterro rodoviário máximo = 9,00 m</t>
  </si>
  <si>
    <t>0605739</t>
  </si>
  <si>
    <t>Bueiro metálico sem interrupção de tráfego - D = 1,20 m - chapa galvanizada - escavado em material de 1ª categoria - aterro ferroviário máximo = 12,90 m</t>
  </si>
  <si>
    <t>0605504</t>
  </si>
  <si>
    <t>Bueiro metálico sem interrupção de tráfego - D = 1,20 m - chapa galvanizada - escavado em material de 1ª categoria - aterro rodoviário máximo = 9,00 m</t>
  </si>
  <si>
    <t>0605781</t>
  </si>
  <si>
    <t>Bueiro metálico sem interrupção de tráfego - D = 1,20 m - chapa galvanizada - escavado em material de 2ª categoria - aterro ferroviário máximo = 12,90 m</t>
  </si>
  <si>
    <t>0605524</t>
  </si>
  <si>
    <t>Bueiro metálico sem interrupção de tráfego - D = 1,20 m - chapa galvanizada - escavado em material de 2ª categoria - aterro rodoviário máximo = 9,00 m</t>
  </si>
  <si>
    <t>0605815</t>
  </si>
  <si>
    <t>Bueiro metálico sem interrupção de tráfego - D = 1,20 m - chapa galvanizada - escavado em material de 3ª categoria - aterro ferroviário máximo = 12,90 m</t>
  </si>
  <si>
    <t>0605544</t>
  </si>
  <si>
    <t>Bueiro metálico sem interrupção de tráfego - D = 1,20 m - chapa galvanizada - escavado em material de 3ª categoria - aterro rodoviário máximo = 9,00 m</t>
  </si>
  <si>
    <t>0605836</t>
  </si>
  <si>
    <t>Bueiro metálico sem interrupção de tráfego - D = 1,40 m - chapa com epóxi - escavado em material de 1ª categoria - aterro ferroviário máximo = 11,00 m</t>
  </si>
  <si>
    <t>0605572</t>
  </si>
  <si>
    <t>Bueiro metálico sem interrupção de tráfego - D = 1,40 m - chapa com epóxi - escavado em material de 1ª categoria - aterro rodoviário máximo = 7,70 m</t>
  </si>
  <si>
    <t>0605851</t>
  </si>
  <si>
    <t>Bueiro metálico sem interrupção de tráfego - D = 1,40 m - chapa com epóxi - escavado em material de 2ª categoria - aterro ferroviário máximo = 11,00 m</t>
  </si>
  <si>
    <t>0605583</t>
  </si>
  <si>
    <t>Bueiro metálico sem interrupção de tráfego - D = 1,40 m - chapa com epóxi - escavado em material de 2ª categoria - aterro rodoviário máximo = 7,70 m</t>
  </si>
  <si>
    <t>0605890</t>
  </si>
  <si>
    <t>Bueiro metálico sem interrupção de tráfego - D = 1,40 m - chapa com epóxi - escavado em material de 3ª categoria - aterro ferroviário máximo = 11,00 m</t>
  </si>
  <si>
    <t>0605594</t>
  </si>
  <si>
    <t>Bueiro metálico sem interrupção de tráfego - D = 1,40 m - chapa com epóxi - escavado em material de 3ª categoria - aterro rodoviário máximo = 7,70 m</t>
  </si>
  <si>
    <t>0605740</t>
  </si>
  <si>
    <t>Bueiro metálico sem interrupção de tráfego - D = 1,40 m - chapa galvanizada - escavado em material de 1ª categoria - aterro ferroviário máximo = 11,00 m</t>
  </si>
  <si>
    <t>0605505</t>
  </si>
  <si>
    <t>Bueiro metálico sem interrupção de tráfego - D = 1,40 m - chapa galvanizada - escavado em material de 1ª categoria - aterro rodoviário máximo = 7,70 m</t>
  </si>
  <si>
    <t>0605782</t>
  </si>
  <si>
    <t>Bueiro metálico sem interrupção de tráfego - D = 1,40 m - chapa galvanizada - escavado em material de 2ª categoria - aterro ferroviário máximo = 11,00 m</t>
  </si>
  <si>
    <t>0605525</t>
  </si>
  <si>
    <t>Bueiro metálico sem interrupção de tráfego - D = 1,40 m - chapa galvanizada - escavado em material de 2ª categoria - aterro rodoviário máximo = 7,70 m</t>
  </si>
  <si>
    <t>0605816</t>
  </si>
  <si>
    <t>Bueiro metálico sem interrupção de tráfego - D = 1,40 m - chapa galvanizada - escavado em material de 3ª categoria - aterro ferroviário máximo = 11,00 m</t>
  </si>
  <si>
    <t>0605545</t>
  </si>
  <si>
    <t>Bueiro metálico sem interrupção de tráfego - D = 1,40 m - chapa galvanizada - escavado em material de 3ª categoria - aterro rodoviário máximo = 7,70 m</t>
  </si>
  <si>
    <t>0605837</t>
  </si>
  <si>
    <t>Bueiro metálico sem interrupção de tráfego - D = 1,60 m - chapa com epóxi - escavado em material de 1ª categoria - aterro ferroviário máximo = 9,60 m</t>
  </si>
  <si>
    <t>0605573</t>
  </si>
  <si>
    <t>Bueiro metálico sem interrupção de tráfego - D = 1,60 m - chapa com epóxi - escavado em material de 1ª categoria - aterro rodoviário máximo = 6,70 m</t>
  </si>
  <si>
    <t>0605852</t>
  </si>
  <si>
    <t>Bueiro metálico sem interrupção de tráfego - D = 1,60 m - chapa com epóxi - escavado em material de 2ª categoria - aterro ferroviário máximo = 9,60 m</t>
  </si>
  <si>
    <t>0605584</t>
  </si>
  <si>
    <t>Bueiro metálico sem interrupção de tráfego - D = 1,60 m - chapa com epóxi - escavado em material de 2ª categoria - aterro rodoviário máximo = 6,70 m</t>
  </si>
  <si>
    <t>0605891</t>
  </si>
  <si>
    <t>Bueiro metálico sem interrupção de tráfego - D = 1,60 m - chapa com epóxi - escavado em material de 3ª categoria - aterro ferroviário máximo = 9,60 m</t>
  </si>
  <si>
    <t>0605595</t>
  </si>
  <si>
    <t>Bueiro metálico sem interrupção de tráfego - D = 1,60 m - chapa com epóxi - escavado em material de 3ª categoria - aterro rodoviário máximo = 6,70 m</t>
  </si>
  <si>
    <t>0605741</t>
  </si>
  <si>
    <t>Bueiro metálico sem interrupção de tráfego - D = 1,60 m - chapa galvanizada - escavado em material de 1ª categoria - aterro ferroviário máximo = 9,60 m</t>
  </si>
  <si>
    <t>0605506</t>
  </si>
  <si>
    <t>Bueiro metálico sem interrupção de tráfego - D = 1,60 m - chapa galvanizada - escavado em material de 1ª categoria - aterro rodoviário máximo = 6,70 m</t>
  </si>
  <si>
    <t>0605783</t>
  </si>
  <si>
    <t>Bueiro metálico sem interrupção de tráfego - D = 1,60 m - chapa galvanizada - escavado em material de 2ª categoria - aterro ferroviário máximo = 9,60 m</t>
  </si>
  <si>
    <t>0605526</t>
  </si>
  <si>
    <t>Bueiro metálico sem interrupção de tráfego - D = 1,60 m - chapa galvanizada - escavado em material de 2ª categoria - aterro rodoviário máximo = 6,70 m</t>
  </si>
  <si>
    <t>0605817</t>
  </si>
  <si>
    <t>Bueiro metálico sem interrupção de tráfego - D = 1,60 m - chapa galvanizada - escavado em material de 3ª categoria - aterro ferroviário máximo = 9,60 m</t>
  </si>
  <si>
    <t>0605546</t>
  </si>
  <si>
    <t>Bueiro metálico sem interrupção de tráfego - D = 1,60 m - chapa galvanizada - escavado em material de 3ª categoria - aterro rodoviário máximo = 6,70 m</t>
  </si>
  <si>
    <t>0605838</t>
  </si>
  <si>
    <t>Bueiro metálico sem interrupção de tráfego - D = 1,80 m - chapa com epóxi - escavado em material de 1ª categoria - aterro ferroviário máximo = 8,00 m</t>
  </si>
  <si>
    <t>0605574</t>
  </si>
  <si>
    <t>Bueiro metálico sem interrupção de tráfego - D = 1,80 m - chapa com epóxi - escavado em material de 1ª categoria - aterro rodoviário máximo = 6,00 m</t>
  </si>
  <si>
    <t>0605853</t>
  </si>
  <si>
    <t>Bueiro metálico sem interrupção de tráfego - D = 1,80 m - chapa com epóxi - escavado em material de 2ª categoria - aterro ferroviário máximo = 8,00 m</t>
  </si>
  <si>
    <t>0605585</t>
  </si>
  <si>
    <t>Bueiro metálico sem interrupção de tráfego - D = 1,80 m - chapa com epóxi - escavado em material de 2ª categoria - aterro rodoviário máximo = 6,00 m</t>
  </si>
  <si>
    <t>0605892</t>
  </si>
  <si>
    <t>Bueiro metálico sem interrupção de tráfego - D = 1,80 m - chapa com epóxi - escavado em material de 3ª categoria - aterro ferroviário máximo = 8,00 m</t>
  </si>
  <si>
    <t>0605596</t>
  </si>
  <si>
    <t>Bueiro metálico sem interrupção de tráfego - D = 1,80 m - chapa com epóxi - escavado em material de 3ª categoria - aterro rodoviário máximo = 6,00 m</t>
  </si>
  <si>
    <t>0605742</t>
  </si>
  <si>
    <t>Bueiro metálico sem interrupção de tráfego - D = 1,80 m - chapa galvanizada - escavado em material de 1ª categoria - aterro ferroviário máximo = 8,00 m</t>
  </si>
  <si>
    <t>0605507</t>
  </si>
  <si>
    <t>Bueiro metálico sem interrupção de tráfego - D = 1,80 m - chapa galvanizada - escavado em material de 1ª categoria - aterro rodoviário máximo = 6,00 m</t>
  </si>
  <si>
    <t>0605784</t>
  </si>
  <si>
    <t>Bueiro metálico sem interrupção de tráfego - D = 1,80 m - chapa galvanizada - escavado em material de 2ª categoria - aterro ferroviário máximo = 8,00 m</t>
  </si>
  <si>
    <t>0605527</t>
  </si>
  <si>
    <t>Bueiro metálico sem interrupção de tráfego - D = 1,80 m - chapa galvanizada - escavado em material de 2ª categoria - aterro rodoviário máximo = 6,00 m</t>
  </si>
  <si>
    <t>0605818</t>
  </si>
  <si>
    <t>Bueiro metálico sem interrupção de tráfego - D = 1,80 m - chapa galvanizada - escavado em material de 3ª categoria - aterro ferroviário máximo = 8,00 m</t>
  </si>
  <si>
    <t>0605547</t>
  </si>
  <si>
    <t>Bueiro metálico sem interrupção de tráfego - D = 1,80 m - chapa galvanizada - escavado em material de 3ª categoria - aterro rodoviário máximo = 6,00 m</t>
  </si>
  <si>
    <t>0605839</t>
  </si>
  <si>
    <t>Bueiro metálico sem interrupção de tráfego - D = 2,00 m - chapa com epóxi - escavado em material de 1ª categoria - aterro ferroviário máximo = 6,90 m</t>
  </si>
  <si>
    <t>0605575</t>
  </si>
  <si>
    <t>Bueiro metálico sem interrupção de tráfego - D = 2,00 m - chapa com epóxi - escavado em material de 1ª categoria - aterro rodoviário máximo = 5,40 m</t>
  </si>
  <si>
    <t>0605854</t>
  </si>
  <si>
    <t>Bueiro metálico sem interrupção de tráfego - D = 2,00 m - chapa com epóxi - escavado em material de 2ª categoria - aterro ferroviário máximo = 6,90 m</t>
  </si>
  <si>
    <t>0605586</t>
  </si>
  <si>
    <t>Bueiro metálico sem interrupção de tráfego - D = 2,00 m - chapa com epóxi - escavado em material de 2ª categoria - aterro rodoviário máximo = 5,40 m</t>
  </si>
  <si>
    <t>0605893</t>
  </si>
  <si>
    <t>Bueiro metálico sem interrupção de tráfego - D = 2,00 m - chapa com epóxi - escavado em material de 3ª categoria - aterro ferroviário máximo = 6,90 m</t>
  </si>
  <si>
    <t>0605597</t>
  </si>
  <si>
    <t>Bueiro metálico sem interrupção de tráfego - D = 2,00 m - chapa com epóxi - escavado em material de 3ª categoria - aterro rodoviário máximo = 5,40 m</t>
  </si>
  <si>
    <t>0605743</t>
  </si>
  <si>
    <t>Bueiro metálico sem interrupção de tráfego - D = 2,00 m - chapa galvanizada - escavado em material de 1ª categoria - aterro ferroviário máximo = 6,90 m</t>
  </si>
  <si>
    <t>0605508</t>
  </si>
  <si>
    <t>Bueiro metálico sem interrupção de tráfego - D = 2,00 m - chapa galvanizada - escavado em material de 1ª categoria - aterro rodoviário máximo = 5,40 m</t>
  </si>
  <si>
    <t>0605785</t>
  </si>
  <si>
    <t>Bueiro metálico sem interrupção de tráfego - D = 2,00 m - chapa galvanizada - escavado em material de 2ª categoria - aterro ferroviário máximo = 6,90 m</t>
  </si>
  <si>
    <t>0605528</t>
  </si>
  <si>
    <t>Bueiro metálico sem interrupção de tráfego - D = 2,00 m - chapa galvanizada - escavado em material de 2ª categoria - aterro rodoviário máximo = 5,40 m</t>
  </si>
  <si>
    <t>0605819</t>
  </si>
  <si>
    <t>Bueiro metálico sem interrupção de tráfego - D = 2,00 m - chapa galvanizada - escavado em material de 3ª categoria - aterro ferroviário máximo = 6,90 m</t>
  </si>
  <si>
    <t>0605548</t>
  </si>
  <si>
    <t>Bueiro metálico sem interrupção de tráfego - D = 2,00 m - chapa galvanizada - escavado em material de 3ª categoria - aterro rodoviário máximo = 5,40 m</t>
  </si>
  <si>
    <t>0605840</t>
  </si>
  <si>
    <t>Bueiro metálico sem interrupção de tráfego - D = 2,20 m - chapa com epóxi - escavado em material de 1ª categoria - aterro ferroviário máximo = 7,90 m</t>
  </si>
  <si>
    <t>0605576</t>
  </si>
  <si>
    <t>Bueiro metálico sem interrupção de tráfego - D = 2,20 m - chapa com epóxi - escavado em material de 1ª categoria - aterro rodoviário máximo = 4,90 m</t>
  </si>
  <si>
    <t>0605855</t>
  </si>
  <si>
    <t>Bueiro metálico sem interrupção de tráfego - D = 2,20 m - chapa com epóxi - escavado em material de 2ª categoria - aterro ferroviário máximo = 7,90 m</t>
  </si>
  <si>
    <t>0605587</t>
  </si>
  <si>
    <t>Bueiro metálico sem interrupção de tráfego - D = 2,20 m - chapa com epóxi - escavado em material de 2ª categoria - aterro rodoviário máximo = 4,90 m</t>
  </si>
  <si>
    <t>0605898</t>
  </si>
  <si>
    <t>Bueiro metálico sem interrupção de tráfego - D = 2,20 m - chapa com epóxi - escavado em material de 3ª categoria - aterro ferroviário máximo = 7,90 m</t>
  </si>
  <si>
    <t>0605598</t>
  </si>
  <si>
    <t>Bueiro metálico sem interrupção de tráfego - D = 2,20 m - chapa com epóxi - escavado em material de 3ª categoria - aterro rodoviário máximo = 4,90 m</t>
  </si>
  <si>
    <t>0605744</t>
  </si>
  <si>
    <t>Bueiro metálico sem interrupção de tráfego - D = 2,20 m - chapa galvanizada - escavado em material de 1ª categoria - aterro ferroviário máximo = 7,90 m</t>
  </si>
  <si>
    <t>0605509</t>
  </si>
  <si>
    <t>Bueiro metálico sem interrupção de tráfego - D = 2,20 m - chapa galvanizada - escavado em material de 1ª categoria - aterro rodoviário máximo = 4,90 m</t>
  </si>
  <si>
    <t>0605787</t>
  </si>
  <si>
    <t>Bueiro metálico sem interrupção de tráfego - D = 2,20 m - chapa galvanizada - escavado em material de 2ª categoria - aterro ferroviário máximo = 7,90 m</t>
  </si>
  <si>
    <t>0605529</t>
  </si>
  <si>
    <t>Bueiro metálico sem interrupção de tráfego - D = 2,20 m - chapa galvanizada - escavado em material de 2ª categoria - aterro rodoviário máximo = 4,90 m</t>
  </si>
  <si>
    <t>0605820</t>
  </si>
  <si>
    <t>Bueiro metálico sem interrupção de tráfego - D = 2,20 m - chapa galvanizada - escavado em material de 3ª categoria - aterro ferroviário máximo = 7,90 m</t>
  </si>
  <si>
    <t>0605549</t>
  </si>
  <si>
    <t>Bueiro metálico sem interrupção de tráfego - D = 2,20 m - chapa galvanizada - escavado em material de 3ª categoria - aterro rodoviário máximo = 4,90 m</t>
  </si>
  <si>
    <t>0605841</t>
  </si>
  <si>
    <t>Bueiro metálico sem interrupção de tráfego - D = 2,40 m - chapa com epóxi - escavado em material de 1ª categoria - aterro ferroviário máximo = 7,00 m</t>
  </si>
  <si>
    <t>0605577</t>
  </si>
  <si>
    <t>Bueiro metálico sem interrupção de tráfego - D = 2,40 m - chapa com epóxi - escavado em material de 1ª categoria - aterro rodoviário máximo = 4,50 m</t>
  </si>
  <si>
    <t>0605856</t>
  </si>
  <si>
    <t>Bueiro metálico sem interrupção de tráfego - D = 2,40 m - chapa com epóxi - escavado em material de 2ª categoria - aterro ferroviário máximo = 7,00 m</t>
  </si>
  <si>
    <t>0605588</t>
  </si>
  <si>
    <t>Bueiro metálico sem interrupção de tráfego - D = 2,40 m - chapa com epóxi - escavado em material de 2ª categoria - aterro rodoviário máximo = 4,50 m</t>
  </si>
  <si>
    <t>0605899</t>
  </si>
  <si>
    <t>Bueiro metálico sem interrupção de tráfego - D = 2,40 m - chapa com epóxi - escavado em material de 3ª categoria - aterro ferroviário máximo = 7,00 m</t>
  </si>
  <si>
    <t>0605599</t>
  </si>
  <si>
    <t>Bueiro metálico sem interrupção de tráfego - D = 2,40 m - chapa com epóxi - escavado em material de 3ª categoria - aterro rodoviário máximo = 4,50 m</t>
  </si>
  <si>
    <t>0605745</t>
  </si>
  <si>
    <t>Bueiro metálico sem interrupção de tráfego - D = 2,40 m - chapa galvanizada - escavado em material de 1ª categoria - aterro ferroviário máximo = 7,00 m</t>
  </si>
  <si>
    <t>0605510</t>
  </si>
  <si>
    <t>Bueiro metálico sem interrupção de tráfego - D = 2,40 m - chapa galvanizada - escavado em material de 1ª categoria - aterro rodoviário máximo = 4,50 m</t>
  </si>
  <si>
    <t>0605788</t>
  </si>
  <si>
    <t>Bueiro metálico sem interrupção de tráfego - D = 2,40 m - chapa galvanizada - escavado em material de 2ª categoria - aterro ferroviário máximo = 7,00 m</t>
  </si>
  <si>
    <t>0605530</t>
  </si>
  <si>
    <t>Bueiro metálico sem interrupção de tráfego - D = 2,40 m - chapa galvanizada - escavado em material de 2ª categoria - aterro rodoviário máximo = 4,50 m</t>
  </si>
  <si>
    <t>0605821</t>
  </si>
  <si>
    <t>Bueiro metálico sem interrupção de tráfego - D = 2,40 m - chapa galvanizada - escavado em material de 3ª categoria - aterro ferroviário máximo = 7,00 m</t>
  </si>
  <si>
    <t>0605550</t>
  </si>
  <si>
    <t>Bueiro metálico sem interrupção de tráfego - D = 2,40 m - chapa galvanizada - escavado em material de 3ª categoria - aterro rodoviário máximo = 4,50 m</t>
  </si>
  <si>
    <t>0605842</t>
  </si>
  <si>
    <t>Bueiro metálico sem interrupção de tráfego - D = 2,60 m - chapa com epóxi - escavado em material de 1ª categoria - aterro ferroviário máximo = 6,40 m</t>
  </si>
  <si>
    <t>0605578</t>
  </si>
  <si>
    <t>Bueiro metálico sem interrupção de tráfego - D = 2,60 m - chapa com epóxi - escavado em material de 1ª categoria - aterro rodoviário máximo = 4,10 m</t>
  </si>
  <si>
    <t>0605857</t>
  </si>
  <si>
    <t>Bueiro metálico sem interrupção de tráfego - D = 2,60 m - chapa com epóxi - escavado em material de 2ª categoria - aterro ferroviário máximo = 6,40 m</t>
  </si>
  <si>
    <t>0605589</t>
  </si>
  <si>
    <t>Bueiro metálico sem interrupção de tráfego - D = 2,60 m - chapa com epóxi - escavado em material de 2ª categoria - aterro rodoviário máximo = 4,10 m</t>
  </si>
  <si>
    <t>0605900</t>
  </si>
  <si>
    <t>Bueiro metálico sem interrupção de tráfego - D = 2,60 m - chapa com epóxi - escavado em material de 3ª categoria - aterro ferroviário máximo = 6,40 m</t>
  </si>
  <si>
    <t>0605600</t>
  </si>
  <si>
    <t>Bueiro metálico sem interrupção de tráfego - D = 2,60 m - chapa com epóxi - escavado em material de 3ª categoria - aterro rodoviário máximo = 4,10 m</t>
  </si>
  <si>
    <t>0605746</t>
  </si>
  <si>
    <t>Bueiro metálico sem interrupção de tráfego - D = 2,60 m - chapa galvanizada - escavado em material de 1ª categoria - aterro ferroviário máximo = 6,40 m</t>
  </si>
  <si>
    <t>0605511</t>
  </si>
  <si>
    <t>Bueiro metálico sem interrupção de tráfego - D = 2,60 m - chapa galvanizada - escavado em material de 1ª categoria - aterro rodoviário máximo = 4,10 m</t>
  </si>
  <si>
    <t>0605789</t>
  </si>
  <si>
    <t>Bueiro metálico sem interrupção de tráfego - D = 2,60 m - chapa galvanizada - escavado em material de 2ª categoria - aterro ferroviário máximo = 6,40 m</t>
  </si>
  <si>
    <t>0605531</t>
  </si>
  <si>
    <t>Bueiro metálico sem interrupção de tráfego - D = 2,60 m - chapa galvanizada - escavado em material de 2ª categoria - aterro rodoviário máximo = 4,10 m</t>
  </si>
  <si>
    <t>0605822</t>
  </si>
  <si>
    <t>Bueiro metálico sem interrupção de tráfego - D = 2,60 m - chapa galvanizada - escavado em material de 3ª categoria - aterro ferroviário máximo = 6,40 m</t>
  </si>
  <si>
    <t>0605551</t>
  </si>
  <si>
    <t>Bueiro metálico sem interrupção de tráfego - D = 2,60 m - chapa galvanizada - escavado em material de 3ª categoria - aterro rodoviário máximo = 4,10 m</t>
  </si>
  <si>
    <t>0605843</t>
  </si>
  <si>
    <t>Bueiro metálico sem interrupção de tráfego - D = 2,80 m - chapa com epóxi - escavado em material de 1ª categoria - aterro ferroviário máximo = 5,50 m</t>
  </si>
  <si>
    <t>0605579</t>
  </si>
  <si>
    <t>Bueiro metálico sem interrupção de tráfego - D = 2,80 m - chapa com epóxi - escavado em material de 1ª categoria - aterro rodoviário máximo = 3,80 m</t>
  </si>
  <si>
    <t>0605858</t>
  </si>
  <si>
    <t>Bueiro metálico sem interrupção de tráfego - D = 2,80 m - chapa com epóxi - escavado em material de 2ª categoria - aterro ferroviário máximo = 5,50 m</t>
  </si>
  <si>
    <t>0605590</t>
  </si>
  <si>
    <t>Bueiro metálico sem interrupção de tráfego - D = 2,80 m - chapa com epóxi - escavado em material de 2ª categoria - aterro rodoviário máximo = 3,80 m</t>
  </si>
  <si>
    <t>0605901</t>
  </si>
  <si>
    <t>Bueiro metálico sem interrupção de tráfego - D = 2,80 m - chapa com epóxi - escavado em material de 3ª categoria - aterro ferroviário máximo = 5,50 m</t>
  </si>
  <si>
    <t>0605601</t>
  </si>
  <si>
    <t>Bueiro metálico sem interrupção de tráfego - D = 2,80 m - chapa com epóxi - escavado em material de 3ª categoria - aterro rodoviário máximo = 3,80 m</t>
  </si>
  <si>
    <t>0605747</t>
  </si>
  <si>
    <t>Bueiro metálico sem interrupção de tráfego - D = 2,80 m - chapa galvanizada - escavado em material de 1ª categoria - aterro ferroviário máximo = 5,50 m</t>
  </si>
  <si>
    <t>0605512</t>
  </si>
  <si>
    <t>Bueiro metálico sem interrupção de tráfego - D = 2,80 m - chapa galvanizada - escavado em material de 1ª categoria - aterro rodoviário máximo = 3,80 m</t>
  </si>
  <si>
    <t>0605790</t>
  </si>
  <si>
    <t>Bueiro metálico sem interrupção de tráfego - D = 2,80 m - chapa galvanizada - escavado em material de 2ª categoria - aterro ferroviário máximo = 5,50 m</t>
  </si>
  <si>
    <t>0605532</t>
  </si>
  <si>
    <t>Bueiro metálico sem interrupção de tráfego - D = 2,80 m - chapa galvanizada - escavado em material de 2ª categoria - aterro rodoviário máximo = 3,80 m</t>
  </si>
  <si>
    <t>0605823</t>
  </si>
  <si>
    <t>Bueiro metálico sem interrupção de tráfego - D = 2,80 m - chapa galvanizada - escavado em material de 3ª categoria - aterro ferroviário máximo = 5,50 m</t>
  </si>
  <si>
    <t>0605552</t>
  </si>
  <si>
    <t>Bueiro metálico sem interrupção de tráfego - D = 2,80 m - chapa galvanizada - escavado em material de 3ª categoria - aterro rodoviário máximo = 3,80 m</t>
  </si>
  <si>
    <t>0605844</t>
  </si>
  <si>
    <t>Bueiro metálico sem interrupção de tráfego - D = 3,00 m - chapa com epóxi - escavado em material de 1ª categoria - aterro ferroviário máximo = 4,70 m</t>
  </si>
  <si>
    <t>0605580</t>
  </si>
  <si>
    <t>Bueiro metálico sem interrupção de tráfego - D = 3,00 m - chapa com epóxi - escavado em material de 1ª categoria - aterro rodoviário máximo = 3,60 m</t>
  </si>
  <si>
    <t>0605887</t>
  </si>
  <si>
    <t>Bueiro metálico sem interrupção de tráfego - D = 3,00 m - chapa com epóxi - escavado em material de 2ª categoria - aterro ferroviário máximo = 4,70 m</t>
  </si>
  <si>
    <t>0605591</t>
  </si>
  <si>
    <t>Bueiro metálico sem interrupção de tráfego - D = 3,00 m - chapa com epóxi - escavado em material de 2ª categoria - aterro rodoviário máximo = 3,60 m</t>
  </si>
  <si>
    <t>0605902</t>
  </si>
  <si>
    <t>Bueiro metálico sem interrupção de tráfego - D = 3,00 m - chapa com epóxi - escavado em material de 3ª categoria - aterro ferroviário máximo = 4,70 m</t>
  </si>
  <si>
    <t>0605602</t>
  </si>
  <si>
    <t>Bueiro metálico sem interrupção de tráfego - D = 3,00 m - chapa com epóxi - escavado em material de 3ª categoria - aterro rodoviário máximo = 3,60 m</t>
  </si>
  <si>
    <t>0605748</t>
  </si>
  <si>
    <t>Bueiro metálico sem interrupção de tráfego - D = 3,00 m - chapa galvanizada - escavado em material de 1ª categoria - aterro ferroviário máximo = 4,70 m</t>
  </si>
  <si>
    <t>0605513</t>
  </si>
  <si>
    <t>Bueiro metálico sem interrupção de tráfego - D = 3,00 m - chapa galvanizada - escavado em material de 1ª categoria - aterro rodoviário máximo = 3,60 m</t>
  </si>
  <si>
    <t>0605804</t>
  </si>
  <si>
    <t>Bueiro metálico sem interrupção de tráfego - D = 3,00 m - chapa galvanizada - escavado em material de 2ª categoria - aterro ferroviário máximo = 4,70 m</t>
  </si>
  <si>
    <t>0605533</t>
  </si>
  <si>
    <t>Bueiro metálico sem interrupção de tráfego - D = 3,00 m - chapa galvanizada - escavado em material de 2ª categoria - aterro rodoviário máximo = 3,60 m</t>
  </si>
  <si>
    <t>0605824</t>
  </si>
  <si>
    <t>Bueiro metálico sem interrupção de tráfego - D = 3,00 m - chapa galvanizada - escavado em material de 3ª categoria - aterro ferroviário máximo = 4,70 m</t>
  </si>
  <si>
    <t>0605553</t>
  </si>
  <si>
    <t>Bueiro metálico sem interrupção de tráfego - D = 3,00 m - chapa galvanizada - escavado em material de 3ª categoria - aterro rodoviário máximo = 3,60 m</t>
  </si>
  <si>
    <t>0605845</t>
  </si>
  <si>
    <t>Bueiro metálico sem interrupção de tráfego - D = 3,20 m - chapa com epóxi - escavado em material de 1ª categoria - aterro ferroviário máximo = 4,00 m</t>
  </si>
  <si>
    <t>0605581</t>
  </si>
  <si>
    <t>Bueiro metálico sem interrupção de tráfego - D = 3,20 m - chapa com epóxi - escavado em material de 1ª categoria - aterro rodoviário máximo = 4,80 m</t>
  </si>
  <si>
    <t>0605888</t>
  </si>
  <si>
    <t>Bueiro metálico sem interrupção de tráfego - D = 3,20 m - chapa com epóxi - escavado em material de 2ª categoria - aterro ferroviário máximo = 4,00 m</t>
  </si>
  <si>
    <t>0605592</t>
  </si>
  <si>
    <t>Bueiro metálico sem interrupção de tráfego - D = 3,20 m - chapa com epóxi - escavado em material de 2ª categoria - aterro rodoviário máximo = 4,80 m</t>
  </si>
  <si>
    <t>0605903</t>
  </si>
  <si>
    <t>Bueiro metálico sem interrupção de tráfego - D = 3,20 m - chapa com epóxi - escavado em material de 3ª categoria - aterro ferroviário máximo = 4,00 m</t>
  </si>
  <si>
    <t>0605603</t>
  </si>
  <si>
    <t>Bueiro metálico sem interrupção de tráfego - D = 3,20 m - chapa com epóxi - escavado em material de 3ª categoria - aterro rodoviário máximo = 4,80 m</t>
  </si>
  <si>
    <t>0605771</t>
  </si>
  <si>
    <t>Bueiro metálico sem interrupção de tráfego - D = 3,20 m - chapa galvanizada - escavado em material de 1ª categoria - aterro ferroviário máximo = 4,00 m</t>
  </si>
  <si>
    <t>0605514</t>
  </si>
  <si>
    <t>Bueiro metálico sem interrupção de tráfego - D = 3,20 m - chapa galvanizada - escavado em material de 1ª categoria - aterro rodoviário máximo = 4,80 m</t>
  </si>
  <si>
    <t>0605805</t>
  </si>
  <si>
    <t>Bueiro metálico sem interrupção de tráfego - D = 3,20 m - chapa galvanizada - escavado em material de 2ª categoria - aterro ferroviário máximo = 4,00 m</t>
  </si>
  <si>
    <t>0605534</t>
  </si>
  <si>
    <t>Bueiro metálico sem interrupção de tráfego - D = 3,20 m - chapa galvanizada - escavado em material de 2ª categoria - aterro rodoviário máximo = 4,80 m</t>
  </si>
  <si>
    <t>0605825</t>
  </si>
  <si>
    <t>Bueiro metálico sem interrupção de tráfego - D = 3,20 m - chapa galvanizada - escavado em material de 3ª categoria - aterro ferroviário máximo = 4,00 m</t>
  </si>
  <si>
    <t>0605554</t>
  </si>
  <si>
    <t>Bueiro metálico sem interrupção de tráfego - D = 3,20 m - chapa galvanizada - escavado em material de 3ª categoria - aterro rodoviário máximo = 4,80 m</t>
  </si>
  <si>
    <t>0605772</t>
  </si>
  <si>
    <t>Bueiro metálico sem interrupção de tráfego - D = 3,40 m - chapa galvanizada - escavado em material de 1ª categoria - aterro ferroviário máximo = 7,00 m</t>
  </si>
  <si>
    <t>0605515</t>
  </si>
  <si>
    <t>Bueiro metálico sem interrupção de tráfego - D = 3,40 m - chapa galvanizada - escavado em material de 1ª categoria - aterro rodoviário máximo = 4,50 m</t>
  </si>
  <si>
    <t>0605806</t>
  </si>
  <si>
    <t>Bueiro metálico sem interrupção de tráfego - D = 3,40 m - chapa galvanizada - escavado em material de 2ª categoria - aterro ferroviário máximo = 7,00 m</t>
  </si>
  <si>
    <t>0605535</t>
  </si>
  <si>
    <t>Bueiro metálico sem interrupção de tráfego - D = 3,40 m - chapa galvanizada - escavado em material de 2ª categoria - aterro rodoviário máximo = 4,50 m</t>
  </si>
  <si>
    <t>0605826</t>
  </si>
  <si>
    <t>Bueiro metálico sem interrupção de tráfego - D = 3,40 m - chapa galvanizada - escavado em material de 3ª categoria - aterro ferroviário máximo = 7,00 m</t>
  </si>
  <si>
    <t>0605555</t>
  </si>
  <si>
    <t>Bueiro metálico sem interrupção de tráfego - D = 3,40 m - chapa galvanizada - escavado em material de 3ª categoria - aterro rodoviário máximo = 4,50 m</t>
  </si>
  <si>
    <t>0605773</t>
  </si>
  <si>
    <t>Bueiro metálico sem interrupção de tráfego - D = 3,60 m - chapa galvanizada - escavado em material de 1ª categoria - aterro ferroviário máximo = 6,60 m</t>
  </si>
  <si>
    <t>0605516</t>
  </si>
  <si>
    <t>Bueiro metálico sem interrupção de tráfego - D = 3,60 m - chapa galvanizada - escavado em material de 1ª categoria - aterro rodoviário máximo = 4,30 m</t>
  </si>
  <si>
    <t>0605807</t>
  </si>
  <si>
    <t>Bueiro metálico sem interrupção de tráfego - D = 3,60 m - chapa galvanizada - escavado em material de 2ª categoria - aterro ferroviário máximo = 6,60 m</t>
  </si>
  <si>
    <t>0605536</t>
  </si>
  <si>
    <t>Bueiro metálico sem interrupção de tráfego - D = 3,60 m - chapa galvanizada - escavado em material de 2ª categoria - aterro rodoviário máximo = 4,30 m</t>
  </si>
  <si>
    <t>0605827</t>
  </si>
  <si>
    <t>Bueiro metálico sem interrupção de tráfego - D = 3,60 m - chapa galvanizada - escavado em material de 3ª categoria - aterro ferroviário máximo = 6,60 m</t>
  </si>
  <si>
    <t>0605556</t>
  </si>
  <si>
    <t>Bueiro metálico sem interrupção de tráfego - D = 3,60 m - chapa galvanizada - escavado em material de 3ª categoria - aterro rodoviário máximo = 4,30 m</t>
  </si>
  <si>
    <t>0605774</t>
  </si>
  <si>
    <t>Bueiro metálico sem interrupção de tráfego - D = 3,80 m - chapa galvanizada - escavado em material de 1ª categoria - aterro ferroviário máximo = 6,20 m</t>
  </si>
  <si>
    <t>0605517</t>
  </si>
  <si>
    <t>Bueiro metálico sem interrupção de tráfego - D = 3,80 m - chapa galvanizada - escavado em material de 1ª categoria - aterro rodoviário máximo = 4,00 m</t>
  </si>
  <si>
    <t>0605808</t>
  </si>
  <si>
    <t>Bueiro metálico sem interrupção de tráfego - D = 3,80 m - chapa galvanizada - escavado em material de 2ª categoria - aterro ferroviário máximo = 6,20 m</t>
  </si>
  <si>
    <t>0605537</t>
  </si>
  <si>
    <t>Bueiro metálico sem interrupção de tráfego - D = 3,80 m - chapa galvanizada - escavado em material de 2ª categoria - aterro rodoviário máximo = 4,00 m</t>
  </si>
  <si>
    <t>0605828</t>
  </si>
  <si>
    <t>Bueiro metálico sem interrupção de tráfego - D = 3,80 m - chapa galvanizada - escavado em material de 3ª categoria - aterro ferroviário máximo = 6,20 m</t>
  </si>
  <si>
    <t>0605557</t>
  </si>
  <si>
    <t>Bueiro metálico sem interrupção de tráfego - D = 3,80 m - chapa galvanizada - escavado em material de 3ª categoria - aterro rodoviário máximo = 4,00 m</t>
  </si>
  <si>
    <t>0605775</t>
  </si>
  <si>
    <t>Bueiro metálico sem interrupção de tráfego - D = 4,00 m - chapa galvanizada - escavado em material de 1ª categoria - aterro ferroviário máximo = 5,10 m</t>
  </si>
  <si>
    <t>0605518</t>
  </si>
  <si>
    <t>Bueiro metálico sem interrupção de tráfego - D = 4,00 m - chapa galvanizada - escavado em material de 1ª categoria - aterro rodoviário máximo = 3,10 m</t>
  </si>
  <si>
    <t>0605809</t>
  </si>
  <si>
    <t>Bueiro metálico sem interrupção de tráfego - D = 4,00 m - chapa galvanizada - escavado em material de 2ª categoria - aterro ferroviário máximo = 5,10 m</t>
  </si>
  <si>
    <t>0605538</t>
  </si>
  <si>
    <t>Bueiro metálico sem interrupção de tráfego - D = 4,00 m - chapa galvanizada - escavado em material de 2ª categoria - aterro rodoviário máximo = 3,10 m</t>
  </si>
  <si>
    <t>0605829</t>
  </si>
  <si>
    <t>Bueiro metálico sem interrupção de tráfego - D = 4,00 m - chapa galvanizada - escavado em material de 3ª categoria - aterro ferroviário máximo = 5,10 m</t>
  </si>
  <si>
    <t>0605558</t>
  </si>
  <si>
    <t>Bueiro metálico sem interrupção de tráfego - D = 4,00 m - chapa galvanizada - escavado em material de 3ª categoria - aterro rodoviário máximo = 3,10 m</t>
  </si>
  <si>
    <t>0605776</t>
  </si>
  <si>
    <t>Bueiro metálico sem interrupção de tráfego - D = 4,20 m - chapa galvanizada - escavado em material de 1ª categoria - aterro ferroviário máximo = 4,80 m</t>
  </si>
  <si>
    <t>0605519</t>
  </si>
  <si>
    <t>Bueiro metálico sem interrupção de tráfego - D = 4,20 m - chapa galvanizada - escavado em material de 1ª categoria - aterro rodoviário máximo = 4,40 m</t>
  </si>
  <si>
    <t>0605810</t>
  </si>
  <si>
    <t>Bueiro metálico sem interrupção de tráfego - D = 4,20 m - chapa galvanizada - escavado em material de 2ª categoria - aterro ferroviário máximo = 4,80 m</t>
  </si>
  <si>
    <t>0605539</t>
  </si>
  <si>
    <t>Bueiro metálico sem interrupção de tráfego - D = 4,20 m - chapa galvanizada - escavado em material de 2ª categoria - aterro rodoviário máximo = 4,40 m</t>
  </si>
  <si>
    <t>0605830</t>
  </si>
  <si>
    <t>Bueiro metálico sem interrupção de tráfego - D = 4,20 m - chapa galvanizada - escavado em material de 3ª categoria - aterro ferroviário máximo = 4,80 m</t>
  </si>
  <si>
    <t>0605559</t>
  </si>
  <si>
    <t>Bueiro metálico sem interrupção de tráfego - D = 4,20 m - chapa galvanizada - escavado em material de 3ª categoria - aterro rodoviário máximo = 4,40 m</t>
  </si>
  <si>
    <t>0605777</t>
  </si>
  <si>
    <t>Bueiro metálico sem interrupção de tráfego - D = 4,40 m - chapa galvanizada - escavado em material de 1ª categoria - aterro ferroviário máximo = 4,20 m</t>
  </si>
  <si>
    <t>0605520</t>
  </si>
  <si>
    <t>Bueiro metálico sem interrupção de tráfego - D = 4,40 m - chapa galvanizada - escavado em material de 1ª categoria - aterro rodoviário máximo = 4,20 m</t>
  </si>
  <si>
    <t>0605811</t>
  </si>
  <si>
    <t>Bueiro metálico sem interrupção de tráfego - D = 4,40 m - chapa galvanizada - escavado em material de 2ª categoria - aterro ferroviário máximo = 4,20 m</t>
  </si>
  <si>
    <t>0605540</t>
  </si>
  <si>
    <t>Bueiro metálico sem interrupção de tráfego - D = 4,40 m - chapa galvanizada - escavado em material de 2ª categoria - aterro rodoviário máximo = 4,20 m</t>
  </si>
  <si>
    <t>0605831</t>
  </si>
  <si>
    <t>Bueiro metálico sem interrupção de tráfego - D = 4,40 m - chapa galvanizada - escavado em material de 3ª categoria - aterro ferroviário máximo = 4,20 m</t>
  </si>
  <si>
    <t>0605560</t>
  </si>
  <si>
    <t>Bueiro metálico sem interrupção de tráfego - D = 4,40 m - chapa galvanizada - escavado em material de 3ª categoria - aterro rodoviário máximo = 4,20 m</t>
  </si>
  <si>
    <t>0605778</t>
  </si>
  <si>
    <t>Bueiro metálico sem interrupção de tráfego - D = 4,60 m - chapa galvanizada - escavado em material de 1ª categoria - aterro ferroviário máximo = 4,00 m</t>
  </si>
  <si>
    <t>0605521</t>
  </si>
  <si>
    <t>Bueiro metálico sem interrupção de tráfego - D = 4,60 m - chapa galvanizada - escavado em material de 1ª categoria - aterro rodoviário máximo = 4,00 m</t>
  </si>
  <si>
    <t>0605812</t>
  </si>
  <si>
    <t>Bueiro metálico sem interrupção de tráfego - D = 4,60 m - chapa galvanizada - escavado em material de 2ª categoria - aterro ferroviário máximo = 4,00 m</t>
  </si>
  <si>
    <t>0605541</t>
  </si>
  <si>
    <t>Bueiro metálico sem interrupção de tráfego - D = 4,60 m - chapa galvanizada - escavado em material de 2ª categoria - aterro rodoviário máximo = 4,00 m</t>
  </si>
  <si>
    <t>0605832</t>
  </si>
  <si>
    <t>Bueiro metálico sem interrupção de tráfego - D = 4,60 m - chapa galvanizada - escavado em material de 3ª categoria - aterro ferroviário máximo = 4,00 m</t>
  </si>
  <si>
    <t>0605561</t>
  </si>
  <si>
    <t>Bueiro metálico sem interrupção de tráfego - D = 4,60 m - chapa galvanizada - escavado em material de 3ª categoria - aterro rodoviário máximo = 4,00 m</t>
  </si>
  <si>
    <t>0605779</t>
  </si>
  <si>
    <t>Bueiro metálico sem interrupção de tráfego - D = 4,80 m - chapa galvanizada - escavado em material de 1ª categoria - aterro ferroviário máximo = 5,10 m</t>
  </si>
  <si>
    <t>0605522</t>
  </si>
  <si>
    <t>Bueiro metálico sem interrupção de tráfego - D = 4,80 m - chapa galvanizada - escavado em material de 1ª categoria - aterro rodoviário máximo = 5,50 m</t>
  </si>
  <si>
    <t>0605813</t>
  </si>
  <si>
    <t>Bueiro metálico sem interrupção de tráfego - D = 4,80 m - chapa galvanizada - escavado em material de 2ª categoria - aterro ferroviário máximo = 5,10 m</t>
  </si>
  <si>
    <t>0605542</t>
  </si>
  <si>
    <t>Bueiro metálico sem interrupção de tráfego - D = 4,80 m - chapa galvanizada - escavado em material de 2ª categoria - aterro rodoviário máximo = 5,50 m</t>
  </si>
  <si>
    <t>0605833</t>
  </si>
  <si>
    <t>Bueiro metálico sem interrupção de tráfego - D = 4,80 m - chapa galvanizada - escavado em material de 3ª categoria - aterro ferroviário máximo = 5,10 m</t>
  </si>
  <si>
    <t>0605562</t>
  </si>
  <si>
    <t>Bueiro metálico sem interrupção de tráfego - D = 4,80 m - chapa galvanizada - escavado em material de 3ª categoria - aterro rodoviário máximo = 5,50 m</t>
  </si>
  <si>
    <t>0605780</t>
  </si>
  <si>
    <t>Bueiro metálico sem interrupção de tráfego - D = 5,00 m - chapa galvanizada - escavado em material de 1ª categoria - aterro ferroviário máximo = 4,80 m</t>
  </si>
  <si>
    <t>0605523</t>
  </si>
  <si>
    <t>Bueiro metálico sem interrupção de tráfego - D = 5,00 m - chapa galvanizada - escavado em material de 1ª categoria - aterro rodoviário máximo = 5,30 m</t>
  </si>
  <si>
    <t>0605814</t>
  </si>
  <si>
    <t>Bueiro metálico sem interrupção de tráfego - D = 5,00 m - chapa galvanizada - escavado em material de 2ª categoria - aterro ferroviário máximo = 4,80 m</t>
  </si>
  <si>
    <t>0605543</t>
  </si>
  <si>
    <t>Bueiro metálico sem interrupção de tráfego - D = 5,00 m - chapa galvanizada - escavado em material de 2ª categoria - aterro rodoviário máximo = 5,30 m</t>
  </si>
  <si>
    <t>0605834</t>
  </si>
  <si>
    <t>Bueiro metálico sem interrupção de tráfego - D = 5,00 m - chapa galvanizada - escavado em material de 3ª categoria - aterro ferroviário máximo = 4,80 m</t>
  </si>
  <si>
    <t>0605563</t>
  </si>
  <si>
    <t>Bueiro metálico sem interrupção de tráfego - D = 5,00 m - chapa galvanizada - escavado em material de 3ª categoria - aterro rodoviário máximo = 5,30 m</t>
  </si>
  <si>
    <t>0605606</t>
  </si>
  <si>
    <t>Sistema de escoramento telescópico regulável para tunnel liner</t>
  </si>
  <si>
    <t>0705314</t>
  </si>
  <si>
    <t>Boca de BDCC 1,50 x 1,50 m - esconsidade 0° - areia e brita comerciais</t>
  </si>
  <si>
    <t>0705312</t>
  </si>
  <si>
    <t>Boca de BDCC 1,50 x 1,50 m - esconsidade 0° - areia extraída e brita produzida</t>
  </si>
  <si>
    <t>0705316</t>
  </si>
  <si>
    <t>Boca de BDCC 1,50 x 1,50 m - esconsidade 15° - areia e brita comerciais</t>
  </si>
  <si>
    <t>0705315</t>
  </si>
  <si>
    <t>Boca de BDCC 1,50 x 1,50 m - esconsidade 15° - areia extraída e brita produzida</t>
  </si>
  <si>
    <t>0705318</t>
  </si>
  <si>
    <t>Boca de BDCC 1,50 x 1,50 m - esconsidade 30° - areia e brita comerciais</t>
  </si>
  <si>
    <t>0705317</t>
  </si>
  <si>
    <t>Boca de BDCC 1,50 x 1,50 m - esconsidade 30° - areia extraída e brita produzida</t>
  </si>
  <si>
    <t>0705320</t>
  </si>
  <si>
    <t>Boca de BDCC 1,50 x 1,50 m - esconsidade 45° - areia e brita comerciais</t>
  </si>
  <si>
    <t>0705319</t>
  </si>
  <si>
    <t>Boca de BDCC 1,50 x 1,50 m - esconsidade 45° - areia extraída e brita produzida</t>
  </si>
  <si>
    <t>0705322</t>
  </si>
  <si>
    <t>Boca de BDCC 2,00 x 2,00 m - esconsidade 0° - areia e brita comerciais</t>
  </si>
  <si>
    <t>0705321</t>
  </si>
  <si>
    <t>Boca de BDCC 2,00 x 2,00 m - esconsidade 0° - areia extraída e brita produzida</t>
  </si>
  <si>
    <t>0705324</t>
  </si>
  <si>
    <t>Boca de BDCC 2,00 x 2,00 m - esconsidade 15° - areia e brita comerciais</t>
  </si>
  <si>
    <t>0705323</t>
  </si>
  <si>
    <t>Boca de BDCC 2,00 x 2,00 m - esconsidade 15° - areia extraída e brita produzida</t>
  </si>
  <si>
    <t>0705326</t>
  </si>
  <si>
    <t>Boca de BDCC 2,00 x 2,00 m - esconsidade 30° - areia e brita comerciais</t>
  </si>
  <si>
    <t>0705325</t>
  </si>
  <si>
    <t>Boca de BDCC 2,00 x 2,00 m - esconsidade 30° - areia extraída e brita produzida</t>
  </si>
  <si>
    <t>0705328</t>
  </si>
  <si>
    <t>Boca de BDCC 2,00 x 2,00 m - esconsidade 45° - areia e brita comerciais</t>
  </si>
  <si>
    <t>0705327</t>
  </si>
  <si>
    <t>Boca de BDCC 2,00 x 2,00 m - esconsidade 45° - areia extraída e brita produzida</t>
  </si>
  <si>
    <t>0705330</t>
  </si>
  <si>
    <t>Boca de BDCC 2,50 x 2,50 m - esconsidade 0° - areia e brita comerciais</t>
  </si>
  <si>
    <t>0705329</t>
  </si>
  <si>
    <t>Boca de BDCC 2,50 x 2,50 m - esconsidade 0° - areia extraída e brita produzida</t>
  </si>
  <si>
    <t>0705332</t>
  </si>
  <si>
    <t>Boca de BDCC 2,50 x 2,50 m - esconsidade 15° - areia e brita comerciais</t>
  </si>
  <si>
    <t>0705331</t>
  </si>
  <si>
    <t>Boca de BDCC 2,50 x 2,50 m - esconsidade 15° - areia extraída e brita produzida</t>
  </si>
  <si>
    <t>0705334</t>
  </si>
  <si>
    <t>Boca de BDCC 2,50 x 2,50 m - esconsidade 30° - areia e brita comerciais</t>
  </si>
  <si>
    <t>0705333</t>
  </si>
  <si>
    <t>Boca de BDCC 2,50 x 2,50 m - esconsidade 30° - areia extraída e brita produzida</t>
  </si>
  <si>
    <t>0705336</t>
  </si>
  <si>
    <t>Boca de BDCC 2,50 x 2,50 m - esconsidade 45° - areia e brita comerciais</t>
  </si>
  <si>
    <t>0705335</t>
  </si>
  <si>
    <t>Boca de BDCC 2,50 x 2,50 m - esconsidade 45° - areia extraída e brita produzida</t>
  </si>
  <si>
    <t>0705338</t>
  </si>
  <si>
    <t>Boca de BDCC 3,00 x 3,00 m - esconsidade 0° - areia e brita comerciais</t>
  </si>
  <si>
    <t>0705337</t>
  </si>
  <si>
    <t>Boca de BDCC 3,00 x 3,00 m - esconsidade 0° - areia extraída e brita produzida</t>
  </si>
  <si>
    <t>0705340</t>
  </si>
  <si>
    <t>Boca de BDCC 3,00 x 3,00 m - esconsidade 15° - areia e brita comerciais</t>
  </si>
  <si>
    <t>0705339</t>
  </si>
  <si>
    <t>Boca de BDCC 3,00 x 3,00 m - esconsidade 15° - areia extraída e brita produzida</t>
  </si>
  <si>
    <t>0705342</t>
  </si>
  <si>
    <t>Boca de BDCC 3,00 x 3,00 m - esconsidade 30° - areia e brita comerciais</t>
  </si>
  <si>
    <t>0705341</t>
  </si>
  <si>
    <t>Boca de BDCC 3,00 x 3,00 m - esconsidade 30° - areia extraída e brita produzida</t>
  </si>
  <si>
    <t>0705344</t>
  </si>
  <si>
    <t>Boca de BDCC 3,00 x 3,00 m - esconsidade 45° - areia e brita comerciais</t>
  </si>
  <si>
    <t>0705343</t>
  </si>
  <si>
    <t>Boca de BDCC 3,00 x 3,00 m - esconsidade 45° - areia extraída e brita produzida</t>
  </si>
  <si>
    <t>0705225</t>
  </si>
  <si>
    <t>Boca de BSCC 1,50 x 1,50 m - esconsidade 0° - areia e brita comerciais</t>
  </si>
  <si>
    <t>0705224</t>
  </si>
  <si>
    <t>Boca de BSCC 1,50 x 1,50 m - esconsidade 0° - areia extraída e brita produzida</t>
  </si>
  <si>
    <t>0705227</t>
  </si>
  <si>
    <t>Boca de BSCC 1,50 x 1,50 m - esconsidade 15° - areia e brita comerciais</t>
  </si>
  <si>
    <t>0705226</t>
  </si>
  <si>
    <t>Boca de BSCC 1,50 x 1,50 m - esconsidade 15° - areia extraída e brita produzida</t>
  </si>
  <si>
    <t>0705229</t>
  </si>
  <si>
    <t>Boca de BSCC 1,50 x 1,50 m - esconsidade 30° - areia e brita comerciais</t>
  </si>
  <si>
    <t>0705228</t>
  </si>
  <si>
    <t>Boca de BSCC 1,50 x 1,50 m - esconsidade 30° - areia extraída e brita produzida</t>
  </si>
  <si>
    <t>0705231</t>
  </si>
  <si>
    <t>Boca de BSCC 1,50 x 1,50 m - esconsidade 45° - areia e brita comerciais</t>
  </si>
  <si>
    <t>0705230</t>
  </si>
  <si>
    <t>Boca de BSCC 1,50 x 1,50 m - esconsidade 45° - areia extraída e brita produzida</t>
  </si>
  <si>
    <t>0705233</t>
  </si>
  <si>
    <t>Boca de BSCC 2,00 x 2,00 m - esconsidade 0° - areia e brita comerciais</t>
  </si>
  <si>
    <t>0705232</t>
  </si>
  <si>
    <t>Boca de BSCC 2,00 x 2,00 m - esconsidade 0° - areia extraída e brita produzida</t>
  </si>
  <si>
    <t>0705235</t>
  </si>
  <si>
    <t>Boca de BSCC 2,00 x 2,00 m - esconsidade 15° - areia e brita comerciais</t>
  </si>
  <si>
    <t>0705234</t>
  </si>
  <si>
    <t>Boca de BSCC 2,00 x 2,00 m - esconsidade 15° - areia extraída e brita produzida</t>
  </si>
  <si>
    <t>0705237</t>
  </si>
  <si>
    <t>Boca de BSCC 2,00 x 2,00 m - esconsidade 30° - areia e brita comerciais</t>
  </si>
  <si>
    <t>0705236</t>
  </si>
  <si>
    <t>Boca de BSCC 2,00 x 2,00 m - esconsidade 30° - areia extraída e brita produzida</t>
  </si>
  <si>
    <t>0705239</t>
  </si>
  <si>
    <t>Boca de BSCC 2,00 x 2,00 m - esconsidade 45° - areia e brita comerciais</t>
  </si>
  <si>
    <t>0705238</t>
  </si>
  <si>
    <t>Boca de BSCC 2,00 x 2,00 m - esconsidade 45° - areia extraída e brita produzida</t>
  </si>
  <si>
    <t>0705241</t>
  </si>
  <si>
    <t>Boca de BSCC 2,50 x 2,50 m - esconsidade 0° - areia e brita comerciais</t>
  </si>
  <si>
    <t>0705240</t>
  </si>
  <si>
    <t>Boca de BSCC 2,50 x 2,50 m - esconsidade 0° - areia extraída e brita produzida</t>
  </si>
  <si>
    <t>0705243</t>
  </si>
  <si>
    <t>Boca de BSCC 2,50 x 2,50 m - esconsidade 15° - areia e brita comerciais</t>
  </si>
  <si>
    <t>0705242</t>
  </si>
  <si>
    <t>Boca de BSCC 2,50 x 2,50 m - esconsidade 15° - areia extraída e brita produzida</t>
  </si>
  <si>
    <t>0705245</t>
  </si>
  <si>
    <t>Boca de BSCC 2,50 x 2,50 m - esconsidade 30° - areia e brita comerciais</t>
  </si>
  <si>
    <t>0705244</t>
  </si>
  <si>
    <t>Boca de BSCC 2,50 x 2,50 m - esconsidade 30° - areia extraída e brita produzida</t>
  </si>
  <si>
    <t>0705247</t>
  </si>
  <si>
    <t>Boca de BSCC 2,50 x 2,50 m - esconsidade 45° - areia e brita comerciais</t>
  </si>
  <si>
    <t>0705246</t>
  </si>
  <si>
    <t>Boca de BSCC 2,50 x 2,50 m - esconsidade 45° - areia extraída e brita produzida</t>
  </si>
  <si>
    <t>0705249</t>
  </si>
  <si>
    <t>Boca de BSCC 3,00 x 3,00 m - esconsidade 0° - areia e brita comerciais</t>
  </si>
  <si>
    <t>0705248</t>
  </si>
  <si>
    <t>Boca de BSCC 3,00 x 3,00 m - esconsidade 0° - areia extraída e brita produzida</t>
  </si>
  <si>
    <t>0705251</t>
  </si>
  <si>
    <t>Boca de BSCC 3,00 x 3,00 m - esconsidade 15° - areia e brita comerciais</t>
  </si>
  <si>
    <t>0705250</t>
  </si>
  <si>
    <t>Boca de BSCC 3,00 x 3,00 m - esconsidade 15° - areia extraída e brita produzida</t>
  </si>
  <si>
    <t>0705253</t>
  </si>
  <si>
    <t>Boca de BSCC 3,00 x 3,00 m - esconsidade 30° - areia e brita comerciais</t>
  </si>
  <si>
    <t>0705252</t>
  </si>
  <si>
    <t>Boca de BSCC 3,00 x 3,00 m - esconsidade 30° - areia extraída e brita produzida</t>
  </si>
  <si>
    <t>0705255</t>
  </si>
  <si>
    <t>Boca de BSCC 3,00 x 3,00 m - esconsidade 45° - areia e brita comerciais</t>
  </si>
  <si>
    <t>0705254</t>
  </si>
  <si>
    <t>Boca de BSCC 3,00 x 3,00 m - esconsidade 45° - areia extraída e brita produzida</t>
  </si>
  <si>
    <t>0705403</t>
  </si>
  <si>
    <t>Boca de BTCC 1,50 x 1,50 m - esconsidade 0° - areia e brita comerciais</t>
  </si>
  <si>
    <t>0705402</t>
  </si>
  <si>
    <t>Boca de BTCC 1,50 x 1,50 m - esconsidade 0° - areia extraída e brita produzida</t>
  </si>
  <si>
    <t>0705405</t>
  </si>
  <si>
    <t>Boca de BTCC 1,50 x 1,50 m - esconsidade 15° - areia e brita comerciais</t>
  </si>
  <si>
    <t>0705404</t>
  </si>
  <si>
    <t>Boca de BTCC 1,50 x 1,50 m - esconsidade 15° - areia extraída e brita produzida</t>
  </si>
  <si>
    <t>0705407</t>
  </si>
  <si>
    <t>Boca de BTCC 1,50 x 1,50 m - esconsidade 30° - areia e brita comerciais</t>
  </si>
  <si>
    <t>0705406</t>
  </si>
  <si>
    <t>Boca de BTCC 1,50 x 1,50 m - esconsidade 30° - areia extraída e brita produzida</t>
  </si>
  <si>
    <t>0705409</t>
  </si>
  <si>
    <t>Boca de BTCC 1,50 x 1,50 m - esconsidade 45° - areia e brita comerciais</t>
  </si>
  <si>
    <t>0705408</t>
  </si>
  <si>
    <t>Boca de BTCC 1,50 x 1,50 m - esconsidade 45° - areia extraída e brita produzida</t>
  </si>
  <si>
    <t>0705411</t>
  </si>
  <si>
    <t>Boca de BTCC 2,00 x 2,00 m - esconsidade 0° - areia e brita comerciais</t>
  </si>
  <si>
    <t>0705410</t>
  </si>
  <si>
    <t>Boca de BTCC 2,00 x 2,00 m - esconsidade 0° - areia extraída e brita produzida</t>
  </si>
  <si>
    <t>0705413</t>
  </si>
  <si>
    <t>Boca de BTCC 2,00 x 2,00 m - esconsidade 15° - areia e brita comerciais</t>
  </si>
  <si>
    <t>0705412</t>
  </si>
  <si>
    <t>Boca de BTCC 2,00 x 2,00 m - esconsidade 15° - areia extraída e brita produzida</t>
  </si>
  <si>
    <t>0705415</t>
  </si>
  <si>
    <t>Boca de BTCC 2,00 x 2,00 m - esconsidade 30° - areia e brita comerciais</t>
  </si>
  <si>
    <t>0705414</t>
  </si>
  <si>
    <t>Boca de BTCC 2,00 x 2,00 m - esconsidade 30° - areia extraída e brita produzida</t>
  </si>
  <si>
    <t>0705417</t>
  </si>
  <si>
    <t>Boca de BTCC 2,00 x 2,00 m - esconsidade 45° - areia e brita comerciais</t>
  </si>
  <si>
    <t>0705416</t>
  </si>
  <si>
    <t>Boca de BTCC 2,00 x 2,00 m - esconsidade 45° - areia extraída e brita produzida</t>
  </si>
  <si>
    <t>0705419</t>
  </si>
  <si>
    <t>Boca de BTCC 2,50 x 2,50 m - esconsidade 0° - areia e brita comerciais</t>
  </si>
  <si>
    <t>0705418</t>
  </si>
  <si>
    <t>Boca de BTCC 2,50 x 2,50 m - esconsidade 0° - areia extraída e brita produzida</t>
  </si>
  <si>
    <t>0705421</t>
  </si>
  <si>
    <t>Boca de BTCC 2,50 x 2,50 m - esconsidade 15° - areia e brita comerciais</t>
  </si>
  <si>
    <t>0705420</t>
  </si>
  <si>
    <t>Boca de BTCC 2,50 x 2,50 m - esconsidade 15° - areia extraída e brita produzida</t>
  </si>
  <si>
    <t>0705423</t>
  </si>
  <si>
    <t>Boca de BTCC 2,50 x 2,50 m - esconsidade 30° - areia e brita comerciais</t>
  </si>
  <si>
    <t>0705422</t>
  </si>
  <si>
    <t>Boca de BTCC 2,50 x 2,50 m - esconsidade 30° - areia extraída e brita produzida</t>
  </si>
  <si>
    <t>0705425</t>
  </si>
  <si>
    <t>Boca de BTCC 2,50 x 2,50 m - esconsidade 45° - areia e brita comerciais</t>
  </si>
  <si>
    <t>0705424</t>
  </si>
  <si>
    <t>Boca de BTCC 2,50 x 2,50 m - esconsidade 45° - areia extraída e brita produzida</t>
  </si>
  <si>
    <t>0705427</t>
  </si>
  <si>
    <t>Boca de BTCC 3,00 x 3,00 m - esconsidade 0° - areia e brita comerciais</t>
  </si>
  <si>
    <t>0705426</t>
  </si>
  <si>
    <t>Boca de BTCC 3,00 x 3,00 m - esconsidade 0° - areia extraída e brita produzida</t>
  </si>
  <si>
    <t>0705429</t>
  </si>
  <si>
    <t>Boca de BTCC 3,00 x 3,00 m - esconsidade 15° - areia e brita comerciais</t>
  </si>
  <si>
    <t>0705428</t>
  </si>
  <si>
    <t>Boca de BTCC 3,00 x 3,00 m - esconsidade 15° - areia extraída e brita produzida</t>
  </si>
  <si>
    <t>0705431</t>
  </si>
  <si>
    <t>Boca de BTCC 3,00 x 3,00 m - esconsidade 30° - areia e brita comerciais</t>
  </si>
  <si>
    <t>0705430</t>
  </si>
  <si>
    <t>Boca de BTCC 3,00 x 3,00 m - esconsidade 30° - areia extraída e brita produzida</t>
  </si>
  <si>
    <t>0705433</t>
  </si>
  <si>
    <t>Boca de BTCC 3,00 x 3,00 m - esconsidade 45° - areia e brita comerciais</t>
  </si>
  <si>
    <t>0705432</t>
  </si>
  <si>
    <t>Boca de BTCC 3,00 x 3,00 m - esconsidade 45° - areia extraída e brita produzida</t>
  </si>
  <si>
    <t>0705257</t>
  </si>
  <si>
    <t>Corpo de BDCC 1,50 x 1,50 m - moldado no local - altura do aterro 0,00 a 1,00 m - areia e brita comerciais</t>
  </si>
  <si>
    <t>0705256</t>
  </si>
  <si>
    <t>Corpo de BDCC 1,50 x 1,50 m - moldado no local - altura do aterro 0,00 a 1,00 m - areia extraída e brita produzida</t>
  </si>
  <si>
    <t>0705259</t>
  </si>
  <si>
    <t>Corpo de BDCC 1,50 x 1,50 m - moldado no local - altura do aterro 1,00 a 2,50 m - areia e brita comerciais</t>
  </si>
  <si>
    <t>0705258</t>
  </si>
  <si>
    <t>Corpo de BDCC 1,50 x 1,50 m - moldado no local - altura do aterro 1,00 a 2,50 m - areia extraída e brita produzida</t>
  </si>
  <si>
    <t>0705267</t>
  </si>
  <si>
    <t>Corpo de BDCC 1,50 x 1,50 m - moldado no local - altura do aterro 10,00 a 12,50 m - areia e brita comerciais</t>
  </si>
  <si>
    <t>0705266</t>
  </si>
  <si>
    <t>Corpo de BDCC 1,50 x 1,50 m - moldado no local - altura do aterro 10,00 a 12,50 m - areia extraída e brita produzida</t>
  </si>
  <si>
    <t>0705269</t>
  </si>
  <si>
    <t>Corpo de BDCC 1,50 x 1,50 m - moldado no local - altura do aterro 12,50 a 15,00 m - areia e brita comerciais</t>
  </si>
  <si>
    <t>0705268</t>
  </si>
  <si>
    <t>Corpo de BDCC 1,50 x 1,50 m - moldado no local - altura do aterro 12,50 a 15,00 m - areia extraída e brita produzida</t>
  </si>
  <si>
    <t>0705261</t>
  </si>
  <si>
    <t>Corpo de BDCC 1,50 x 1,50 m - moldado no local - altura do aterro 2,50 a 5,00 m - areia e brita comerciais</t>
  </si>
  <si>
    <t>0705260</t>
  </si>
  <si>
    <t>Corpo de BDCC 1,50 x 1,50 m - moldado no local - altura do aterro 2,50 a 5,00 m - areia extraída e brita produzida</t>
  </si>
  <si>
    <t>0705263</t>
  </si>
  <si>
    <t>Corpo de BDCC 1,50 x 1,50 m - moldado no local - altura do aterro 5,00 a 7,50 m - areia e brita comerciais</t>
  </si>
  <si>
    <t>0705262</t>
  </si>
  <si>
    <t>Corpo de BDCC 1,50 x 1,50 m - moldado no local - altura do aterro 5,00 a 7,50 m - areia extraída e brita produzida</t>
  </si>
  <si>
    <t>0705265</t>
  </si>
  <si>
    <t>Corpo de BDCC 1,50 x 1,50 m - moldado no local - altura do aterro 7,50 a 10,00 m - areia e brita comerciais</t>
  </si>
  <si>
    <t>0705264</t>
  </si>
  <si>
    <t>Corpo de BDCC 1,50 x 1,50 m - moldado no local - altura do aterro 7,50 a 10,00 m - areia extraída e brita produzida</t>
  </si>
  <si>
    <t>0705271</t>
  </si>
  <si>
    <t>Corpo de BDCC 2,00 x 2,00 m - moldado no local - altura do aterro 0,00 a 1,00 m - areia e brita comerciais</t>
  </si>
  <si>
    <t>0705270</t>
  </si>
  <si>
    <t>Corpo de BDCC 2,00 x 2,00 m - moldado no local - altura do aterro 0,00 a 1,00 m - areia extraída e brita produzida</t>
  </si>
  <si>
    <t>0705273</t>
  </si>
  <si>
    <t>Corpo de BDCC 2,00 x 2,00 m - moldado no local - altura do aterro 1,00 a 2,50 m - areia e brita comerciais</t>
  </si>
  <si>
    <t>0705272</t>
  </si>
  <si>
    <t>Corpo de BDCC 2,00 x 2,00 m - moldado no local - altura do aterro 1,00 a 2,50 m - areia extraída e brita produzida</t>
  </si>
  <si>
    <t>0705281</t>
  </si>
  <si>
    <t>Corpo de BDCC 2,00 x 2,00 m - moldado no local - altura do aterro 10,00 a 12,50 m - areia e brita comerciais</t>
  </si>
  <si>
    <t>0705280</t>
  </si>
  <si>
    <t>Corpo de BDCC 2,00 x 2,00 m - moldado no local - altura do aterro 10,00 a 12,50 m - areia extraída e brita produzida</t>
  </si>
  <si>
    <t>0705283</t>
  </si>
  <si>
    <t>Corpo de BDCC 2,00 x 2,00 m - moldado no local - altura do aterro 12,50 a 15,00 m - areia e brita comerciais</t>
  </si>
  <si>
    <t>0705282</t>
  </si>
  <si>
    <t>Corpo de BDCC 2,00 x 2,00 m - moldado no local - altura do aterro 12,50 a 15,00 m - areia extraída e brita produzida</t>
  </si>
  <si>
    <t>0705275</t>
  </si>
  <si>
    <t>Corpo de BDCC 2,00 x 2,00 m - moldado no local - altura do aterro 2,50 a 5,00 m - areia e brita comerciais</t>
  </si>
  <si>
    <t>0705274</t>
  </si>
  <si>
    <t>Corpo de BDCC 2,00 x 2,00 m - moldado no local - altura do aterro 2,50 a 5,00 m - areia extraída e brita produzida</t>
  </si>
  <si>
    <t>0705277</t>
  </si>
  <si>
    <t>Corpo de BDCC 2,00 x 2,00 m - moldado no local - altura do aterro 5,00 a 7,50 m - areia e brita comerciais</t>
  </si>
  <si>
    <t>0705276</t>
  </si>
  <si>
    <t>Corpo de BDCC 2,00 x 2,00 m - moldado no local - altura do aterro 5,00 a 7,50 m - areia extraída e brita produzida</t>
  </si>
  <si>
    <t>0705279</t>
  </si>
  <si>
    <t>Corpo de BDCC 2,00 x 2,00 m - moldado no local - altura do aterro 7,50 a 10,00 m - areia e brita comerciais</t>
  </si>
  <si>
    <t>0705278</t>
  </si>
  <si>
    <t>Corpo de BDCC 2,00 x 2,00 m - moldado no local - altura do aterro 7,50 a 10,00 m - areia extraída e brita produzida</t>
  </si>
  <si>
    <t>0705285</t>
  </si>
  <si>
    <t>Corpo de BDCC 2,50 x 2,50 m - moldado no local - altura do aterro 0,00 a 1,00 m - areia e brita comerciais</t>
  </si>
  <si>
    <t>0705284</t>
  </si>
  <si>
    <t>Corpo de BDCC 2,50 x 2,50 m - moldado no local - altura do aterro 0,00 a 1,00 m - areia extraída e brita produzida</t>
  </si>
  <si>
    <t>0705287</t>
  </si>
  <si>
    <t>Corpo de BDCC 2,50 x 2,50 m - moldado no local - altura do aterro 1,00 a 2,50 m - areia e brita comerciais</t>
  </si>
  <si>
    <t>0705286</t>
  </si>
  <si>
    <t>Corpo de BDCC 2,50 x 2,50 m - moldado no local - altura do aterro 1,00 a 2,50 m - areia extraída e brita produzida</t>
  </si>
  <si>
    <t>0705295</t>
  </si>
  <si>
    <t>Corpo de BDCC 2,50 x 2,50 m - moldado no local - altura do aterro 10,00 a 12,50 m - areia e brita comerciais</t>
  </si>
  <si>
    <t>0705294</t>
  </si>
  <si>
    <t>Corpo de BDCC 2,50 x 2,50 m - moldado no local - altura do aterro 10,00 a 12,50 m - areia extraída e brita produzida</t>
  </si>
  <si>
    <t>0705297</t>
  </si>
  <si>
    <t>Corpo de BDCC 2,50 x 2,50 m - moldado no local - altura do aterro 12,50 a 15,00 m - areia e brita comerciais</t>
  </si>
  <si>
    <t>0705296</t>
  </si>
  <si>
    <t>Corpo de BDCC 2,50 x 2,50 m - moldado no local - altura do aterro 12,50 a 15,00 m - areia extraída e brita produzida</t>
  </si>
  <si>
    <t>0705289</t>
  </si>
  <si>
    <t>Corpo de BDCC 2,50 x 2,50 m - moldado no local - altura do aterro 2,50 a 5,00 m - areia e brita comerciais</t>
  </si>
  <si>
    <t>0705288</t>
  </si>
  <si>
    <t>Corpo de BDCC 2,50 x 2,50 m - moldado no local - altura do aterro 2,50 a 5,00 m - areia extraída e brita produzida</t>
  </si>
  <si>
    <t>0705291</t>
  </si>
  <si>
    <t>Corpo de BDCC 2,50 x 2,50 m - moldado no local - altura do aterro 5,00 a 7,50 m - areia e brita comerciais</t>
  </si>
  <si>
    <t>0705290</t>
  </si>
  <si>
    <t>Corpo de BDCC 2,50 x 2,50 m - moldado no local - altura do aterro 5,00 a 7,50 m - areia extraída e brita produzida</t>
  </si>
  <si>
    <t>0705293</t>
  </si>
  <si>
    <t>Corpo de BDCC 2,50 x 2,50 m - moldado no local - altura do aterro 7,50 a 10,00 m - areia e brita comerciais</t>
  </si>
  <si>
    <t>0705292</t>
  </si>
  <si>
    <t>Corpo de BDCC 2,50 x 2,50 m - moldado no local - altura do aterro 7,50 a 10,00 m - areia extraída e brita produzida</t>
  </si>
  <si>
    <t>0705299</t>
  </si>
  <si>
    <t>Corpo de BDCC 3,00 x 3,00 m - moldado no local - altura do aterro 0,00 a 1,00 m - areia e brita comerciais</t>
  </si>
  <si>
    <t>0705298</t>
  </si>
  <si>
    <t>Corpo de BDCC 3,00 x 3,00 m - moldado no local - altura do aterro 0,00 a 1,00 m - areia extraída e brita produzida</t>
  </si>
  <si>
    <t>0705301</t>
  </si>
  <si>
    <t>Corpo de BDCC 3,00 x 3,00 m - moldado no local - altura do aterro 1,00 a 2,50 m - areia e brita comerciais</t>
  </si>
  <si>
    <t>0705300</t>
  </si>
  <si>
    <t>Corpo de BDCC 3,00 x 3,00 m - moldado no local - altura do aterro 1,00 a 2,50 m - areia extraída e brita produzida</t>
  </si>
  <si>
    <t>0705309</t>
  </si>
  <si>
    <t>Corpo de BDCC 3,00 x 3,00 m - moldado no local - altura do aterro 10,00 a 12,50 m - areia e brita comerciais</t>
  </si>
  <si>
    <t>0705308</t>
  </si>
  <si>
    <t>Corpo de BDCC 3,00 x 3,00 m - moldado no local - altura do aterro 10,00 a 12,50 m - areia extraída e brita produzida</t>
  </si>
  <si>
    <t>0705311</t>
  </si>
  <si>
    <t>Corpo de BDCC 3,00 x 3,00 m - moldado no local - altura do aterro 12,50 a 15,00 m - areia e brita comerciais</t>
  </si>
  <si>
    <t>0705310</t>
  </si>
  <si>
    <t>Corpo de BDCC 3,00 x 3,00 m - moldado no local - altura do aterro 12,50 a 15,00 m - areia extraída e brita produzida</t>
  </si>
  <si>
    <t>0705303</t>
  </si>
  <si>
    <t>Corpo de BDCC 3,00 x 3,00 m - moldado no local - altura do aterro 2,50 a 5,00 m - areia e brita comerciais</t>
  </si>
  <si>
    <t>0705302</t>
  </si>
  <si>
    <t>Corpo de BDCC 3,00 x 3,00 m - moldado no local - altura do aterro 2,50 a 5,00 m - areia extraída e brita produzida</t>
  </si>
  <si>
    <t>0705305</t>
  </si>
  <si>
    <t>Corpo de BDCC 3,00 x 3,00 m - moldado no local - altura do aterro 5,00 a 7,50 m - areia e brita comerciais</t>
  </si>
  <si>
    <t>0705304</t>
  </si>
  <si>
    <t>Corpo de BDCC 3,00 x 3,00 m - moldado no local - altura do aterro 5,00 a 7,50 m - areia extraída e brita produzida</t>
  </si>
  <si>
    <t>0705307</t>
  </si>
  <si>
    <t>Corpo de BDCC 3,00 x 3,00 m - moldado no local - altura do aterro 7,50 a 10,00 m - areia e brita comerciais</t>
  </si>
  <si>
    <t>0705306</t>
  </si>
  <si>
    <t>Corpo de BDCC 3,00 x 3,00 m - moldado no local - altura do aterro 7,50 a 10,00 m - areia extraída e brita produzida</t>
  </si>
  <si>
    <t>0705169</t>
  </si>
  <si>
    <t>Corpo de BSCC 1,50 x 1,50 m - moldado no local - altura do aterro 0,00 a 1,00 m - areia e brita comerciais</t>
  </si>
  <si>
    <t>0705168</t>
  </si>
  <si>
    <t>Corpo de BSCC 1,50 x 1,50 m - moldado no local - altura do aterro 0,00 a 1,00 m - areia extraída e brita produzida</t>
  </si>
  <si>
    <t>0705171</t>
  </si>
  <si>
    <t>Corpo de BSCC 1,50 x 1,50 m - moldado no local - altura do aterro 1,00 a 2,50 m - areia e brita comerciais</t>
  </si>
  <si>
    <t>0705170</t>
  </si>
  <si>
    <t>Corpo de BSCC 1,50 x 1,50 m - moldado no local - altura do aterro 1,00 a 2,50 m - areia extraída e brita produzida</t>
  </si>
  <si>
    <t>0705179</t>
  </si>
  <si>
    <t>Corpo de BSCC 1,50 x 1,50 m - moldado no local - altura do aterro 10,00 a 12,50 m - areia e brita comerciais</t>
  </si>
  <si>
    <t>0705178</t>
  </si>
  <si>
    <t>Corpo de BSCC 1,50 x 1,50 m - moldado no local - altura do aterro 10,00 a 12,50 m - areia extraída e brita produzida</t>
  </si>
  <si>
    <t>0705181</t>
  </si>
  <si>
    <t>Corpo de BSCC 1,50 x 1,50 m - moldado no local - altura do aterro 12,50 a 15,00 m - areia e brita comerciais</t>
  </si>
  <si>
    <t>0705180</t>
  </si>
  <si>
    <t>Corpo de BSCC 1,50 x 1,50 m - moldado no local - altura do aterro 12,50 a 15,00 m - areia extraída e brita produzida</t>
  </si>
  <si>
    <t>0705173</t>
  </si>
  <si>
    <t>Corpo de BSCC 1,50 x 1,50 m - moldado no local - altura do aterro 2,50 a 5,00 m - areia e brita comerciais</t>
  </si>
  <si>
    <t>0705172</t>
  </si>
  <si>
    <t>Corpo de BSCC 1,50 x 1,50 m - moldado no local - altura do aterro 2,50 a 5,00 m - areia extraída e brita produzida</t>
  </si>
  <si>
    <t>0705175</t>
  </si>
  <si>
    <t>Corpo de BSCC 1,50 x 1,50 m - moldado no local - altura do aterro 5,00 a 7,50 m - areia e brita comerciais</t>
  </si>
  <si>
    <t>0705174</t>
  </si>
  <si>
    <t>Corpo de BSCC 1,50 x 1,50 m - moldado no local - altura do aterro 5,00 a 7,50 m - areia extraída e brita produzida</t>
  </si>
  <si>
    <t>0705177</t>
  </si>
  <si>
    <t>Corpo de BSCC 1,50 x 1,50 m - moldado no local - altura do aterro 7,50 a 10,00 m - areia e brita comerciais</t>
  </si>
  <si>
    <t>0705176</t>
  </si>
  <si>
    <t>Corpo de BSCC 1,50 x 1,50 m - moldado no local - altura do aterro 7,50 a 10,00 m - areia extraída e brita produzida</t>
  </si>
  <si>
    <t>0705183</t>
  </si>
  <si>
    <t>Corpo de BSCC 2,00 x 2,00 m - moldado no local - altura do aterro 0,00 a 1,00 m - areia e brita comerciais</t>
  </si>
  <si>
    <t>0705182</t>
  </si>
  <si>
    <t>Corpo de BSCC 2,00 x 2,00 m - moldado no local - altura do aterro 0,00 a 1,00 m - areia extraída e brita produzida</t>
  </si>
  <si>
    <t>0705185</t>
  </si>
  <si>
    <t>Corpo de BSCC 2,00 x 2,00 m - moldado no local - altura do aterro 1,00 a 2,50 m - areia e brita comerciais</t>
  </si>
  <si>
    <t>0705184</t>
  </si>
  <si>
    <t>Corpo de BSCC 2,00 x 2,00 m - moldado no local - altura do aterro 1,00 a 2,50 m - areia extraída e brita produzida</t>
  </si>
  <si>
    <t>0705193</t>
  </si>
  <si>
    <t>Corpo de BSCC 2,00 x 2,00 m - moldado no local - altura do aterro 10,00 a 12,50 m - areia e brita comerciais</t>
  </si>
  <si>
    <t>0705192</t>
  </si>
  <si>
    <t>Corpo de BSCC 2,00 x 2,00 m - moldado no local - altura do aterro 10,00 a 12,50 m - areia extraída e brita produzida</t>
  </si>
  <si>
    <t>0705195</t>
  </si>
  <si>
    <t>Corpo de BSCC 2,00 x 2,00 m - moldado no local - altura do aterro 12,50 a 15,00 m - areia e brita comerciais</t>
  </si>
  <si>
    <t>0705194</t>
  </si>
  <si>
    <t>Corpo de BSCC 2,00 x 2,00 m - moldado no local - altura do aterro 12,50 a 15,00 m - areia extraída e brita produzida</t>
  </si>
  <si>
    <t>0705187</t>
  </si>
  <si>
    <t>Corpo de BSCC 2,00 x 2,00 m - moldado no local - altura do aterro 2,50 a 5,00 m - areia e brita comerciais</t>
  </si>
  <si>
    <t>0705186</t>
  </si>
  <si>
    <t>Corpo de BSCC 2,00 x 2,00 m - moldado no local - altura do aterro 2,50 a 5,00 m - areia extraída e brita produzida</t>
  </si>
  <si>
    <t>0705189</t>
  </si>
  <si>
    <t>Corpo de BSCC 2,00 x 2,00 m - moldado no local - altura do aterro 5,00 a 7,50 m - areia e brita comerciais</t>
  </si>
  <si>
    <t>0705188</t>
  </si>
  <si>
    <t>Corpo de BSCC 2,00 x 2,00 m - moldado no local - altura do aterro 5,00 a 7,50 m - areia extraída e brita produzida</t>
  </si>
  <si>
    <t>0705191</t>
  </si>
  <si>
    <t>Corpo de BSCC 2,00 x 2,00 m - moldado no local - altura do aterro 7,50 a 10,00 m - areia e brita comerciais</t>
  </si>
  <si>
    <t>0705190</t>
  </si>
  <si>
    <t>Corpo de BSCC 2,00 x 2,00 m - moldado no local - altura do aterro 7,50 a 10,00 m - areia extraída e brita produzida</t>
  </si>
  <si>
    <t>0705197</t>
  </si>
  <si>
    <t>Corpo de BSCC 2,50 x 2,50 m - moldado no local - altura do aterro 0,00 a 1,00 m - areia e brita comerciais</t>
  </si>
  <si>
    <t>0705196</t>
  </si>
  <si>
    <t>Corpo de BSCC 2,50 x 2,50 m - moldado no local - altura do aterro 0,00 a 1,00 m - areia extraída e brita produzida</t>
  </si>
  <si>
    <t>0705199</t>
  </si>
  <si>
    <t>Corpo de BSCC 2,50 x 2,50 m - moldado no local - altura do aterro 1,00 a 2,50 m - areia e brita comerciais</t>
  </si>
  <si>
    <t>0705198</t>
  </si>
  <si>
    <t>Corpo de BSCC 2,50 x 2,50 m - moldado no local - altura do aterro 1,00 a 2,50 m - areia extraída e brita produzida</t>
  </si>
  <si>
    <t>0705207</t>
  </si>
  <si>
    <t>Corpo de BSCC 2,50 x 2,50 m - moldado no local - altura do aterro 10,00 a 12,50 m - areia e brita comerciais</t>
  </si>
  <si>
    <t>0705206</t>
  </si>
  <si>
    <t>Corpo de BSCC 2,50 x 2,50 m - moldado no local - altura do aterro 10,00 a 12,50 m - areia extraída e brita produzida</t>
  </si>
  <si>
    <t>0705209</t>
  </si>
  <si>
    <t>Corpo de BSCC 2,50 x 2,50 m - moldado no local - altura do aterro 12,50 a 15,00 m - areia e brita comerciais</t>
  </si>
  <si>
    <t>0705208</t>
  </si>
  <si>
    <t>Corpo de BSCC 2,50 x 2,50 m - moldado no local - altura do aterro 12,50 a 15,00 m - areia extraída e brita produzida</t>
  </si>
  <si>
    <t>0705201</t>
  </si>
  <si>
    <t>Corpo de BSCC 2,50 x 2,50 m - moldado no local - altura do aterro 2,50 a 5,00 m - areia e brita comerciais</t>
  </si>
  <si>
    <t>0705200</t>
  </si>
  <si>
    <t>Corpo de BSCC 2,50 x 2,50 m - moldado no local - altura do aterro 2,50 a 5,00 m - areia extraída e brita produzida</t>
  </si>
  <si>
    <t>0705203</t>
  </si>
  <si>
    <t>Corpo de BSCC 2,50 x 2,50 m - moldado no local - altura do aterro 5,00 a 7,50 m - areia e brita comerciais</t>
  </si>
  <si>
    <t>0705202</t>
  </si>
  <si>
    <t>Corpo de BSCC 2,50 x 2,50 m - moldado no local - altura do aterro 5,00 a 7,50 m - areia extraída e brita produzida</t>
  </si>
  <si>
    <t>0705205</t>
  </si>
  <si>
    <t>Corpo de BSCC 2,50 x 2,50 m - moldado no local - altura do aterro 7,50 a 10,00 m - areia e brita comerciais</t>
  </si>
  <si>
    <t>0705204</t>
  </si>
  <si>
    <t>Corpo de BSCC 2,50 x 2,50 m - moldado no local - altura do aterro 7,50 a 10,00 m - areia extraída e brita produzida</t>
  </si>
  <si>
    <t>0705211</t>
  </si>
  <si>
    <t>Corpo de BSCC 3,00 x 3,00 m - moldado no local - altura do aterro 0,00 a 1,00 m - areia e brita comerciais</t>
  </si>
  <si>
    <t>0705210</t>
  </si>
  <si>
    <t>Corpo de BSCC 3,00 x 3,00 m - moldado no local - altura do aterro 0,00 a 1,00 m - areia extraída e brita produzida</t>
  </si>
  <si>
    <t>0705213</t>
  </si>
  <si>
    <t>Corpo de BSCC 3,00 x 3,00 m - moldado no local - altura do aterro 1,00 a 2,50 m - areia e brita comerciais</t>
  </si>
  <si>
    <t>0705212</t>
  </si>
  <si>
    <t>Corpo de BSCC 3,00 x 3,00 m - moldado no local - altura do aterro 1,00 a 2,50 m - areia extraída e brita produzida</t>
  </si>
  <si>
    <t>0705221</t>
  </si>
  <si>
    <t>Corpo de BSCC 3,00 x 3,00 m - moldado no local - altura do aterro 10,00 a 12,50 m - areia e brita comerciais</t>
  </si>
  <si>
    <t>0705220</t>
  </si>
  <si>
    <t>Corpo de BSCC 3,00 x 3,00 m - moldado no local - altura do aterro 10,00 a 12,50 m - areia extraída e brita produzida</t>
  </si>
  <si>
    <t>0705223</t>
  </si>
  <si>
    <t>Corpo de BSCC 3,00 x 3,00 m - moldado no local - altura do aterro 12,50 a 15,00 m - areia e brita comerciais</t>
  </si>
  <si>
    <t>0705222</t>
  </si>
  <si>
    <t>Corpo de BSCC 3,00 x 3,00 m - moldado no local - altura do aterro 12,50 a 15,00 m - areia extraída e brita produzida</t>
  </si>
  <si>
    <t>0705215</t>
  </si>
  <si>
    <t>Corpo de BSCC 3,00 x 3,00 m - moldado no local - altura do aterro 2,50 a 5,00 m - areia e brita comerciais</t>
  </si>
  <si>
    <t>0705214</t>
  </si>
  <si>
    <t>Corpo de BSCC 3,00 x 3,00 m - moldado no local - altura do aterro 2,50 a 5,00 m - areia extraída e brita produzida</t>
  </si>
  <si>
    <t>0705217</t>
  </si>
  <si>
    <t>Corpo de BSCC 3,00 x 3,00 m - moldado no local - altura do aterro 5,00 a 7,50 m - areia e brita comerciais</t>
  </si>
  <si>
    <t>0705216</t>
  </si>
  <si>
    <t>Corpo de BSCC 3,00 x 3,00 m - moldado no local - altura do aterro 5,00 a 7,50 m - areia extraída e brita produzida</t>
  </si>
  <si>
    <t>0705219</t>
  </si>
  <si>
    <t>Corpo de BSCC 3,00 x 3,00 m - moldado no local - altura do aterro 7,50 a 10,00 m - areia e brita comerciais</t>
  </si>
  <si>
    <t>0705218</t>
  </si>
  <si>
    <t>Corpo de BSCC 3,00 x 3,00 m - moldado no local - altura do aterro 7,50 a 10,00 m - areia extraída e brita produzida</t>
  </si>
  <si>
    <t>0705346</t>
  </si>
  <si>
    <t>Corpo de BTCC 1,50 x 1,50 m - moldado no local - altura do aterro 0,00 a 1,00 m - areia e brita comerciais</t>
  </si>
  <si>
    <t>0705345</t>
  </si>
  <si>
    <t>Corpo de BTCC 1,50 x 1,50 m - moldado no local - altura do aterro 0,00 a 1,00 m - areia extraída e brita produzida</t>
  </si>
  <si>
    <t>0705348</t>
  </si>
  <si>
    <t>Corpo de BTCC 1,50 x 1,50 m - moldado no local - altura do aterro 1,00 a 2,50 m - areia e brita comerciais</t>
  </si>
  <si>
    <t>0705347</t>
  </si>
  <si>
    <t>Corpo de BTCC 1,50 x 1,50 m - moldado no local - altura do aterro 1,00 a 2,50 m - areia extraída e brita produzida</t>
  </si>
  <si>
    <t>0705356</t>
  </si>
  <si>
    <t>Corpo de BTCC 1,50 x 1,50 m - moldado no local - altura do aterro 10,00 a 12,50 m - areia e brita comerciais</t>
  </si>
  <si>
    <t>0705355</t>
  </si>
  <si>
    <t>Corpo de BTCC 1,50 x 1,50 m - moldado no local - altura do aterro 10,00 a 12,50 m - areia extraída e brita produzida</t>
  </si>
  <si>
    <t>0705358</t>
  </si>
  <si>
    <t>Corpo de BTCC 1,50 x 1,50 m - moldado no local - altura do aterro 12,50 a 15,00 m - areia e brita comerciais</t>
  </si>
  <si>
    <t>0705357</t>
  </si>
  <si>
    <t>Corpo de BTCC 1,50 x 1,50 m - moldado no local - altura do aterro 12,50 a 15,00 m - areia extraída e brita produzida</t>
  </si>
  <si>
    <t>0705350</t>
  </si>
  <si>
    <t>Corpo de BTCC 1,50 x 1,50 m - moldado no local - altura do aterro 2,50 a 5,00 m - areia e brita comerciais</t>
  </si>
  <si>
    <t>0705349</t>
  </si>
  <si>
    <t>Corpo de BTCC 1,50 x 1,50 m - moldado no local - altura do aterro 2,50 a 5,00 m - areia extraída e brita produzida</t>
  </si>
  <si>
    <t>0705352</t>
  </si>
  <si>
    <t>Corpo de BTCC 1,50 x 1,50 m - moldado no local - altura do aterro 5,00 a 7,50 m - areia e brita comerciais</t>
  </si>
  <si>
    <t>0705351</t>
  </si>
  <si>
    <t>Corpo de BTCC 1,50 x 1,50 m - moldado no local - altura do aterro 5,00 a 7,50 m - areia extraída e brita produzida</t>
  </si>
  <si>
    <t>0705354</t>
  </si>
  <si>
    <t>Corpo de BTCC 1,50 x 1,50 m - moldado no local - altura do aterro 7,50 a 10,00 m - areia e brita comerciais</t>
  </si>
  <si>
    <t>0705353</t>
  </si>
  <si>
    <t>Corpo de BTCC 1,50 x 1,50 m - moldado no local - altura do aterro 7,50 a 10,00 m - areia extraída e brita produzida</t>
  </si>
  <si>
    <t>0705360</t>
  </si>
  <si>
    <t>Corpo de BTCC 2,00 x 2,00 m - moldado no local - altura do aterro 0,00 a 1,00 m - areia e brita comerciais</t>
  </si>
  <si>
    <t>0705359</t>
  </si>
  <si>
    <t>Corpo de BTCC 2,00 x 2,00 m - moldado no local - altura do aterro 0,00 a 1,00 m - areia extraída e brita produzida</t>
  </si>
  <si>
    <t>0705362</t>
  </si>
  <si>
    <t>Corpo de BTCC 2,00 x 2,00 m - moldado no local - altura do aterro 1,00 a 2,50 m - areia e brita comerciais</t>
  </si>
  <si>
    <t>0705361</t>
  </si>
  <si>
    <t>Corpo de BTCC 2,00 x 2,00 m - moldado no local - altura do aterro 1,00 a 2,50 m - areia extraída e brita produzida</t>
  </si>
  <si>
    <t>0705370</t>
  </si>
  <si>
    <t>Corpo de BTCC 2,00 x 2,00 m - moldado no local - altura do aterro 10,00 a 12,50 m - areia e brita comerciais</t>
  </si>
  <si>
    <t>0705369</t>
  </si>
  <si>
    <t>Corpo de BTCC 2,00 x 2,00 m - moldado no local - altura do aterro 10,00 a 12,50 m - areia extraída e brita produzida</t>
  </si>
  <si>
    <t>0705372</t>
  </si>
  <si>
    <t>Corpo de BTCC 2,00 x 2,00 m - moldado no local - altura do aterro 12,50 a 15,00 m - areia e brita comerciais</t>
  </si>
  <si>
    <t>0705371</t>
  </si>
  <si>
    <t>Corpo de BTCC 2,00 x 2,00 m - moldado no local - altura do aterro 12,50 a 15,00 m - areia extraída e brita produzida</t>
  </si>
  <si>
    <t>0705364</t>
  </si>
  <si>
    <t>Corpo de BTCC 2,00 x 2,00 m - moldado no local - altura do aterro 2,50 a 5,00 m - areia e brita comerciais</t>
  </si>
  <si>
    <t>0705363</t>
  </si>
  <si>
    <t>Corpo de BTCC 2,00 x 2,00 m - moldado no local - altura do aterro 2,50 a 5,00 m - areia extraída e brita produzida</t>
  </si>
  <si>
    <t>0705366</t>
  </si>
  <si>
    <t>Corpo de BTCC 2,00 x 2,00 m - moldado no local - altura do aterro 5,00 a 7,50 m - areia e brita comerciais</t>
  </si>
  <si>
    <t>0705365</t>
  </si>
  <si>
    <t>Corpo de BTCC 2,00 x 2,00 m - moldado no local - altura do aterro 5,00 a 7,50 m - areia extraída e brita produzida</t>
  </si>
  <si>
    <t>0705368</t>
  </si>
  <si>
    <t>Corpo de BTCC 2,00 x 2,00 m - moldado no local - altura do aterro 7,50 a 10,00 m - areia e brita comerciais</t>
  </si>
  <si>
    <t>0705367</t>
  </si>
  <si>
    <t>Corpo de BTCC 2,00 x 2,00 m - moldado no local - altura do aterro 7,50 a 10,00 m - areia extraída e brita produzida</t>
  </si>
  <si>
    <t>0705374</t>
  </si>
  <si>
    <t>Corpo de BTCC 2,50 x 2,50 m - moldado no local - altura do aterro 0,00 a 1,00 m - areia e brita comerciais</t>
  </si>
  <si>
    <t>0705373</t>
  </si>
  <si>
    <t>Corpo de BTCC 2,50 x 2,50 m - moldado no local - altura do aterro 0,00 a 1,00 m - areia extraída e brita produzida</t>
  </si>
  <si>
    <t>0705376</t>
  </si>
  <si>
    <t>Corpo de BTCC 2,50 x 2,50 m - moldado no local - altura do aterro 1,00 a 2,50 m - areia e brita comerciais</t>
  </si>
  <si>
    <t>0705375</t>
  </si>
  <si>
    <t>Corpo de BTCC 2,50 x 2,50 m - moldado no local - altura do aterro 1,00 a 2,50 m - areia extraída e brita produzida</t>
  </si>
  <si>
    <t>0705384</t>
  </si>
  <si>
    <t>Corpo de BTCC 2,50 x 2,50 m - moldado no local - altura do aterro 10,00 a 12,50 m - areia e brita comerciais</t>
  </si>
  <si>
    <t>0705383</t>
  </si>
  <si>
    <t>Corpo de BTCC 2,50 x 2,50 m - moldado no local - altura do aterro 10,00 a 12,50 m - areia extraída e brita produzida</t>
  </si>
  <si>
    <t>0705386</t>
  </si>
  <si>
    <t>Corpo de BTCC 2,50 x 2,50 m - moldado no local - altura do aterro 12,50 a 15,00 m - areia e brita comerciais</t>
  </si>
  <si>
    <t>0705385</t>
  </si>
  <si>
    <t>Corpo de BTCC 2,50 x 2,50 m - moldado no local - altura do aterro 12,50 a 15,00 m - areia extraída e brita produzida</t>
  </si>
  <si>
    <t>0705378</t>
  </si>
  <si>
    <t>Corpo de BTCC 2,50 x 2,50 m - moldado no local - altura do aterro 2,50 a 5,00 m - areia e brita comerciais</t>
  </si>
  <si>
    <t>0705377</t>
  </si>
  <si>
    <t>Corpo de BTCC 2,50 x 2,50 m - moldado no local - altura do aterro 2,50 a 5,00 m - areia extraída e brita produzida</t>
  </si>
  <si>
    <t>0705380</t>
  </si>
  <si>
    <t>Corpo de BTCC 2,50 x 2,50 m - moldado no local - altura do aterro 5,00 a 7,50 m - areia e brita comerciais</t>
  </si>
  <si>
    <t>0705379</t>
  </si>
  <si>
    <t>Corpo de BTCC 2,50 x 2,50 m - moldado no local - altura do aterro 5,00 a 7,50 m - areia extraída e brita produzida</t>
  </si>
  <si>
    <t>0705382</t>
  </si>
  <si>
    <t>Corpo de BTCC 2,50 x 2,50 m - moldado no local - altura do aterro 7,50 a 10,00 m - areia e brita comerciais</t>
  </si>
  <si>
    <t>0705381</t>
  </si>
  <si>
    <t>Corpo de BTCC 2,50 x 2,50 m - moldado no local - altura do aterro 7,50 a 10,00 m - areia extraída e brita produzida</t>
  </si>
  <si>
    <t>0705388</t>
  </si>
  <si>
    <t>Corpo de BTCC 3,00 x 3,00 m - moldado no local - altura do aterro 0,00 a 1,00 m - areia e brita comerciais</t>
  </si>
  <si>
    <t>0705387</t>
  </si>
  <si>
    <t>Corpo de BTCC 3,00 x 3,00 m - moldado no local - altura do aterro 0,00 a 1,00 m - areia extraída e brita produzida</t>
  </si>
  <si>
    <t>0705390</t>
  </si>
  <si>
    <t>Corpo de BTCC 3,00 x 3,00 m - moldado no local - altura do aterro 1,00 a 2,50 m - areia e brita comerciais</t>
  </si>
  <si>
    <t>0705389</t>
  </si>
  <si>
    <t>Corpo de BTCC 3,00 x 3,00 m - moldado no local - altura do aterro 1,00 a 2,50 m - areia extraída e brita produzida</t>
  </si>
  <si>
    <t>0705399</t>
  </si>
  <si>
    <t>Corpo de BTCC 3,00 x 3,00 m - moldado no local - altura do aterro 10,00 a 12,50 m - areia e brita comerciais</t>
  </si>
  <si>
    <t>0705398</t>
  </si>
  <si>
    <t>Corpo de BTCC 3,00 x 3,00 m - moldado no local - altura do aterro 10,00 a 12,50 m - areia extraída e brita produzida</t>
  </si>
  <si>
    <t>0705401</t>
  </si>
  <si>
    <t>Corpo de BTCC 3,00 x 3,00 m - moldado no local - altura do aterro 12,50 a 15,00 m - areia e brita comerciais</t>
  </si>
  <si>
    <t>0705400</t>
  </si>
  <si>
    <t>Corpo de BTCC 3,00 x 3,00 m - moldado no local - altura do aterro 12,50 a 15,00 m - areia extraída e brita produzida</t>
  </si>
  <si>
    <t>0705392</t>
  </si>
  <si>
    <t>Corpo de BTCC 3,00 x 3,00 m - moldado no local - altura do aterro 2,50 a 5,00 m - areia e brita comerciais</t>
  </si>
  <si>
    <t>0705391</t>
  </si>
  <si>
    <t>Corpo de BTCC 3,00 x 3,00 m - moldado no local - altura do aterro 2,50 a 5,00 m - areia extraída e brita produzida</t>
  </si>
  <si>
    <t>0705395</t>
  </si>
  <si>
    <t>Corpo de BTCC 3,00 x 3,00 m - moldado no local - altura do aterro 5,00 a 7,50 m - areia e brita comerciais</t>
  </si>
  <si>
    <t>0705394</t>
  </si>
  <si>
    <t>Corpo de BTCC 3,00 x 3,00 m - moldado no local - altura do aterro 5,00 a 7,50 m - areia extraída e brita produzida</t>
  </si>
  <si>
    <t>0705397</t>
  </si>
  <si>
    <t>Corpo de BTCC 3,00 x 3,00 m - moldado no local - altura do aterro 7,50 a 10,00 m - areia e brita comerciais</t>
  </si>
  <si>
    <t>0705396</t>
  </si>
  <si>
    <t>Corpo de BTCC 3,00 x 3,00 m - moldado no local - altura do aterro 7,50 a 10,00 m - areia extraída e brita produzida</t>
  </si>
  <si>
    <t>0804213</t>
  </si>
  <si>
    <t>Boca de BDTC D = 0,80 m - esconsidade 0° - areia e brita comerciais - alas retas</t>
  </si>
  <si>
    <t>0804212</t>
  </si>
  <si>
    <t>Boca de BDTC D = 0,80 m - esconsidade 0° - areia extraída e brita produzida - alas retas</t>
  </si>
  <si>
    <t>0804217</t>
  </si>
  <si>
    <t>Boca de BDTC D = 0,80 m - esconsidade 10° - areia e brita comerciais - alas retas</t>
  </si>
  <si>
    <t>0804216</t>
  </si>
  <si>
    <t>Boca de BDTC D = 0,80 m - esconsidade 10° - areia extraída e brita produzida - alas retas</t>
  </si>
  <si>
    <t>0804219</t>
  </si>
  <si>
    <t>Boca de BDTC D = 0,80 m - esconsidade 15° - areia e brita comerciais - alas retas</t>
  </si>
  <si>
    <t>0804218</t>
  </si>
  <si>
    <t>Boca de BDTC D = 0,80 m - esconsidade 15° - areia extraída e brita produzida - alas retas</t>
  </si>
  <si>
    <t>0804221</t>
  </si>
  <si>
    <t>Boca de BDTC D = 0,80 m - esconsidade 20° - areia e brita comerciais - alas retas</t>
  </si>
  <si>
    <t>0804220</t>
  </si>
  <si>
    <t>Boca de BDTC D = 0,80 m - esconsidade 20° - areia extraída e brita produzida - alas retas</t>
  </si>
  <si>
    <t>0804223</t>
  </si>
  <si>
    <t>Boca de BDTC D = 0,80 m - esconsidade 25° - areia e brita comerciais - alas retas</t>
  </si>
  <si>
    <t>0804222</t>
  </si>
  <si>
    <t>Boca de BDTC D = 0,80 m - esconsidade 25° - areia extraída e brita produzida - alas retas</t>
  </si>
  <si>
    <t>0804225</t>
  </si>
  <si>
    <t>Boca de BDTC D = 0,80 m - esconsidade 30° - areia e brita comerciais - alas retas</t>
  </si>
  <si>
    <t>0804224</t>
  </si>
  <si>
    <t>Boca de BDTC D = 0,80 m - esconsidade 30° - areia extraída e brita produzida - alas retas</t>
  </si>
  <si>
    <t>0804227</t>
  </si>
  <si>
    <t>Boca de BDTC D = 0,80 m - esconsidade 35° - areia e brita comerciais - alas retas</t>
  </si>
  <si>
    <t>0804226</t>
  </si>
  <si>
    <t>Boca de BDTC D = 0,80 m - esconsidade 35° - areia extraída e brita produzida - alas retas</t>
  </si>
  <si>
    <t>0804229</t>
  </si>
  <si>
    <t>Boca de BDTC D = 0,80 m - esconsidade 40° - areia e brita comerciais - alas retas</t>
  </si>
  <si>
    <t>0804228</t>
  </si>
  <si>
    <t>Boca de BDTC D = 0,80 m - esconsidade 40° - areia extraída e brita produzida - alas retas</t>
  </si>
  <si>
    <t>0804231</t>
  </si>
  <si>
    <t>Boca de BDTC D = 0,80 m - esconsidade 45° - areia e brita comerciais - alas retas</t>
  </si>
  <si>
    <t>0804230</t>
  </si>
  <si>
    <t>Boca de BDTC D = 0,80 m - esconsidade 45° - areia extraída e brita produzida - alas retas</t>
  </si>
  <si>
    <t>0804215</t>
  </si>
  <si>
    <t>Boca de BDTC D = 0,80 m - esconsidade 5° - areia e brita comerciais - alas retas</t>
  </si>
  <si>
    <t>0804214</t>
  </si>
  <si>
    <t>Boca de BDTC D = 0,80 m - esconsidade 5° - areia extraída e brita produzida - alas retas</t>
  </si>
  <si>
    <t>0804417</t>
  </si>
  <si>
    <t>Boca de BDTC D = 1,00 m - esconsidade 0° - areia e brita comerciais - alas esconsas</t>
  </si>
  <si>
    <t>0804233</t>
  </si>
  <si>
    <t>Boca de BDTC D = 1,00 m - esconsidade 0° - areia e brita comerciais - alas retas</t>
  </si>
  <si>
    <t>0804416</t>
  </si>
  <si>
    <t>Boca de BDTC D = 1,00 m - esconsidade 0° - areia extraída e brita produzida - alas esconsas</t>
  </si>
  <si>
    <t>0804232</t>
  </si>
  <si>
    <t>Boca de BDTC D = 1,00 m - esconsidade 0° - areia extraída e brita produzida - alas retas</t>
  </si>
  <si>
    <t>0804237</t>
  </si>
  <si>
    <t>Boca de BDTC D = 1,00 m - esconsidade 10° - areia e brita comerciais - alas retas</t>
  </si>
  <si>
    <t>0804236</t>
  </si>
  <si>
    <t>Boca de BDTC D = 1,00 m - esconsidade 10° - areia extraída e brita produzida - alas retas</t>
  </si>
  <si>
    <t>0804419</t>
  </si>
  <si>
    <t>Boca de BDTC D = 1,00 m - esconsidade 15° - areia e brita comerciais - alas esconsas</t>
  </si>
  <si>
    <t>0804239</t>
  </si>
  <si>
    <t>Boca de BDTC D = 1,00 m - esconsidade 15° - areia e brita comerciais - alas retas</t>
  </si>
  <si>
    <t>0804418</t>
  </si>
  <si>
    <t>Boca de BDTC D = 1,00 m - esconsidade 15° - areia extraída e brita produzida - alas esconsas</t>
  </si>
  <si>
    <t>0804238</t>
  </si>
  <si>
    <t>Boca de BDTC D = 1,00 m - esconsidade 15° - areia extraída e brita produzida - alas retas</t>
  </si>
  <si>
    <t>0804241</t>
  </si>
  <si>
    <t>Boca de BDTC D = 1,00 m - esconsidade 20° - areia e brita comerciais - alas retas</t>
  </si>
  <si>
    <t>0804240</t>
  </si>
  <si>
    <t>Boca de BDTC D = 1,00 m - esconsidade 20° - areia extraída e brita produzida - alas retas</t>
  </si>
  <si>
    <t>0804243</t>
  </si>
  <si>
    <t>Boca de BDTC D = 1,00 m - esconsidade 25° - areia e brita comerciais - alas retas</t>
  </si>
  <si>
    <t>0804242</t>
  </si>
  <si>
    <t>Boca de BDTC D = 1,00 m - esconsidade 25° - areia extraída e brita produzida - alas retas</t>
  </si>
  <si>
    <t>0804421</t>
  </si>
  <si>
    <t>Boca de BDTC D = 1,00 m - esconsidade 30° - areia e brita comerciais - alas esconsas</t>
  </si>
  <si>
    <t>0804245</t>
  </si>
  <si>
    <t>Boca de BDTC D = 1,00 m - esconsidade 30° - areia e brita comerciais - alas retas</t>
  </si>
  <si>
    <t>0804420</t>
  </si>
  <si>
    <t>Boca de BDTC D = 1,00 m - esconsidade 30° - areia extraída e brita produzida - alas esconsas</t>
  </si>
  <si>
    <t>0804244</t>
  </si>
  <si>
    <t>Boca de BDTC D = 1,00 m - esconsidade 30° - areia extraída e brita produzida - alas retas</t>
  </si>
  <si>
    <t>0804247</t>
  </si>
  <si>
    <t>Boca de BDTC D = 1,00 m - esconsidade 35° - areia e brita comerciais - alas retas</t>
  </si>
  <si>
    <t>0804246</t>
  </si>
  <si>
    <t>Boca de BDTC D = 1,00 m - esconsidade 35° - areia extraída e brita produzida - alas retas</t>
  </si>
  <si>
    <t>0804249</t>
  </si>
  <si>
    <t>Boca de BDTC D = 1,00 m - esconsidade 40° - areia e brita comerciais - alas retas</t>
  </si>
  <si>
    <t>0804248</t>
  </si>
  <si>
    <t>Boca de BDTC D = 1,00 m - esconsidade 40° - areia extraída e brita produzida - alas retas</t>
  </si>
  <si>
    <t>0804423</t>
  </si>
  <si>
    <t>Boca de BDTC D = 1,00 m - esconsidade 45° - areia e brita comerciais - alas esconsas</t>
  </si>
  <si>
    <t>0804251</t>
  </si>
  <si>
    <t>Boca de BDTC D = 1,00 m - esconsidade 45° - areia e brita comerciais - alas retas</t>
  </si>
  <si>
    <t>0804422</t>
  </si>
  <si>
    <t>Boca de BDTC D = 1,00 m - esconsidade 45° - areia extraída e brita produzida - alas esconsas</t>
  </si>
  <si>
    <t>0804250</t>
  </si>
  <si>
    <t>Boca de BDTC D = 1,00 m - esconsidade 45° - areia extraída e brita produzida - alas retas</t>
  </si>
  <si>
    <t>0804235</t>
  </si>
  <si>
    <t>Boca de BDTC D = 1,00 m - esconsidade 5° - areia e brita comerciais - alas retas</t>
  </si>
  <si>
    <t>0804234</t>
  </si>
  <si>
    <t>Boca de BDTC D = 1,00 m - esconsidade 5° - areia extraída e brita produzida - alas retas</t>
  </si>
  <si>
    <t>0804425</t>
  </si>
  <si>
    <t>Boca de BDTC D = 1,20 m - esconsidade 0° - areia e brita comerciais - alas esconsas</t>
  </si>
  <si>
    <t>0804253</t>
  </si>
  <si>
    <t>Boca de BDTC D = 1,20 m - esconsidade 0° - areia e brita comerciais - alas retas</t>
  </si>
  <si>
    <t>0804424</t>
  </si>
  <si>
    <t>Boca de BDTC D = 1,20 m - esconsidade 0° - areia extraída e brita produzida - alas esconsas</t>
  </si>
  <si>
    <t>0804252</t>
  </si>
  <si>
    <t>Boca de BDTC D = 1,20 m - esconsidade 0° - areia extraída e brita produzida - alas retas</t>
  </si>
  <si>
    <t>0804257</t>
  </si>
  <si>
    <t>Boca de BDTC D = 1,20 m - esconsidade 10° - areia e brita comerciais - alas retas</t>
  </si>
  <si>
    <t>0804256</t>
  </si>
  <si>
    <t>Boca de BDTC D = 1,20 m - esconsidade 10° - areia extraída e brita produzida - alas retas</t>
  </si>
  <si>
    <t>0804427</t>
  </si>
  <si>
    <t>Boca de BDTC D = 1,20 m - esconsidade 15° - areia e brita comerciais - alas esconsas</t>
  </si>
  <si>
    <t>0804259</t>
  </si>
  <si>
    <t>Boca de BDTC D = 1,20 m - esconsidade 15° - areia e brita comerciais - alas retas</t>
  </si>
  <si>
    <t>0804426</t>
  </si>
  <si>
    <t>Boca de BDTC D = 1,20 m - esconsidade 15° - areia extraída e brita produzida - alas esconsas</t>
  </si>
  <si>
    <t>0804258</t>
  </si>
  <si>
    <t>Boca de BDTC D = 1,20 m - esconsidade 15° - areia extraída e brita produzida - alas retas</t>
  </si>
  <si>
    <t>0804261</t>
  </si>
  <si>
    <t>Boca de BDTC D = 1,20 m - esconsidade 20° - areia e brita comerciais - alas retas</t>
  </si>
  <si>
    <t>0804260</t>
  </si>
  <si>
    <t>Boca de BDTC D = 1,20 m - esconsidade 20° - areia extraída e brita produzida - alas retas</t>
  </si>
  <si>
    <t>0804263</t>
  </si>
  <si>
    <t>Boca de BDTC D = 1,20 m - esconsidade 25° - areia e brita comerciais - alas retas</t>
  </si>
  <si>
    <t>0804262</t>
  </si>
  <si>
    <t>Boca de BDTC D = 1,20 m - esconsidade 25° - areia extraída e brita produzida - alas retas</t>
  </si>
  <si>
    <t>0804429</t>
  </si>
  <si>
    <t>Boca de BDTC D = 1,20 m - esconsidade 30° - areia e brita comerciais - alas esconsas</t>
  </si>
  <si>
    <t>0804265</t>
  </si>
  <si>
    <t>Boca de BDTC D = 1,20 m - esconsidade 30° - areia e brita comerciais - alas retas</t>
  </si>
  <si>
    <t>0804428</t>
  </si>
  <si>
    <t>Boca de BDTC D = 1,20 m - esconsidade 30° - areia extraída e brita produzida - alas esconsas</t>
  </si>
  <si>
    <t>0804264</t>
  </si>
  <si>
    <t>Boca de BDTC D = 1,20 m - esconsidade 30° - areia extraída e brita produzida - alas retas</t>
  </si>
  <si>
    <t>0804267</t>
  </si>
  <si>
    <t>Boca de BDTC D = 1,20 m - esconsidade 35° - areia e brita comerciais - alas retas</t>
  </si>
  <si>
    <t>0804266</t>
  </si>
  <si>
    <t>Boca de BDTC D = 1,20 m - esconsidade 35° - areia extraída e brita produzida - alas retas</t>
  </si>
  <si>
    <t>0804269</t>
  </si>
  <si>
    <t>Boca de BDTC D = 1,20 m - esconsidade 40° - areia e brita comerciais - alas retas</t>
  </si>
  <si>
    <t>0804268</t>
  </si>
  <si>
    <t>Boca de BDTC D = 1,20 m - esconsidade 40° - areia extraída e brita produzida - alas retas</t>
  </si>
  <si>
    <t>0804431</t>
  </si>
  <si>
    <t>Boca de BDTC D = 1,20 m - esconsidade 45° - areia e brita comerciais - alas esconsas</t>
  </si>
  <si>
    <t>0804271</t>
  </si>
  <si>
    <t>Boca de BDTC D = 1,20 m - esconsidade 45° - areia e brita comerciais - alas retas</t>
  </si>
  <si>
    <t>0804430</t>
  </si>
  <si>
    <t>Boca de BDTC D = 1,20 m - esconsidade 45° - areia extraída e brita produzida - alas esconsas</t>
  </si>
  <si>
    <t>0804270</t>
  </si>
  <si>
    <t>Boca de BDTC D = 1,20 m - esconsidade 45° - areia extraída e brita produzida - alas retas</t>
  </si>
  <si>
    <t>0804255</t>
  </si>
  <si>
    <t>Boca de BDTC D = 1,20 m - esconsidade 5° - areia e brita comerciais - alas retas</t>
  </si>
  <si>
    <t>0804254</t>
  </si>
  <si>
    <t>Boca de BDTC D = 1,20 m - esconsidade 5° - areia extraída e brita produzida - alas retas</t>
  </si>
  <si>
    <t>0804433</t>
  </si>
  <si>
    <t>Boca de BDTC D = 1,50 m - esconsidade 0° - areia e brita comerciais - alas esconsas</t>
  </si>
  <si>
    <t>0804273</t>
  </si>
  <si>
    <t>Boca de BDTC D = 1,50 m - esconsidade 0° - areia e brita comerciais - alas retas</t>
  </si>
  <si>
    <t>0804432</t>
  </si>
  <si>
    <t>Boca de BDTC D = 1,50 m - esconsidade 0° - areia extraída e brita produzida - alas esconsas</t>
  </si>
  <si>
    <t>0804272</t>
  </si>
  <si>
    <t>Boca de BDTC D = 1,50 m - esconsidade 0° - areia extraída e brita produzida - alas retas</t>
  </si>
  <si>
    <t>0804277</t>
  </si>
  <si>
    <t>Boca de BDTC D = 1,50 m - esconsidade 10° - areia e brita comerciais - alas retas</t>
  </si>
  <si>
    <t>0804276</t>
  </si>
  <si>
    <t>Boca de BDTC D = 1,50 m - esconsidade 10° - areia extraída e brita produzida - alas retas</t>
  </si>
  <si>
    <t>0804435</t>
  </si>
  <si>
    <t>Boca de BDTC D = 1,50 m - esconsidade 15° - areia e brita comerciais - alas esconsas</t>
  </si>
  <si>
    <t>0804279</t>
  </si>
  <si>
    <t>Boca de BDTC D = 1,50 m - esconsidade 15° - areia e brita comerciais - alas retas</t>
  </si>
  <si>
    <t>0804434</t>
  </si>
  <si>
    <t>Boca de BDTC D = 1,50 m - esconsidade 15° - areia extraída e brita produzida - alas esconsas</t>
  </si>
  <si>
    <t>0804278</t>
  </si>
  <si>
    <t>Boca de BDTC D = 1,50 m - esconsidade 15° - areia extraída e brita produzida - alas retas</t>
  </si>
  <si>
    <t>0804281</t>
  </si>
  <si>
    <t>Boca de BDTC D = 1,50 m - esconsidade 20° - areia e brita comerciais - alas retas</t>
  </si>
  <si>
    <t>0804280</t>
  </si>
  <si>
    <t>Boca de BDTC D = 1,50 m - esconsidade 20° - areia extraída e brita produzida - alas retas</t>
  </si>
  <si>
    <t>0804283</t>
  </si>
  <si>
    <t>Boca de BDTC D = 1,50 m - esconsidade 25° - areia e brita comerciais - alas retas</t>
  </si>
  <si>
    <t>0804282</t>
  </si>
  <si>
    <t>Boca de BDTC D = 1,50 m - esconsidade 25° - areia extraída e brita produzida - alas retas</t>
  </si>
  <si>
    <t>0804437</t>
  </si>
  <si>
    <t>Boca de BDTC D = 1,50 m - esconsidade 30° - areia e brita comerciais - alas esconsas</t>
  </si>
  <si>
    <t>0804285</t>
  </si>
  <si>
    <t>Boca de BDTC D = 1,50 m - esconsidade 30° - areia e brita comerciais - alas retas</t>
  </si>
  <si>
    <t>0804436</t>
  </si>
  <si>
    <t>Boca de BDTC D = 1,50 m - esconsidade 30° - areia extraída e brita produzida - alas esconsas</t>
  </si>
  <si>
    <t>0804284</t>
  </si>
  <si>
    <t>Boca de BDTC D = 1,50 m - esconsidade 30° - areia extraída e brita produzida - alas retas</t>
  </si>
  <si>
    <t>0804287</t>
  </si>
  <si>
    <t>Boca de BDTC D = 1,50 m - esconsidade 35° - areia e brita comerciais - alas retas</t>
  </si>
  <si>
    <t>0804286</t>
  </si>
  <si>
    <t>Boca de BDTC D = 1,50 m - esconsidade 35° - areia extraída e brita produzida - alas retas</t>
  </si>
  <si>
    <t>0804289</t>
  </si>
  <si>
    <t>Boca de BDTC D = 1,50 m - esconsidade 40° - areia e brita comerciais - alas retas</t>
  </si>
  <si>
    <t>0804288</t>
  </si>
  <si>
    <t>Boca de BDTC D = 1,50 m - esconsidade 40° - areia extraída e brita produzida - alas retas</t>
  </si>
  <si>
    <t>0804439</t>
  </si>
  <si>
    <t>Boca de BDTC D = 1,50 m - esconsidade 45° - areia e brita comerciais - alas esconsas</t>
  </si>
  <si>
    <t>0804291</t>
  </si>
  <si>
    <t>Boca de BDTC D = 1,50 m - esconsidade 45° - areia e brita comerciais - alas retas</t>
  </si>
  <si>
    <t>0804438</t>
  </si>
  <si>
    <t>Boca de BDTC D = 1,50 m - esconsidade 45° - areia extraída e brita produzida - alas esconsas</t>
  </si>
  <si>
    <t>0804290</t>
  </si>
  <si>
    <t>Boca de BDTC D = 1,50 m - esconsidade 45° - areia extraída e brita produzida - alas retas</t>
  </si>
  <si>
    <t>0804275</t>
  </si>
  <si>
    <t>Boca de BDTC D = 1,50 m - esconsidade 5° - areia e brita comerciais - alas retas</t>
  </si>
  <si>
    <t>0804274</t>
  </si>
  <si>
    <t>Boca de BDTC D = 1,50 m - esconsidade 5° - areia extraída e brita produzida - alas retas</t>
  </si>
  <si>
    <t>0804061</t>
  </si>
  <si>
    <t>Boca de BSTC D = 0,40 m - esconsidade 0° - areia e brita comerciais - alas retas</t>
  </si>
  <si>
    <t>0804060</t>
  </si>
  <si>
    <t>Boca de BSTC D = 0,40 m - esconsidade 0° - areia extraída e brita produzida - alas retas</t>
  </si>
  <si>
    <t>0804065</t>
  </si>
  <si>
    <t>Boca de BSTC D = 0,40 m - esconsidade 10° - areia e brita comerciais - alas retas</t>
  </si>
  <si>
    <t>0804064</t>
  </si>
  <si>
    <t>Boca de BSTC D = 0,40 m - esconsidade 10° - areia extraída e brita produzida - alas retas</t>
  </si>
  <si>
    <t>0804067</t>
  </si>
  <si>
    <t>Boca de BSTC D = 0,40 m - esconsidade 15° - areia e brita comerciais - alas retas</t>
  </si>
  <si>
    <t>0804066</t>
  </si>
  <si>
    <t>Boca de BSTC D = 0,40 m - esconsidade 15° - areia extraída e brita produzida - alas retas</t>
  </si>
  <si>
    <t>0804069</t>
  </si>
  <si>
    <t>Boca de BSTC D = 0,40 m - esconsidade 20° - areia e brita comerciais - alas retas</t>
  </si>
  <si>
    <t>0804068</t>
  </si>
  <si>
    <t>Boca de BSTC D = 0,40 m - esconsidade 20° - areia extraída e brita produzida - alas retas</t>
  </si>
  <si>
    <t>0804071</t>
  </si>
  <si>
    <t>Boca de BSTC D = 0,40 m - esconsidade 25° - areia e brita comerciais - alas retas</t>
  </si>
  <si>
    <t>0804070</t>
  </si>
  <si>
    <t>Boca de BSTC D = 0,40 m - esconsidade 25° - areia extraída e brita produzida - alas retas</t>
  </si>
  <si>
    <t>0804073</t>
  </si>
  <si>
    <t>Boca de BSTC D = 0,40 m - esconsidade 30° - areia e brita comerciais - alas retas</t>
  </si>
  <si>
    <t>0804072</t>
  </si>
  <si>
    <t>Boca de BSTC D = 0,40 m - esconsidade 30° - areia extraída e brita produzida - alas retas</t>
  </si>
  <si>
    <t>0804075</t>
  </si>
  <si>
    <t>Boca de BSTC D = 0,40 m - esconsidade 35° - areia e brita comerciais - alas retas</t>
  </si>
  <si>
    <t>0804074</t>
  </si>
  <si>
    <t>Boca de BSTC D = 0,40 m - esconsidade 35° - areia extraída e brita produzida - alas retas</t>
  </si>
  <si>
    <t>0804077</t>
  </si>
  <si>
    <t>Boca de BSTC D = 0,40 m - esconsidade 40° - areia e brita comerciais - alas retas</t>
  </si>
  <si>
    <t>0804076</t>
  </si>
  <si>
    <t>Boca de BSTC D = 0,40 m - esconsidade 40° - areia extraída e brita produzida - alas retas</t>
  </si>
  <si>
    <t>0804079</t>
  </si>
  <si>
    <t>Boca de BSTC D = 0,40 m - esconsidade 45° - areia e brita comerciais - alas retas</t>
  </si>
  <si>
    <t>0804078</t>
  </si>
  <si>
    <t>Boca de BSTC D = 0,40 m - esconsidade 45° - areia extraída e brita produzida - alas retas</t>
  </si>
  <si>
    <t>0804063</t>
  </si>
  <si>
    <t>Boca de BSTC D = 0,40 m - esconsidade 5° - areia e brita comerciais - alas retas</t>
  </si>
  <si>
    <t>0804062</t>
  </si>
  <si>
    <t>Boca de BSTC D = 0,40 m - esconsidade 5° - areia extraída e brita produzida - alas retas</t>
  </si>
  <si>
    <t>0804377</t>
  </si>
  <si>
    <t>Boca de BSTC D = 0,60 m - esconsidade 0° - areia e brita comerciais - alas esconsas</t>
  </si>
  <si>
    <t>0804081</t>
  </si>
  <si>
    <t>Boca de BSTC D = 0,60 m - esconsidade 0° - areia e brita comerciais - alas retas</t>
  </si>
  <si>
    <t>0804376</t>
  </si>
  <si>
    <t>Boca de BSTC D = 0,60 m - esconsidade 0° - areia extraída e brita produzida - alas esconsas</t>
  </si>
  <si>
    <t>0804080</t>
  </si>
  <si>
    <t>Boca de BSTC D = 0,60 m - esconsidade 0° - areia extraída e brita produzida - alas retas</t>
  </si>
  <si>
    <t>0804085</t>
  </si>
  <si>
    <t>Boca de BSTC D = 0,60 m - esconsidade 10° - areia e brita comerciais - alas retas</t>
  </si>
  <si>
    <t>0804084</t>
  </si>
  <si>
    <t>Boca de BSTC D = 0,60 m - esconsidade 10° - areia extraída e brita produzida - alas retas</t>
  </si>
  <si>
    <t>0804379</t>
  </si>
  <si>
    <t>Boca de BSTC D = 0,60 m - esconsidade 15° - areia e brita comerciais - alas esconsas</t>
  </si>
  <si>
    <t>0804087</t>
  </si>
  <si>
    <t>Boca de BSTC D = 0,60 m - esconsidade 15° - areia e brita comerciais - alas retas</t>
  </si>
  <si>
    <t>0804378</t>
  </si>
  <si>
    <t>Boca de BSTC D = 0,60 m - esconsidade 15° - areia extraída e brita produzida - alas esconsas</t>
  </si>
  <si>
    <t>0804086</t>
  </si>
  <si>
    <t>Boca de BSTC D = 0,60 m - esconsidade 15° - areia extraída e brita produzida - alas retas</t>
  </si>
  <si>
    <t>0804089</t>
  </si>
  <si>
    <t>Boca de BSTC D = 0,60 m - esconsidade 20° - areia e brita comerciais - alas retas</t>
  </si>
  <si>
    <t>0804088</t>
  </si>
  <si>
    <t>Boca de BSTC D = 0,60 m - esconsidade 20° - areia extraída e brita produzida - alas retas</t>
  </si>
  <si>
    <t>0804091</t>
  </si>
  <si>
    <t>Boca de BSTC D = 0,60 m - esconsidade 25° - areia e brita comerciais - alas retas</t>
  </si>
  <si>
    <t>0804090</t>
  </si>
  <si>
    <t>Boca de BSTC D = 0,60 m - esconsidade 25° - areia extraída e brita produzida - alas retas</t>
  </si>
  <si>
    <t>0804381</t>
  </si>
  <si>
    <t>Boca de BSTC D = 0,60 m - esconsidade 30° - areia e brita comerciais - alas esconsas</t>
  </si>
  <si>
    <t>0804093</t>
  </si>
  <si>
    <t>Boca de BSTC D = 0,60 m - esconsidade 30° - areia e brita comerciais - alas retas</t>
  </si>
  <si>
    <t>0804380</t>
  </si>
  <si>
    <t>Boca de BSTC D = 0,60 m - esconsidade 30° - areia extraída e brita produzida - alas esconsas</t>
  </si>
  <si>
    <t>0804092</t>
  </si>
  <si>
    <t>Boca de BSTC D = 0,60 m - esconsidade 30° - areia extraída e brita produzida - alas retas</t>
  </si>
  <si>
    <t>0804095</t>
  </si>
  <si>
    <t>Boca de BSTC D = 0,60 m - esconsidade 35° - areia e brita comerciais - alas retas</t>
  </si>
  <si>
    <t>0804094</t>
  </si>
  <si>
    <t>Boca de BSTC D = 0,60 m - esconsidade 35° - areia extraída e brita produzida - alas retas</t>
  </si>
  <si>
    <t>0804097</t>
  </si>
  <si>
    <t>Boca de BSTC D = 0,60 m - esconsidade 40° - areia e brita comerciais - alas retas</t>
  </si>
  <si>
    <t>0804096</t>
  </si>
  <si>
    <t>Boca de BSTC D = 0,60 m - esconsidade 40° - areia extraída e brita produzida - alas retas</t>
  </si>
  <si>
    <t>0804383</t>
  </si>
  <si>
    <t>Boca de BSTC D = 0,60 m - esconsidade 45° - areia e brita comerciais - alas esconsas</t>
  </si>
  <si>
    <t>0804099</t>
  </si>
  <si>
    <t>Boca de BSTC D = 0,60 m - esconsidade 45° - areia e brita comerciais - alas retas</t>
  </si>
  <si>
    <t>0804382</t>
  </si>
  <si>
    <t>Boca de BSTC D = 0,60 m - esconsidade 45° - areia extraída e brita produzida - alas esconsas</t>
  </si>
  <si>
    <t>0804098</t>
  </si>
  <si>
    <t>Boca de BSTC D = 0,60 m - esconsidade 45° - areia extraída e brita produzida - alas retas</t>
  </si>
  <si>
    <t>0804083</t>
  </si>
  <si>
    <t>Boca de BSTC D = 0,60 m - esconsidade 5° - areia e brita comerciais - alas retas</t>
  </si>
  <si>
    <t>0804082</t>
  </si>
  <si>
    <t>Boca de BSTC D = 0,60 m - esconsidade 5° - areia extraída e brita produzida - alas retas</t>
  </si>
  <si>
    <t>0804385</t>
  </si>
  <si>
    <t>Boca de BSTC D = 0,80 m - esconsidade 0° - areia e brita comerciais - alas esconsas</t>
  </si>
  <si>
    <t>0804101</t>
  </si>
  <si>
    <t>Boca de BSTC D = 0,80 m - esconsidade 0° - areia e brita comerciais - alas retas</t>
  </si>
  <si>
    <t>0804384</t>
  </si>
  <si>
    <t>Boca de BSTC D = 0,80 m - esconsidade 0° - areia extraída e brita produzida - alas esconsas</t>
  </si>
  <si>
    <t>0804100</t>
  </si>
  <si>
    <t>Boca de BSTC D = 0,80 m - esconsidade 0° - areia extraída e brita produzida - alas retas</t>
  </si>
  <si>
    <t>0804105</t>
  </si>
  <si>
    <t>Boca de BSTC D = 0,80 m - esconsidade 10° - areia e brita comerciais - alas retas</t>
  </si>
  <si>
    <t>0804104</t>
  </si>
  <si>
    <t>Boca de BSTC D = 0,80 m - esconsidade 10° - areia extraída e brita produzida - alas retas</t>
  </si>
  <si>
    <t>0804387</t>
  </si>
  <si>
    <t>Boca de BSTC D = 0,80 m - esconsidade 15° - areia e brita comerciais - alas esconsas</t>
  </si>
  <si>
    <t>0804107</t>
  </si>
  <si>
    <t>Boca de BSTC D = 0,80 m - esconsidade 15° - areia e brita comerciais - alas retas</t>
  </si>
  <si>
    <t>0804386</t>
  </si>
  <si>
    <t>Boca de BSTC D = 0,80 m - esconsidade 15° - areia extraída e brita produzida - alas esconsas</t>
  </si>
  <si>
    <t>0804106</t>
  </si>
  <si>
    <t>Boca de BSTC D = 0,80 m - esconsidade 15° - areia extraída e brita produzida - alas retas</t>
  </si>
  <si>
    <t>0804109</t>
  </si>
  <si>
    <t>Boca de BSTC D = 0,80 m - esconsidade 20° - areia e brita comerciais - alas retas</t>
  </si>
  <si>
    <t>0804108</t>
  </si>
  <si>
    <t>Boca de BSTC D = 0,80 m - esconsidade 20° - areia extraída e brita produzida - alas retas</t>
  </si>
  <si>
    <t>0804111</t>
  </si>
  <si>
    <t>Boca de BSTC D = 0,80 m - esconsidade 25° - areia e brita comerciais - alas retas</t>
  </si>
  <si>
    <t>0804110</t>
  </si>
  <si>
    <t>Boca de BSTC D = 0,80 m - esconsidade 25° - areia extraída e brita produzida - alas retas</t>
  </si>
  <si>
    <t>0804389</t>
  </si>
  <si>
    <t>Boca de BSTC D = 0,80 m - esconsidade 30° - areia e brita comerciais - alas esconsas</t>
  </si>
  <si>
    <t>0804113</t>
  </si>
  <si>
    <t>Boca de BSTC D = 0,80 m - esconsidade 30° - areia e brita comerciais - alas retas</t>
  </si>
  <si>
    <t>0804388</t>
  </si>
  <si>
    <t>Boca de BSTC D = 0,80 m - esconsidade 30° - areia extraída e brita produzida - alas esconsas</t>
  </si>
  <si>
    <t>0804112</t>
  </si>
  <si>
    <t>Boca de BSTC D = 0,80 m - esconsidade 30° - areia extraída e brita produzida - alas retas</t>
  </si>
  <si>
    <t>0804115</t>
  </si>
  <si>
    <t>Boca de BSTC D = 0,80 m - esconsidade 35° - areia e brita comerciais - alas retas</t>
  </si>
  <si>
    <t>0804114</t>
  </si>
  <si>
    <t>Boca de BSTC D = 0,80 m - esconsidade 35° - areia extraída e brita produzida - alas retas</t>
  </si>
  <si>
    <t>0804117</t>
  </si>
  <si>
    <t>Boca de BSTC D = 0,80 m - esconsidade 40° - areia e brita comerciais - alas retas</t>
  </si>
  <si>
    <t>0804116</t>
  </si>
  <si>
    <t>Boca de BSTC D = 0,80 m - esconsidade 40° - areia extraída e brita produzida - alas retas</t>
  </si>
  <si>
    <t>0804391</t>
  </si>
  <si>
    <t>Boca de BSTC D = 0,80 m - esconsidade 45° - areia e brita comerciais - alas esconsas</t>
  </si>
  <si>
    <t>0804119</t>
  </si>
  <si>
    <t>Boca de BSTC D = 0,80 m - esconsidade 45° - areia e brita comerciais - alas retas</t>
  </si>
  <si>
    <t>0804390</t>
  </si>
  <si>
    <t>Boca de BSTC D = 0,80 m - esconsidade 45° - areia extraída e brita produzida - alas esconsas</t>
  </si>
  <si>
    <t>0804118</t>
  </si>
  <si>
    <t>Boca de BSTC D = 0,80 m - esconsidade 45° - areia extraída e brita produzida - alas retas</t>
  </si>
  <si>
    <t>0804103</t>
  </si>
  <si>
    <t>Boca de BSTC D = 0,80 m - esconsidade 5° - areia e brita comerciais - alas retas</t>
  </si>
  <si>
    <t>0804102</t>
  </si>
  <si>
    <t>Boca de BSTC D = 0,80 m - esconsidade 5° - areia extraída e brita produzida - alas retas</t>
  </si>
  <si>
    <t>0804393</t>
  </si>
  <si>
    <t>Boca de BSTC D = 1,00 m - esconsidade 0° - areia e brita comerciais - alas esconsas</t>
  </si>
  <si>
    <t>0804121</t>
  </si>
  <si>
    <t>Boca de BSTC D = 1,00 m - esconsidade 0° - areia e brita comerciais - alas retas</t>
  </si>
  <si>
    <t>0804392</t>
  </si>
  <si>
    <t>Boca de BSTC D = 1,00 m - esconsidade 0° - areia extraída e brita produzida - alas esconsas</t>
  </si>
  <si>
    <t>0804120</t>
  </si>
  <si>
    <t>Boca de BSTC D = 1,00 m - esconsidade 0° - areia extraída e brita produzida - alas retas</t>
  </si>
  <si>
    <t>0804125</t>
  </si>
  <si>
    <t>Boca de BSTC D = 1,00 m - esconsidade 10° - areia e brita comerciais - alas retas</t>
  </si>
  <si>
    <t>0804124</t>
  </si>
  <si>
    <t>Boca de BSTC D = 1,00 m - esconsidade 10° - areia extraída e brita produzida - alas retas</t>
  </si>
  <si>
    <t>0804395</t>
  </si>
  <si>
    <t>Boca de BSTC D = 1,00 m - esconsidade 15° - areia e brita comerciais - alas esconsas</t>
  </si>
  <si>
    <t>0804127</t>
  </si>
  <si>
    <t>Boca de BSTC D = 1,00 m - esconsidade 15° - areia e brita comerciais - alas retas</t>
  </si>
  <si>
    <t>0804394</t>
  </si>
  <si>
    <t>Boca de BSTC D = 1,00 m - esconsidade 15° - areia extraída e brita produzida - alas esconsas</t>
  </si>
  <si>
    <t>0804126</t>
  </si>
  <si>
    <t>Boca de BSTC D = 1,00 m - esconsidade 15° - areia extraída e brita produzida - alas retas</t>
  </si>
  <si>
    <t>0804129</t>
  </si>
  <si>
    <t>Boca de BSTC D = 1,00 m - esconsidade 20° - areia e brita comerciais - alas retas</t>
  </si>
  <si>
    <t>0804128</t>
  </si>
  <si>
    <t>Boca de BSTC D = 1,00 m - esconsidade 20° - areia extraída e brita produzida - alas retas</t>
  </si>
  <si>
    <t>0804131</t>
  </si>
  <si>
    <t>Boca de BSTC D = 1,00 m - esconsidade 25° - areia e brita comerciais - alas retas</t>
  </si>
  <si>
    <t>0804130</t>
  </si>
  <si>
    <t>Boca de BSTC D = 1,00 m - esconsidade 25° - areia extraída e brita produzida - alas retas</t>
  </si>
  <si>
    <t>0804397</t>
  </si>
  <si>
    <t>Boca de BSTC D = 1,00 m - esconsidade 30° - areia e brita comerciais - alas esconsas</t>
  </si>
  <si>
    <t>0804133</t>
  </si>
  <si>
    <t>Boca de BSTC D = 1,00 m - esconsidade 30° - areia e brita comerciais - alas retas</t>
  </si>
  <si>
    <t>0804396</t>
  </si>
  <si>
    <t>Boca de BSTC D = 1,00 m - esconsidade 30° - areia extraída e brita produzida - alas esconsas</t>
  </si>
  <si>
    <t>0804132</t>
  </si>
  <si>
    <t>Boca de BSTC D = 1,00 m - esconsidade 30° - areia extraída e brita produzida - alas retas</t>
  </si>
  <si>
    <t>0804135</t>
  </si>
  <si>
    <t>Boca de BSTC D = 1,00 m - esconsidade 35° - areia e brita comerciais - alas retas</t>
  </si>
  <si>
    <t>0804134</t>
  </si>
  <si>
    <t>Boca de BSTC D = 1,00 m - esconsidade 35° - areia extraída e brita produzida - alas retas</t>
  </si>
  <si>
    <t>0804137</t>
  </si>
  <si>
    <t>Boca de BSTC D = 1,00 m - esconsidade 40° - areia e brita comerciais - alas retas</t>
  </si>
  <si>
    <t>0804136</t>
  </si>
  <si>
    <t>Boca de BSTC D = 1,00 m - esconsidade 40° - areia extraída e brita produzida - alas retas</t>
  </si>
  <si>
    <t>0804399</t>
  </si>
  <si>
    <t>Boca de BSTC D = 1,00 m - esconsidade 45° - areia e brita comerciais - alas esconsas</t>
  </si>
  <si>
    <t>0804139</t>
  </si>
  <si>
    <t>Boca de BSTC D = 1,00 m - esconsidade 45° - areia e brita comerciais - alas retas</t>
  </si>
  <si>
    <t>0804398</t>
  </si>
  <si>
    <t>Boca de BSTC D = 1,00 m - esconsidade 45° - areia extraída e brita produzida - alas esconsas</t>
  </si>
  <si>
    <t>0804138</t>
  </si>
  <si>
    <t>Boca de BSTC D = 1,00 m - esconsidade 45° - areia extraída e brita produzida - alas retas</t>
  </si>
  <si>
    <t>0804123</t>
  </si>
  <si>
    <t>Boca de BSTC D = 1,00 m - esconsidade 5° - areia e brita comerciais - alas retas</t>
  </si>
  <si>
    <t>0804122</t>
  </si>
  <si>
    <t>Boca de BSTC D = 1,00 m - esconsidade 5° - areia extraída e brita produzida - alas retas</t>
  </si>
  <si>
    <t>0804401</t>
  </si>
  <si>
    <t>Boca de BSTC D = 1,20 m - esconsidade 0° - areia e brita comerciais - alas esconsas</t>
  </si>
  <si>
    <t>0804141</t>
  </si>
  <si>
    <t>Boca de BSTC D = 1,20 m - esconsidade 0° - areia e brita comerciais - alas retas</t>
  </si>
  <si>
    <t>0804400</t>
  </si>
  <si>
    <t>Boca de BSTC D = 1,20 m - esconsidade 0° - areia extraída e brita produzida - alas esconsas</t>
  </si>
  <si>
    <t>0804140</t>
  </si>
  <si>
    <t>Boca de BSTC D = 1,20 m - esconsidade 0° - areia extraída e brita produzida - alas retas</t>
  </si>
  <si>
    <t>0804145</t>
  </si>
  <si>
    <t>Boca de BSTC D = 1,20 m - esconsidade 10° - areia e brita comerciais - alas retas</t>
  </si>
  <si>
    <t>0804144</t>
  </si>
  <si>
    <t>Boca de BSTC D = 1,20 m - esconsidade 10° - areia extraída e brita produzida - alas retas</t>
  </si>
  <si>
    <t>0804403</t>
  </si>
  <si>
    <t>Boca de BSTC D = 1,20 m - esconsidade 15° - areia e brita comerciais - alas esconsas</t>
  </si>
  <si>
    <t>0804147</t>
  </si>
  <si>
    <t>Boca de BSTC D = 1,20 m - esconsidade 15° - areia e brita comerciais - alas retas</t>
  </si>
  <si>
    <t>0804402</t>
  </si>
  <si>
    <t>Boca de BSTC D = 1,20 m - esconsidade 15° - areia extraída e brita produzida - alas esconsas</t>
  </si>
  <si>
    <t>0804146</t>
  </si>
  <si>
    <t>Boca de BSTC D = 1,20 m - esconsidade 15° - areia extraída e brita produzida - alas retas</t>
  </si>
  <si>
    <t>0804149</t>
  </si>
  <si>
    <t>Boca de BSTC D = 1,20 m - esconsidade 20° - areia e brita comerciais - alas retas</t>
  </si>
  <si>
    <t>0804148</t>
  </si>
  <si>
    <t>Boca de BSTC D = 1,20 m - esconsidade 20° - areia extraída e brita produzida - alas retas</t>
  </si>
  <si>
    <t>0804151</t>
  </si>
  <si>
    <t>Boca de BSTC D = 1,20 m - esconsidade 25° - areia e brita comerciais - alas retas</t>
  </si>
  <si>
    <t>0804150</t>
  </si>
  <si>
    <t>Boca de BSTC D = 1,20 m - esconsidade 25° - areia extraída e brita produzida - alas retas</t>
  </si>
  <si>
    <t>0804405</t>
  </si>
  <si>
    <t>Boca de BSTC D = 1,20 m - esconsidade 30° - areia e brita comerciais - alas esconsas</t>
  </si>
  <si>
    <t>0804153</t>
  </si>
  <si>
    <t>Boca de BSTC D = 1,20 m - esconsidade 30° - areia e brita comerciais - alas retas</t>
  </si>
  <si>
    <t>0804404</t>
  </si>
  <si>
    <t>Boca de BSTC D = 1,20 m - esconsidade 30° - areia extraída e brita produzida - alas esconsas</t>
  </si>
  <si>
    <t>0804152</t>
  </si>
  <si>
    <t>Boca de BSTC D = 1,20 m - esconsidade 30° - areia extraída e brita produzida - alas retas</t>
  </si>
  <si>
    <t>0804155</t>
  </si>
  <si>
    <t>Boca de BSTC D = 1,20 m - esconsidade 35° - areia e brita comerciais - alas retas</t>
  </si>
  <si>
    <t>0804154</t>
  </si>
  <si>
    <t>Boca de BSTC D = 1,20 m - esconsidade 35° - areia extraída e brita produzida - alas retas</t>
  </si>
  <si>
    <t>0804157</t>
  </si>
  <si>
    <t>Boca de BSTC D = 1,20 m - esconsidade 40° - areia e brita comerciais - alas retas</t>
  </si>
  <si>
    <t>0804156</t>
  </si>
  <si>
    <t>Boca de BSTC D = 1,20 m - esconsidade 40° - areia extraída e brita produzida - alas retas</t>
  </si>
  <si>
    <t>0804407</t>
  </si>
  <si>
    <t>Boca de BSTC D = 1,20 m - esconsidade 45° - areia e brita comerciais - alas esconsas</t>
  </si>
  <si>
    <t>0804159</t>
  </si>
  <si>
    <t>Boca de BSTC D = 1,20 m - esconsidade 45° - areia e brita comerciais - alas retas</t>
  </si>
  <si>
    <t>0804406</t>
  </si>
  <si>
    <t>Boca de BSTC D = 1,20 m - esconsidade 45° - areia extraída e brita produzida - alas esconsas</t>
  </si>
  <si>
    <t>0804158</t>
  </si>
  <si>
    <t>Boca de BSTC D = 1,20 m - esconsidade 45° - areia extraída e brita produzida - alas retas</t>
  </si>
  <si>
    <t>0804143</t>
  </si>
  <si>
    <t>Boca de BSTC D = 1,20 m - esconsidade 5° - areia e brita comerciais - alas retas</t>
  </si>
  <si>
    <t>0804142</t>
  </si>
  <si>
    <t>Boca de BSTC D = 1,20 m - esconsidade 5° - areia extraída e brita produzida - alas retas</t>
  </si>
  <si>
    <t>0804409</t>
  </si>
  <si>
    <t>Boca de BSTC D = 1,50 m - esconsidade 0° - areia e brita comerciais - alas esconsas</t>
  </si>
  <si>
    <t>0804161</t>
  </si>
  <si>
    <t>Boca de BSTC D = 1,50 m - esconsidade 0° - areia e brita comerciais - alas retas</t>
  </si>
  <si>
    <t>0804408</t>
  </si>
  <si>
    <t>Boca de BSTC D = 1,50 m - esconsidade 0° - areia extraída e brita produzida - alas esconsas</t>
  </si>
  <si>
    <t>0804160</t>
  </si>
  <si>
    <t>Boca de BSTC D = 1,50 m - esconsidade 0° - areia extraída e brita produzida - alas retas</t>
  </si>
  <si>
    <t>0804165</t>
  </si>
  <si>
    <t>Boca de BSTC D = 1,50 m - esconsidade 10° - areia e brita comerciais - alas retas</t>
  </si>
  <si>
    <t>0804164</t>
  </si>
  <si>
    <t>Boca de BSTC D = 1,50 m - esconsidade 10° - areia extraída e brita produzida - alas retas</t>
  </si>
  <si>
    <t>0804411</t>
  </si>
  <si>
    <t>Boca de BSTC D = 1,50 m - esconsidade 15° - areia e brita comerciais - alas esconsas</t>
  </si>
  <si>
    <t>0804167</t>
  </si>
  <si>
    <t>Boca de BSTC D = 1,50 m - esconsidade 15° - areia e brita comerciais - alas retas</t>
  </si>
  <si>
    <t>0804410</t>
  </si>
  <si>
    <t>Boca de BSTC D = 1,50 m - esconsidade 15° - areia extraída e brita produzida - alas esconsas</t>
  </si>
  <si>
    <t>0804166</t>
  </si>
  <si>
    <t>Boca de BSTC D = 1,50 m - esconsidade 15° - areia extraída e brita produzida - alas retas</t>
  </si>
  <si>
    <t>0804169</t>
  </si>
  <si>
    <t>Boca de BSTC D = 1,50 m - esconsidade 20° - areia e brita comerciais - alas retas</t>
  </si>
  <si>
    <t>0804168</t>
  </si>
  <si>
    <t>Boca de BSTC D = 1,50 m - esconsidade 20° - areia extraída e brita produzida - alas retas</t>
  </si>
  <si>
    <t>0804171</t>
  </si>
  <si>
    <t>Boca de BSTC D = 1,50 m - esconsidade 25° - areia e brita comerciais - alas retas</t>
  </si>
  <si>
    <t>0804170</t>
  </si>
  <si>
    <t>Boca de BSTC D = 1,50 m - esconsidade 25° - areia extraída e brita produzida - alas retas</t>
  </si>
  <si>
    <t>0804413</t>
  </si>
  <si>
    <t>Boca de BSTC D = 1,50 m - esconsidade 30° - areia e brita comerciais - alas esconsas</t>
  </si>
  <si>
    <t>0804173</t>
  </si>
  <si>
    <t>Boca de BSTC D = 1,50 m - esconsidade 30° - areia e brita comerciais - alas retas</t>
  </si>
  <si>
    <t>0804412</t>
  </si>
  <si>
    <t>Boca de BSTC D = 1,50 m - esconsidade 30° - areia extraída e brita produzida - alas esconsas</t>
  </si>
  <si>
    <t>0804172</t>
  </si>
  <si>
    <t>Boca de BSTC D = 1,50 m - esconsidade 30° - areia extraída e brita produzida - alas retas</t>
  </si>
  <si>
    <t>0804175</t>
  </si>
  <si>
    <t>Boca de BSTC D = 1,50 m - esconsidade 35° - areia e brita comerciais - alas retas</t>
  </si>
  <si>
    <t>0804174</t>
  </si>
  <si>
    <t>Boca de BSTC D = 1,50 m - esconsidade 35° - areia extraída e brita produzida - alas retas</t>
  </si>
  <si>
    <t>0804177</t>
  </si>
  <si>
    <t>Boca de BSTC D = 1,50 m - esconsidade 40° - areia e brita comerciais - alas retas</t>
  </si>
  <si>
    <t>0804176</t>
  </si>
  <si>
    <t>Boca de BSTC D = 1,50 m - esconsidade 40° - areia extraída e brita produzida - alas retas</t>
  </si>
  <si>
    <t>0804415</t>
  </si>
  <si>
    <t>Boca de BSTC D = 1,50 m - esconsidade 45° - areia e brita comerciais - alas esconsas</t>
  </si>
  <si>
    <t>0804179</t>
  </si>
  <si>
    <t>Boca de BSTC D = 1,50 m - esconsidade 45° - areia e brita comerciais - alas retas</t>
  </si>
  <si>
    <t>0804414</t>
  </si>
  <si>
    <t>Boca de BSTC D = 1,50 m - esconsidade 45° - areia extraída e brita produzida - alas esconsas</t>
  </si>
  <si>
    <t>0804178</t>
  </si>
  <si>
    <t>Boca de BSTC D = 1,50 m - esconsidade 45° - areia extraída e brita produzida - alas retas</t>
  </si>
  <si>
    <t>0804163</t>
  </si>
  <si>
    <t>Boca de BSTC D = 1,50 m - esconsidade 5° - areia e brita comerciais - alas retas</t>
  </si>
  <si>
    <t>0804162</t>
  </si>
  <si>
    <t>Boca de BSTC D = 1,50 m - esconsidade 5° - areia extraída e brita produzida - alas retas</t>
  </si>
  <si>
    <t>0804441</t>
  </si>
  <si>
    <t>Boca de BTTC D = 1,00 m - esconsidade 0° - areia e brita comerciais - alas esconsas</t>
  </si>
  <si>
    <t>0804317</t>
  </si>
  <si>
    <t>Boca de BTTC D = 1,00 m - esconsidade 0° - areia e brita comerciais - alas retas</t>
  </si>
  <si>
    <t>0804440</t>
  </si>
  <si>
    <t>Boca de BTTC D = 1,00 m - esconsidade 0° - areia extraída e brita produzida - alas esconsas</t>
  </si>
  <si>
    <t>0804316</t>
  </si>
  <si>
    <t>Boca de BTTC D = 1,00 m - esconsidade 0° - areia extraída e brita produzida - alas retas</t>
  </si>
  <si>
    <t>0804321</t>
  </si>
  <si>
    <t>Boca de BTTC D = 1,00 m - esconsidade 10° - areia e brita comerciais - alas retas</t>
  </si>
  <si>
    <t>0804320</t>
  </si>
  <si>
    <t>Boca de BTTC D = 1,00 m - esconsidade 10° - areia extraída e brita produzida - alas retas</t>
  </si>
  <si>
    <t>0804443</t>
  </si>
  <si>
    <t>Boca de BTTC D = 1,00 m - esconsidade 15° - areia e brita comerciais - alas esconsas</t>
  </si>
  <si>
    <t>0804323</t>
  </si>
  <si>
    <t>Boca de BTTC D = 1,00 m - esconsidade 15° - areia e brita comerciais - alas retas</t>
  </si>
  <si>
    <t>0804442</t>
  </si>
  <si>
    <t>Boca de BTTC D = 1,00 m - esconsidade 15° - areia extraída e brita produzida - alas esconsas</t>
  </si>
  <si>
    <t>0804322</t>
  </si>
  <si>
    <t>Boca de BTTC D = 1,00 m - esconsidade 15° - areia extraída e brita produzida - alas retas</t>
  </si>
  <si>
    <t>0804325</t>
  </si>
  <si>
    <t>Boca de BTTC D = 1,00 m - esconsidade 20° - areia e brita comerciais - alas retas</t>
  </si>
  <si>
    <t>0804324</t>
  </si>
  <si>
    <t>Boca de BTTC D = 1,00 m - esconsidade 20° - areia extraída e brita produzida - alas retas</t>
  </si>
  <si>
    <t>0804327</t>
  </si>
  <si>
    <t>Boca de BTTC D = 1,00 m - esconsidade 25° - areia e brita comerciais - alas retas</t>
  </si>
  <si>
    <t>0804326</t>
  </si>
  <si>
    <t>Boca de BTTC D = 1,00 m - esconsidade 25° - areia extraída e brita produzida - alas retas</t>
  </si>
  <si>
    <t>0804445</t>
  </si>
  <si>
    <t>Boca de BTTC D = 1,00 m - esconsidade 30° - areia e brita comerciais - alas esconsas</t>
  </si>
  <si>
    <t>0804329</t>
  </si>
  <si>
    <t>Boca de BTTC D = 1,00 m - esconsidade 30° - areia e brita comerciais - alas retas</t>
  </si>
  <si>
    <t>0804444</t>
  </si>
  <si>
    <t>Boca de BTTC D = 1,00 m - esconsidade 30° - areia extraída e brita produzida - alas esconsas</t>
  </si>
  <si>
    <t>0804328</t>
  </si>
  <si>
    <t>Boca de BTTC D = 1,00 m - esconsidade 30° - areia extraída e brita produzida - alas retas</t>
  </si>
  <si>
    <t>0804331</t>
  </si>
  <si>
    <t>Boca de BTTC D = 1,00 m - esconsidade 35° - areia e brita comerciais - alas retas</t>
  </si>
  <si>
    <t>0804330</t>
  </si>
  <si>
    <t>Boca de BTTC D = 1,00 m - esconsidade 35° - areia extraída e brita produzida - alas retas</t>
  </si>
  <si>
    <t>0804333</t>
  </si>
  <si>
    <t>Boca de BTTC D = 1,00 m - esconsidade 40° - areia e brita comerciais - alas retas</t>
  </si>
  <si>
    <t>0804332</t>
  </si>
  <si>
    <t>Boca de BTTC D = 1,00 m - esconsidade 40° - areia extraída e brita produzida - alas retas</t>
  </si>
  <si>
    <t>0804447</t>
  </si>
  <si>
    <t>Boca de BTTC D = 1,00 m - esconsidade 45° - areia e brita comerciais - alas esconsas</t>
  </si>
  <si>
    <t>0804335</t>
  </si>
  <si>
    <t>Boca de BTTC D = 1,00 m - esconsidade 45° - areia e brita comerciais - alas retas</t>
  </si>
  <si>
    <t>0804446</t>
  </si>
  <si>
    <t>Boca de BTTC D = 1,00 m - esconsidade 45° - areia extraída e brita produzida - alas esconsas</t>
  </si>
  <si>
    <t>0804334</t>
  </si>
  <si>
    <t>Boca de BTTC D = 1,00 m - esconsidade 45° - areia extraída e brita produzida - alas retas</t>
  </si>
  <si>
    <t>0804319</t>
  </si>
  <si>
    <t>Boca de BTTC D = 1,00 m - esconsidade 5° - areia e brita comerciais - alas retas</t>
  </si>
  <si>
    <t>0804318</t>
  </si>
  <si>
    <t>Boca de BTTC D = 1,00 m - esconsidade 5° - areia extraída e brita produzida - alas retas</t>
  </si>
  <si>
    <t>0804449</t>
  </si>
  <si>
    <t>Boca de BTTC D = 1,20 m - esconsidade 0° - areia e brita comerciais - alas esconsas</t>
  </si>
  <si>
    <t>0804337</t>
  </si>
  <si>
    <t>Boca de BTTC D = 1,20 m - esconsidade 0° - areia e brita comerciais - alas retas</t>
  </si>
  <si>
    <t>0804448</t>
  </si>
  <si>
    <t>Boca de BTTC D = 1,20 m - esconsidade 0° - areia extraída e brita produzida - alas esconsas</t>
  </si>
  <si>
    <t>0804336</t>
  </si>
  <si>
    <t>Boca de BTTC D = 1,20 m - esconsidade 0° - areia extraída e brita produzida - alas retas</t>
  </si>
  <si>
    <t>0804341</t>
  </si>
  <si>
    <t>Boca de BTTC D = 1,20 m - esconsidade 10° - areia e brita comerciais - alas retas</t>
  </si>
  <si>
    <t>0804340</t>
  </si>
  <si>
    <t>Boca de BTTC D = 1,20 m - esconsidade 10° - areia extraída e brita produzida - alas retas</t>
  </si>
  <si>
    <t>0804451</t>
  </si>
  <si>
    <t>Boca de BTTC D = 1,20 m - esconsidade 15° - areia e brita comerciais - alas esconsas</t>
  </si>
  <si>
    <t>0804343</t>
  </si>
  <si>
    <t>Boca de BTTC D = 1,20 m - esconsidade 15° - areia e brita comerciais - alas retas</t>
  </si>
  <si>
    <t>0804450</t>
  </si>
  <si>
    <t>Boca de BTTC D = 1,20 m - esconsidade 15° - areia extraída e brita produzida - alas esconsas</t>
  </si>
  <si>
    <t>0804342</t>
  </si>
  <si>
    <t>Boca de BTTC D = 1,20 m - esconsidade 15° - areia extraída e brita produzida - alas retas</t>
  </si>
  <si>
    <t>0804345</t>
  </si>
  <si>
    <t>Boca de BTTC D = 1,20 m - esconsidade 20° - areia e brita comerciais - alas retas</t>
  </si>
  <si>
    <t>0804344</t>
  </si>
  <si>
    <t>Boca de BTTC D = 1,20 m - esconsidade 20° - areia extraída e brita produzida - alas retas</t>
  </si>
  <si>
    <t>0804347</t>
  </si>
  <si>
    <t>Boca de BTTC D = 1,20 m - esconsidade 25° - areia e brita comerciais - alas retas</t>
  </si>
  <si>
    <t>0804346</t>
  </si>
  <si>
    <t>Boca de BTTC D = 1,20 m - esconsidade 25° - areia extraída e brita produzida - alas retas</t>
  </si>
  <si>
    <t>0804453</t>
  </si>
  <si>
    <t>Boca de BTTC D = 1,20 m - esconsidade 30° - areia e brita comerciais - alas esconsas</t>
  </si>
  <si>
    <t>0804349</t>
  </si>
  <si>
    <t>Boca de BTTC D = 1,20 m - esconsidade 30° - areia e brita comerciais - alas retas</t>
  </si>
  <si>
    <t>0804452</t>
  </si>
  <si>
    <t>Boca de BTTC D = 1,20 m - esconsidade 30° - areia extraída e brita produzida - alas esconsas</t>
  </si>
  <si>
    <t>0804348</t>
  </si>
  <si>
    <t>Boca de BTTC D = 1,20 m - esconsidade 30° - areia extraída e brita produzida - alas retas</t>
  </si>
  <si>
    <t>0804351</t>
  </si>
  <si>
    <t>Boca de BTTC D = 1,20 m - esconsidade 35° - areia e brita comerciais - alas retas</t>
  </si>
  <si>
    <t>0804350</t>
  </si>
  <si>
    <t>Boca de BTTC D = 1,20 m - esconsidade 35° - areia extraída e brita produzida - alas retas</t>
  </si>
  <si>
    <t>0804353</t>
  </si>
  <si>
    <t>Boca de BTTC D = 1,20 m - esconsidade 40° - areia e brita comerciais - alas retas</t>
  </si>
  <si>
    <t>0804352</t>
  </si>
  <si>
    <t>Boca de BTTC D = 1,20 m - esconsidade 40° - areia extraída e brita produzida - alas retas</t>
  </si>
  <si>
    <t>0804455</t>
  </si>
  <si>
    <t>Boca de BTTC D = 1,20 m - esconsidade 45° - areia e brita comerciais - alas esconsas</t>
  </si>
  <si>
    <t>0804355</t>
  </si>
  <si>
    <t>Boca de BTTC D = 1,20 m - esconsidade 45° - areia e brita comerciais - alas retas</t>
  </si>
  <si>
    <t>0804454</t>
  </si>
  <si>
    <t>Boca de BTTC D = 1,20 m - esconsidade 45° - areia extraída e brita produzida - alas esconsas</t>
  </si>
  <si>
    <t>0804354</t>
  </si>
  <si>
    <t>Boca de BTTC D = 1,20 m - esconsidade 45° - areia extraída e brita produzida - alas retas</t>
  </si>
  <si>
    <t>0804339</t>
  </si>
  <si>
    <t>Boca de BTTC D = 1,20 m - esconsidade 5° - areia e brita comerciais - alas retas</t>
  </si>
  <si>
    <t>0804338</t>
  </si>
  <si>
    <t>Boca de BTTC D = 1,20 m - esconsidade 5° - areia extraída e brita produzida - alas retas</t>
  </si>
  <si>
    <t>0804457</t>
  </si>
  <si>
    <t>Boca de BTTC D = 1,50 m - esconsidade 0° - areia e brita comerciais - alas esconsas</t>
  </si>
  <si>
    <t>0804357</t>
  </si>
  <si>
    <t>Boca de BTTC D = 1,50 m - esconsidade 0° - areia e brita comerciais - alas retas</t>
  </si>
  <si>
    <t>0804456</t>
  </si>
  <si>
    <t>Boca de BTTC D = 1,50 m - esconsidade 0° - areia extraída e brita produzida - alas esconsas</t>
  </si>
  <si>
    <t>0804356</t>
  </si>
  <si>
    <t>Boca de BTTC D = 1,50 m - esconsidade 0° - areia extraída e brita produzida - alas retas</t>
  </si>
  <si>
    <t>0804361</t>
  </si>
  <si>
    <t>Boca de BTTC D = 1,50 m - esconsidade 10° - areia e brita comerciais - alas retas</t>
  </si>
  <si>
    <t>0804360</t>
  </si>
  <si>
    <t>Boca de BTTC D = 1,50 m - esconsidade 10° - areia extraída e brita produzida - alas retas</t>
  </si>
  <si>
    <t>0804459</t>
  </si>
  <si>
    <t>Boca de BTTC D = 1,50 m - esconsidade 15° - areia e brita comerciais - alas esconsas</t>
  </si>
  <si>
    <t>0804363</t>
  </si>
  <si>
    <t>Boca de BTTC D = 1,50 m - esconsidade 15° - areia e brita comerciais - alas retas</t>
  </si>
  <si>
    <t>0804458</t>
  </si>
  <si>
    <t>Boca de BTTC D = 1,50 m - esconsidade 15° - areia extraída e brita produzida - alas esconsas</t>
  </si>
  <si>
    <t>0804362</t>
  </si>
  <si>
    <t>Boca de BTTC D = 1,50 m - esconsidade 15° - areia extraída e brita produzida - alas retas</t>
  </si>
  <si>
    <t>0804365</t>
  </si>
  <si>
    <t>Boca de BTTC D = 1,50 m - esconsidade 20° - areia e brita comerciais - alas retas</t>
  </si>
  <si>
    <t>0804364</t>
  </si>
  <si>
    <t>Boca de BTTC D = 1,50 m - esconsidade 20° - areia extraída e brita produzida - alas retas</t>
  </si>
  <si>
    <t>0804367</t>
  </si>
  <si>
    <t>Boca de BTTC D = 1,50 m - esconsidade 25° - areia e brita comerciais - alas retas</t>
  </si>
  <si>
    <t>0804366</t>
  </si>
  <si>
    <t>Boca de BTTC D = 1,50 m - esconsidade 25° - areia extraída e brita produzida - alas retas</t>
  </si>
  <si>
    <t>0804461</t>
  </si>
  <si>
    <t>Boca de BTTC D = 1,50 m - esconsidade 30° - areia e brita comerciais - alas esconsas</t>
  </si>
  <si>
    <t>0804369</t>
  </si>
  <si>
    <t>Boca de BTTC D = 1,50 m - esconsidade 30° - areia e brita comerciais - alas retas</t>
  </si>
  <si>
    <t>0804460</t>
  </si>
  <si>
    <t>Boca de BTTC D = 1,50 m - esconsidade 30° - areia extraída e brita produzida - alas esconsas</t>
  </si>
  <si>
    <t>0804371</t>
  </si>
  <si>
    <t>Boca de BTTC D = 1,50 m - esconsidade 35° - areia e brita comerciais - alas retas</t>
  </si>
  <si>
    <t>0804370</t>
  </si>
  <si>
    <t>Boca de BTTC D = 1,50 m - esconsidade 35° - areia extraída e brita produzida - alas retas</t>
  </si>
  <si>
    <t>0804373</t>
  </si>
  <si>
    <t>Boca de BTTC D = 1,50 m - esconsidade 40° - areia e brita comerciais - alas retas</t>
  </si>
  <si>
    <t>0804372</t>
  </si>
  <si>
    <t>Boca de BTTC D = 1,50 m - esconsidade 40° - areia extraída e brita produzida - alas retas</t>
  </si>
  <si>
    <t>0804463</t>
  </si>
  <si>
    <t>Boca de BTTC D = 1,50 m - esconsidade 45° - areia e brita comerciais - alas esconsas</t>
  </si>
  <si>
    <t>0804375</t>
  </si>
  <si>
    <t>Boca de BTTC D = 1,50 m - esconsidade 45° - areia e brita comerciais - alas retas</t>
  </si>
  <si>
    <t>0804462</t>
  </si>
  <si>
    <t>Boca de BTTC D = 1,50 m - esconsidade 45° - areia extraída e brita produzida - alas esconsas</t>
  </si>
  <si>
    <t>0804374</t>
  </si>
  <si>
    <t>Boca de BTTC D = 1,50 m - esconsidade 45° - areia extraída e brita produzida - alas retas</t>
  </si>
  <si>
    <t>0804359</t>
  </si>
  <si>
    <t>Boca de BTTC D = 1,50 m - esconsidade 5° - areia e brita comerciais - alas retas</t>
  </si>
  <si>
    <t>0804358</t>
  </si>
  <si>
    <t>Boca de BTTC D = 1,50 m - esconsidade 5° - areia extraída e brita produzida - alas retas</t>
  </si>
  <si>
    <t>0804368</t>
  </si>
  <si>
    <t>Boca de BTTC D = 1,50 m esconsidade 30° - areia extraída e brita produzida - alas retas</t>
  </si>
  <si>
    <t>0804465</t>
  </si>
  <si>
    <t>Confecção de tubos de concreto armado D = 0,60 m PA1 - areia e brita comerciais</t>
  </si>
  <si>
    <t>0804464</t>
  </si>
  <si>
    <t>Confecção de tubos de concreto armado D = 0,60 m PA1 - areia extraída e brita produzida</t>
  </si>
  <si>
    <t>0804475</t>
  </si>
  <si>
    <t>Confecção de tubos de concreto armado D = 0,60 m PA2 - areia e brita comerciais</t>
  </si>
  <si>
    <t>0804474</t>
  </si>
  <si>
    <t>Confecção de tubos de concreto armado D = 0,60 m PA2 - areia extraída e brita produzida</t>
  </si>
  <si>
    <t>0804485</t>
  </si>
  <si>
    <t>Confecção de tubos de concreto armado D = 0,60 m PA3 - areia e brita comerciais</t>
  </si>
  <si>
    <t>0804484</t>
  </si>
  <si>
    <t>Confecção de tubos de concreto armado D = 0,60 m PA3 - areia extraída e brita produzida</t>
  </si>
  <si>
    <t>0804495</t>
  </si>
  <si>
    <t>Confecção de tubos de concreto armado D = 0,60 m PA4 - areia e brita comerciais</t>
  </si>
  <si>
    <t>0804494</t>
  </si>
  <si>
    <t>Confecção de tubos de concreto armado D = 0,60 m PA4 - areia extraída e brita produzida</t>
  </si>
  <si>
    <t>0804467</t>
  </si>
  <si>
    <t>Confecção de tubos de concreto armado D = 0,80 m PA1 - areia e brita comerciais</t>
  </si>
  <si>
    <t>0804466</t>
  </si>
  <si>
    <t>Confecção de tubos de concreto armado D = 0,80 m PA1 - areia extraída e brita produzida</t>
  </si>
  <si>
    <t>0804477</t>
  </si>
  <si>
    <t>Confecção de tubos de concreto armado D = 0,80 m PA2 - areia e brita comerciais</t>
  </si>
  <si>
    <t>0804476</t>
  </si>
  <si>
    <t>Confecção de tubos de concreto armado D = 0,80 m PA2 - areia extraída e brita produzida</t>
  </si>
  <si>
    <t>0804487</t>
  </si>
  <si>
    <t>Confecção de tubos de concreto armado D = 0,80 m PA3 - areia e brita comerciais</t>
  </si>
  <si>
    <t>0804486</t>
  </si>
  <si>
    <t>Confecção de tubos de concreto armado D = 0,80 m PA3 - areia extraída e brita produzida</t>
  </si>
  <si>
    <t>0804497</t>
  </si>
  <si>
    <t>Confecção de tubos de concreto armado D = 0,80 m PA4 - areia e brita comerciais</t>
  </si>
  <si>
    <t>0804496</t>
  </si>
  <si>
    <t>Confecção de tubos de concreto armado D = 0,80 m PA4 - areia extraída e brita produzida</t>
  </si>
  <si>
    <t>0804469</t>
  </si>
  <si>
    <t>Confecção de tubos de concreto armado D = 1,00 m PA1 - areia e brita comerciais</t>
  </si>
  <si>
    <t>0804468</t>
  </si>
  <si>
    <t>Confecção de tubos de concreto armado D = 1,00 m PA1 - areia extraída e brita produzida</t>
  </si>
  <si>
    <t>0804479</t>
  </si>
  <si>
    <t>Confecção de tubos de concreto armado D = 1,00 m PA2 - areia e brita comerciais</t>
  </si>
  <si>
    <t>0804478</t>
  </si>
  <si>
    <t>Confecção de tubos de concreto armado D = 1,00 m PA2 - areia extraída e brita produzida</t>
  </si>
  <si>
    <t>0804489</t>
  </si>
  <si>
    <t>Confecção de tubos de concreto armado D = 1,00 m PA3 - areia e brita comerciais</t>
  </si>
  <si>
    <t>0804488</t>
  </si>
  <si>
    <t>Confecção de tubos de concreto armado D = 1,00 m PA3 - areia extraída e brita produzida</t>
  </si>
  <si>
    <t>0804499</t>
  </si>
  <si>
    <t>Confecção de tubos de concreto armado D = 1,00 m PA4 - areia e brita comerciais</t>
  </si>
  <si>
    <t>0804498</t>
  </si>
  <si>
    <t>Confecção de tubos de concreto armado D = 1,00 m PA4 - areia extraída e brita produzida</t>
  </si>
  <si>
    <t>0804471</t>
  </si>
  <si>
    <t>Confecção de tubos de concreto armado D = 1,20 m PA1 - areia e brita comerciais</t>
  </si>
  <si>
    <t>0804470</t>
  </si>
  <si>
    <t>Confecção de tubos de concreto armado D = 1,20 m PA1 - areia extraída e brita produzida</t>
  </si>
  <si>
    <t>0804481</t>
  </si>
  <si>
    <t>Confecção de tubos de concreto armado D = 1,20 m PA2 - areia e brita comerciais</t>
  </si>
  <si>
    <t>0804480</t>
  </si>
  <si>
    <t>Confecção de tubos de concreto armado D = 1,20 m PA2 - areia extraída e brita produzida</t>
  </si>
  <si>
    <t>0804491</t>
  </si>
  <si>
    <t>Confecção de tubos de concreto armado D = 1,20 m PA3 - areia e brita comerciais</t>
  </si>
  <si>
    <t>0804490</t>
  </si>
  <si>
    <t>Confecção de tubos de concreto armado D = 1,20 m PA3 - areia extraída e brita produzida</t>
  </si>
  <si>
    <t>0804501</t>
  </si>
  <si>
    <t>Confecção de tubos de concreto armado D = 1,20 m PA4 - areia e brita comerciais</t>
  </si>
  <si>
    <t>0804500</t>
  </si>
  <si>
    <t>Confecção de tubos de concreto armado D = 1,20 m PA4 - areia extraída e brita produzida</t>
  </si>
  <si>
    <t>0804473</t>
  </si>
  <si>
    <t>Confecção de tubos de concreto armado D = 1,50 m PA1 - areia e brita comerciais</t>
  </si>
  <si>
    <t>0804472</t>
  </si>
  <si>
    <t>Confecção de tubos de concreto armado D = 1,50 m PA1 - areia extraída e brita produzida</t>
  </si>
  <si>
    <t>0804483</t>
  </si>
  <si>
    <t>Confecção de tubos de concreto armado D = 1,50 m PA2 - areia e brita comerciais</t>
  </si>
  <si>
    <t>0804482</t>
  </si>
  <si>
    <t>Confecção de tubos de concreto armado D = 1,50 m PA2 - areia extraída e brita produzida</t>
  </si>
  <si>
    <t>0804493</t>
  </si>
  <si>
    <t>Confecção de tubos de concreto armado D = 1,50 m PA3 - areia e brita comerciais</t>
  </si>
  <si>
    <t>0804492</t>
  </si>
  <si>
    <t>Confecção de tubos de concreto armado D = 1,50 m PA3 - areia extraída e brita produzida</t>
  </si>
  <si>
    <t>0804503</t>
  </si>
  <si>
    <t>Confecção de tubos de concreto armado D = 1,50 m PA4 - areia e brita comerciais</t>
  </si>
  <si>
    <t>0804502</t>
  </si>
  <si>
    <t>Confecção de tubos de concreto armado D = 1,50 m PA4 - areia extraída e brita produzida</t>
  </si>
  <si>
    <t>0804180</t>
  </si>
  <si>
    <t>Corpo de BDTC D = 0,80 m PA1 - areia extraída e brita e pedra de mão produzidas</t>
  </si>
  <si>
    <t>0804181</t>
  </si>
  <si>
    <t>Corpo de BDTC D = 0,80 m PA1 - areia, brita e pedra de mão comerciais</t>
  </si>
  <si>
    <t>0804182</t>
  </si>
  <si>
    <t>Corpo de BDTC D = 0,80 m PA2 - areia extraída e brita e pedra de mão produzidas</t>
  </si>
  <si>
    <t>0804183</t>
  </si>
  <si>
    <t>Corpo de BDTC D = 0,80 m PA2 - areia, brita e pedra de mão comerciais</t>
  </si>
  <si>
    <t>0804184</t>
  </si>
  <si>
    <t>Corpo de BDTC D = 0,80 m PA3 - areia extraída e brita e pedra de mão produzidas</t>
  </si>
  <si>
    <t>0804185</t>
  </si>
  <si>
    <t>Corpo de BDTC D = 0,80 m PA3 - areia, brita e pedra de mão comerciais</t>
  </si>
  <si>
    <t>0804186</t>
  </si>
  <si>
    <t>Corpo de BDTC D = 0,80 m PA4 - areia extraída e brita e pedra de mão produzidas</t>
  </si>
  <si>
    <t>0804187</t>
  </si>
  <si>
    <t>Corpo de BDTC D = 0,80 m PA4 - areia, brita e pedra de mão comerciais</t>
  </si>
  <si>
    <t>0804188</t>
  </si>
  <si>
    <t>Corpo de BDTC D = 1,00 m PA1 - areia extraída e brita e pedra de mão produzidas</t>
  </si>
  <si>
    <t>0804189</t>
  </si>
  <si>
    <t>Corpo de BDTC D = 1,00 m PA1 - areia, brita e pedra de mão comerciais</t>
  </si>
  <si>
    <t>0804190</t>
  </si>
  <si>
    <t>Corpo de BDTC D = 1,00 m PA2 - areia extraída e brita e pedra de mão produzidas</t>
  </si>
  <si>
    <t>0804191</t>
  </si>
  <si>
    <t>Corpo de BDTC D = 1,00 m PA2 - areia, brita e pedra de mão comerciais</t>
  </si>
  <si>
    <t>0804192</t>
  </si>
  <si>
    <t>Corpo de BDTC D = 1,00 m PA3 - areia extraída e brita e pedra de mão produzidas</t>
  </si>
  <si>
    <t>0804193</t>
  </si>
  <si>
    <t>Corpo de BDTC D = 1,00 m PA3 - areia, brita e pedra de mão comerciais</t>
  </si>
  <si>
    <t>0804194</t>
  </si>
  <si>
    <t>Corpo de BDTC D = 1,00 m PA4 - areia extraída e brita e pedra de mão produzidas</t>
  </si>
  <si>
    <t>0804195</t>
  </si>
  <si>
    <t>Corpo de BDTC D = 1,00 m PA4 - areia, brita e pedra de mão comerciais</t>
  </si>
  <si>
    <t>0804196</t>
  </si>
  <si>
    <t>Corpo de BDTC D = 1,20 m PA1 - areia extraída e brita e pedra de mão produzidas</t>
  </si>
  <si>
    <t>0804197</t>
  </si>
  <si>
    <t>Corpo de BDTC D = 1,20 m PA1 - areia, brita e pedra de mão comerciais</t>
  </si>
  <si>
    <t>0804198</t>
  </si>
  <si>
    <t>Corpo de BDTC D = 1,20 m PA2 - areia extraída e brita e pedra de mão produzidas</t>
  </si>
  <si>
    <t>0804199</t>
  </si>
  <si>
    <t>Corpo de BDTC D = 1,20 m PA2 - areia, brita e pedra de mão comerciais</t>
  </si>
  <si>
    <t>0804200</t>
  </si>
  <si>
    <t>Corpo de BDTC D = 1,20 m PA3 - areia extraída e brita e pedra de mão produzidas</t>
  </si>
  <si>
    <t>0804201</t>
  </si>
  <si>
    <t>Corpo de BDTC D = 1,20 m PA3 - areia, brita e pedra de mão comerciais</t>
  </si>
  <si>
    <t>0804202</t>
  </si>
  <si>
    <t>Corpo de BDTC D = 1,20 m PA4 - areia extraída e brita e pedra de mão produzidas</t>
  </si>
  <si>
    <t>0804203</t>
  </si>
  <si>
    <t>Corpo de BDTC D = 1,20 m PA4 - areia, brita e pedra de mão comerciais</t>
  </si>
  <si>
    <t>0804204</t>
  </si>
  <si>
    <t>Corpo de BDTC D = 1,50 m PA1 - areia extraída e brita e pedra de mão produzidas</t>
  </si>
  <si>
    <t>0804205</t>
  </si>
  <si>
    <t>Corpo de BDTC D = 1,50 m PA1 - areia, brita e pedra de mão comerciais</t>
  </si>
  <si>
    <t>0804206</t>
  </si>
  <si>
    <t>Corpo de BDTC D = 1,50 m PA2 - areia extraída e brita e pedra de mão produzidas</t>
  </si>
  <si>
    <t>0804207</t>
  </si>
  <si>
    <t>Corpo de BDTC D = 1,50 m PA2 - areia, brita e pedra de mão comerciais</t>
  </si>
  <si>
    <t>0804208</t>
  </si>
  <si>
    <t>Corpo de BDTC D = 1,50 m PA3 - areia extraída e brita e pedra de mão produzidas</t>
  </si>
  <si>
    <t>0804209</t>
  </si>
  <si>
    <t>Corpo de BDTC D = 1,50 m PA3 - areia, brita e pedra de mão comerciais</t>
  </si>
  <si>
    <t>0804210</t>
  </si>
  <si>
    <t>Corpo de BDTC D = 1,50 m PA4 - areia extraída e brita e pedra de mão produzidas</t>
  </si>
  <si>
    <t>0804211</t>
  </si>
  <si>
    <t>Corpo de BDTC D = 1,50 m PA4 - areia, brita e pedra de mão comerciais</t>
  </si>
  <si>
    <t>0804012</t>
  </si>
  <si>
    <t>Corpo de BSTC D = 0,40 m PA1 - areia extraída e brita e pedra de mão produzidas</t>
  </si>
  <si>
    <t>0804013</t>
  </si>
  <si>
    <t>Corpo de BSTC D = 0,40 m PA1 - areia, brita e pedra de mão comerciais</t>
  </si>
  <si>
    <t>0804014</t>
  </si>
  <si>
    <t>Corpo de BSTC D = 0,40 m PA2 - areia extraída e brita e pedra de mão produzidas</t>
  </si>
  <si>
    <t>0804015</t>
  </si>
  <si>
    <t>Corpo de BSTC D = 0,40 m PA2 - areia, brita e pedra de mão comerciais</t>
  </si>
  <si>
    <t>0804016</t>
  </si>
  <si>
    <t>Corpo de BSTC D = 0,40 m PA3 - areia extraída e brita e pedra de mão produzidas</t>
  </si>
  <si>
    <t>0804017</t>
  </si>
  <si>
    <t>Corpo de BSTC D = 0,40 m PA3 - areia, brita e pedra de mão comerciais</t>
  </si>
  <si>
    <t>0804018</t>
  </si>
  <si>
    <t>Corpo de BSTC D = 0,40 m PA4 - areia extraída e brita e pedra de mão produzidas</t>
  </si>
  <si>
    <t>0804019</t>
  </si>
  <si>
    <t>Corpo de BSTC D = 0,40 m PA4 - areia, brita e pedra de mão comerciais</t>
  </si>
  <si>
    <t>0804020</t>
  </si>
  <si>
    <t>Corpo de BSTC D = 0,60 m PA1 - areia extraída e brita e pedra de mão produzidas</t>
  </si>
  <si>
    <t>0804021</t>
  </si>
  <si>
    <t>Corpo de BSTC D = 0,60 m PA1 - areia, brita e pedra de mão comerciais</t>
  </si>
  <si>
    <t>0804022</t>
  </si>
  <si>
    <t>Corpo de BSTC D = 0,60 m PA2 - areia extraída e brita e pedra de mão produzidas</t>
  </si>
  <si>
    <t>0804023</t>
  </si>
  <si>
    <t>Corpo de BSTC D = 0,60 m PA2 - areia, brita e pedra de mão comerciais</t>
  </si>
  <si>
    <t>0804024</t>
  </si>
  <si>
    <t>Corpo de BSTC D = 0,60 m PA3 - areia extraída e brita e pedra de mão produzidas</t>
  </si>
  <si>
    <t>0804025</t>
  </si>
  <si>
    <t>Corpo de BSTC D = 0,60 m PA3 - areia, brita e pedra de mão comerciais</t>
  </si>
  <si>
    <t>0804026</t>
  </si>
  <si>
    <t>Corpo de BSTC D = 0,60 m PA4 - areia extraída e brita e pedra de mão produzidas</t>
  </si>
  <si>
    <t>0804027</t>
  </si>
  <si>
    <t>Corpo de BSTC D = 0,60 m PA4 - areia, brita e pedra de mão comerciais</t>
  </si>
  <si>
    <t>0804028</t>
  </si>
  <si>
    <t>Corpo de BSTC D = 0,80 m PA1 - areia extraída e brita e pedra de mão produzidas</t>
  </si>
  <si>
    <t>0804029</t>
  </si>
  <si>
    <t>Corpo de BSTC D = 0,80 m PA1 - areia, brita e pedra de mão comerciais</t>
  </si>
  <si>
    <t>0804030</t>
  </si>
  <si>
    <t>Corpo de BSTC D = 0,80 m PA2 - areia extraída e brita e pedra de mão produzidas</t>
  </si>
  <si>
    <t>0804031</t>
  </si>
  <si>
    <t>Corpo de BSTC D = 0,80 m PA2 - areia, brita e pedra de mão comerciais</t>
  </si>
  <si>
    <t>0804032</t>
  </si>
  <si>
    <t>Corpo de BSTC D = 0,80 m PA3 - areia extraída e brita e pedra de mão produzidas</t>
  </si>
  <si>
    <t>0804033</t>
  </si>
  <si>
    <t>Corpo de BSTC D = 0,80 m PA3 - areia, brita e pedra de mão comerciais</t>
  </si>
  <si>
    <t>0804034</t>
  </si>
  <si>
    <t>Corpo de BSTC D = 0,80 m PA4 - areia extraída e brita e pedra de mão produzidas</t>
  </si>
  <si>
    <t>0804035</t>
  </si>
  <si>
    <t>Corpo de BSTC D = 0,80 m PA4 - areia, brita e pedra de mão comerciais</t>
  </si>
  <si>
    <t>0804036</t>
  </si>
  <si>
    <t>Corpo de BSTC D = 1,00 m PA1 - areia extraída e brita e pedra de mão produzidas</t>
  </si>
  <si>
    <t>0804037</t>
  </si>
  <si>
    <t>Corpo de BSTC D = 1,00 m PA1 - areia, brita e pedra de mão comerciais</t>
  </si>
  <si>
    <t>0804038</t>
  </si>
  <si>
    <t>Corpo de BSTC D = 1,00 m PA2 - areia extraída e brita e pedra de mão produzidas</t>
  </si>
  <si>
    <t>0804039</t>
  </si>
  <si>
    <t>Corpo de BSTC D = 1,00 m PA2 - areia, brita e pedra de mão comerciais</t>
  </si>
  <si>
    <t>0804040</t>
  </si>
  <si>
    <t>Corpo de BSTC D = 1,00 m PA3 - areia extraída e brita e pedra de mão produzidas</t>
  </si>
  <si>
    <t>0804041</t>
  </si>
  <si>
    <t>Corpo de BSTC D = 1,00 m PA3 - areia, brita e pedra de mão comerciais</t>
  </si>
  <si>
    <t>0804042</t>
  </si>
  <si>
    <t>Corpo de BSTC D = 1,00 m PA4 - areia extraída e brita e pedra de mão produzidas</t>
  </si>
  <si>
    <t>0804043</t>
  </si>
  <si>
    <t>Corpo de BSTC D = 1,00 m PA4 - areia, brita e pedra de mão comerciais</t>
  </si>
  <si>
    <t>0804044</t>
  </si>
  <si>
    <t>Corpo de BSTC D = 1,20 m PA1 - areia extraída e brita e pedra de mão produzidas</t>
  </si>
  <si>
    <t>0804045</t>
  </si>
  <si>
    <t>Corpo de BSTC D = 1,20 m PA1 - areia, brita e pedra de mão comerciais</t>
  </si>
  <si>
    <t>0804046</t>
  </si>
  <si>
    <t>Corpo de BSTC D = 1,20 m PA2 - areia extraída e brita e pedra de mão produzidas</t>
  </si>
  <si>
    <t>0804047</t>
  </si>
  <si>
    <t>Corpo de BSTC D = 1,20 m PA2 - areia, brita e pedra de mão comerciais</t>
  </si>
  <si>
    <t>0804048</t>
  </si>
  <si>
    <t>Corpo de BSTC D = 1,20 m PA3 - areia extraída e brita e pedra de mão produzidas</t>
  </si>
  <si>
    <t>0804049</t>
  </si>
  <si>
    <t>Corpo de BSTC D = 1,20 m PA3 - areia, brita e pedra de mão comerciais</t>
  </si>
  <si>
    <t>0804050</t>
  </si>
  <si>
    <t>Corpo de BSTC D = 1,20 m PA4 - areia extraída e brita e pedra de mão produzidas</t>
  </si>
  <si>
    <t>0804051</t>
  </si>
  <si>
    <t>Corpo de BSTC D = 1,20 m PA4 - areia, brita e pedra de mão comerciais</t>
  </si>
  <si>
    <t>0804052</t>
  </si>
  <si>
    <t>Corpo de BSTC D = 1,50 m PA1 - areia extraída e brita e pedra de mão produzidas</t>
  </si>
  <si>
    <t>0804053</t>
  </si>
  <si>
    <t>Corpo de BSTC D = 1,50 m PA1 - areia, brita e pedra de mão comerciais</t>
  </si>
  <si>
    <t>0804054</t>
  </si>
  <si>
    <t>Corpo de BSTC D = 1,50 m PA2 - areia extraída e brita e pedra de mão produzidas</t>
  </si>
  <si>
    <t>0804055</t>
  </si>
  <si>
    <t>Corpo de BSTC D = 1,50 m PA2 - areia, brita e pedra de mão comerciais</t>
  </si>
  <si>
    <t>0804056</t>
  </si>
  <si>
    <t>Corpo de BSTC D = 1,50 m PA3 - areia extraída e brita e pedra de mão produzidas</t>
  </si>
  <si>
    <t>0804057</t>
  </si>
  <si>
    <t>Corpo de BSTC D = 1,50 m PA3 - areia, brita e pedra de mão comerciais</t>
  </si>
  <si>
    <t>0804058</t>
  </si>
  <si>
    <t>Corpo de BSTC D = 1,50 m PA4 - areia extraída e brita e pedra de mão produzidas</t>
  </si>
  <si>
    <t>0804059</t>
  </si>
  <si>
    <t>Corpo de BSTC D = 1,50 m PA4 - areia, brita e pedra de mão comerciais</t>
  </si>
  <si>
    <t>0804292</t>
  </si>
  <si>
    <t>Corpo de BTTC D = 1,00 m PA1 - areia extraída e brita e pedra de mão produzidas</t>
  </si>
  <si>
    <t>0804293</t>
  </si>
  <si>
    <t>Corpo de BTTC D = 1,00 m PA1 - areia, brita e pedra de mão comerciais</t>
  </si>
  <si>
    <t>0804294</t>
  </si>
  <si>
    <t>Corpo de BTTC D = 1,00 m PA2 - areia extraída e brita e pedra de mão produzidas</t>
  </si>
  <si>
    <t>0804295</t>
  </si>
  <si>
    <t>Corpo de BTTC D = 1,00 m PA2 - areia, brita e pedra de mão comerciais</t>
  </si>
  <si>
    <t>0804296</t>
  </si>
  <si>
    <t>Corpo de BTTC D = 1,00 m PA3 - areia extraída e brita e pedra de mão produzidas</t>
  </si>
  <si>
    <t>0804297</t>
  </si>
  <si>
    <t>Corpo de BTTC D = 1,00 m PA3 - areia, brita e pedra de mão comerciais</t>
  </si>
  <si>
    <t>0804298</t>
  </si>
  <si>
    <t>Corpo de BTTC D = 1,00 m PA4 - areia extraída e brita e pedra de mão produzidas</t>
  </si>
  <si>
    <t>0804299</t>
  </si>
  <si>
    <t>Corpo de BTTC D = 1,00 m PA4 - areia, brita e pedra de mão comerciais</t>
  </si>
  <si>
    <t>0804300</t>
  </si>
  <si>
    <t>Corpo de BTTC D = 1,20 m PA1 - areia extraída e brita e pedra de mão produzidas</t>
  </si>
  <si>
    <t>0804301</t>
  </si>
  <si>
    <t>Corpo de BTTC D = 1,20 m PA1 - areia, brita e pedra de mão comerciais</t>
  </si>
  <si>
    <t>0804302</t>
  </si>
  <si>
    <t>Corpo de BTTC D = 1,20 m PA2 - areia extraída e brita e pedra de mão produzidas</t>
  </si>
  <si>
    <t>0804303</t>
  </si>
  <si>
    <t>Corpo de BTTC D = 1,20 m PA2 - areia, brita e pedra de mão comerciais</t>
  </si>
  <si>
    <t>0804304</t>
  </si>
  <si>
    <t>Corpo de BTTC D = 1,20 m PA3 - areia extraída e brita e pedra de mão produzidas</t>
  </si>
  <si>
    <t>0804305</t>
  </si>
  <si>
    <t>Corpo de BTTC D = 1,20 m PA3 - areia, brita e pedra de mão comerciais</t>
  </si>
  <si>
    <t>0804306</t>
  </si>
  <si>
    <t>Corpo de BTTC D = 1,20 m PA4 - areia extraída e brita e pedra de mão produzidas</t>
  </si>
  <si>
    <t>0804307</t>
  </si>
  <si>
    <t>Corpo de BTTC D = 1,20 m PA4 - areia, brita e pedra de mão comerciais</t>
  </si>
  <si>
    <t>0804308</t>
  </si>
  <si>
    <t>Corpo de BTTC D = 1,50 m PA1 - areia extraída e brita e pedra de mão produzidas</t>
  </si>
  <si>
    <t>0804309</t>
  </si>
  <si>
    <t>Corpo de BTTC D = 1,50 m PA1 - areia, brita e pedra de mão comerciais</t>
  </si>
  <si>
    <t>0804310</t>
  </si>
  <si>
    <t>Corpo de BTTC D = 1,50 m PA2 - areia extraída e brita e pedra de mão produzidas</t>
  </si>
  <si>
    <t>0804311</t>
  </si>
  <si>
    <t>Corpo de BTTC D = 1,50 m PA2 - areia, brita e pedra de mão comerciais</t>
  </si>
  <si>
    <t>0804312</t>
  </si>
  <si>
    <t>Corpo de BTTC D = 1,50 m PA3 - areia extraída e brita e pedra de mão produzidas</t>
  </si>
  <si>
    <t>0804313</t>
  </si>
  <si>
    <t>Corpo de BTTC D = 1,50 m PA3 - areia, brita e pedra de mão comerciais</t>
  </si>
  <si>
    <t>0804314</t>
  </si>
  <si>
    <t>Corpo de BTTC D = 1,50 m PA4 - areia extraída e brita e pedra de mão produzidas</t>
  </si>
  <si>
    <t>0804315</t>
  </si>
  <si>
    <t>Corpo de BTTC D = 1,50 m PA4 - areia, brita e pedra de mão comerciais</t>
  </si>
  <si>
    <t>0805446</t>
  </si>
  <si>
    <t>Dentes para bueiros duplos D = 0,80 m - areia extraída e brita e pedra de mão produzidas</t>
  </si>
  <si>
    <t>0805447</t>
  </si>
  <si>
    <t>Dentes para bueiros duplos D = 0,80 m - areia, brita e pedra de mão comerciais</t>
  </si>
  <si>
    <t>0805448</t>
  </si>
  <si>
    <t>Dentes para bueiros duplos D = 1,00 m - areia extraída e brita e pedra de mão produzidas</t>
  </si>
  <si>
    <t>0805449</t>
  </si>
  <si>
    <t>Dentes para bueiros duplos D = 1,00 m - areia, brita e pedra de mão comerciais</t>
  </si>
  <si>
    <t>0805450</t>
  </si>
  <si>
    <t>Dentes para bueiros duplos D = 1,20 m - areia extraída e brita e pedra de mão produzidas</t>
  </si>
  <si>
    <t>0805451</t>
  </si>
  <si>
    <t>Dentes para bueiros duplos D = 1,20 m - areia, brita e pedra de mão comerciais</t>
  </si>
  <si>
    <t>0805452</t>
  </si>
  <si>
    <t>Dentes para bueiros duplos D = 1,50 m - areia extraída e brita e pedra de mão produzidas</t>
  </si>
  <si>
    <t>0805453</t>
  </si>
  <si>
    <t>Dentes para bueiros duplos D = 1,50 m - areia, brita e pedra de mão comerciais</t>
  </si>
  <si>
    <t>0805434</t>
  </si>
  <si>
    <t>Dentes para bueiros simples D = 0,40 m - areia extraída e brita e pedra de mão produzidas</t>
  </si>
  <si>
    <t>0805435</t>
  </si>
  <si>
    <t>Dentes para bueiros simples D = 0,40 m - areia, brita e pedra de mão comerciais</t>
  </si>
  <si>
    <t>0805436</t>
  </si>
  <si>
    <t>Dentes para bueiros simples D = 0,60 m - areia extraída e brita e pedra de mão produzidas</t>
  </si>
  <si>
    <t>0805437</t>
  </si>
  <si>
    <t>Dentes para bueiros simples D = 0,60 m - areia, brita e pedra de mão comerciais</t>
  </si>
  <si>
    <t>0805438</t>
  </si>
  <si>
    <t>Dentes para bueiros simples D = 0,80 m - areia extraída e brita e pedra de mão produzidas</t>
  </si>
  <si>
    <t>0805439</t>
  </si>
  <si>
    <t>Dentes para bueiros simples D = 0,80 m - areia, brita e pedra de mão comerciais</t>
  </si>
  <si>
    <t>0805440</t>
  </si>
  <si>
    <t>Dentes para bueiros simples D = 1,00 m - areia extraída e brita e pedra de mão produzidas</t>
  </si>
  <si>
    <t>0805441</t>
  </si>
  <si>
    <t>Dentes para bueiros simples D = 1,00 m - areia, brita e pedra de mão comerciais</t>
  </si>
  <si>
    <t>0805442</t>
  </si>
  <si>
    <t>Dentes para bueiros simples D = 1,20 m - areia extraída e brita e pedra de mão produzidas</t>
  </si>
  <si>
    <t>0805443</t>
  </si>
  <si>
    <t>Dentes para bueiros simples D = 1,20 m - areia, brita e pedra de mão comerciais</t>
  </si>
  <si>
    <t>0805444</t>
  </si>
  <si>
    <t>Dentes para bueiros simples D = 1,50 m - areia extraída e brita e pedra de mão produzidas</t>
  </si>
  <si>
    <t>0805445</t>
  </si>
  <si>
    <t>Dentes para bueiros simples D = 1,50 m - areia, brita e pedra de mão comerciais</t>
  </si>
  <si>
    <t>0805454</t>
  </si>
  <si>
    <t>Dentes para bueiros triplos D = 1,00 m - areia extraída e brita e pedra de mão produzidas</t>
  </si>
  <si>
    <t>0805455</t>
  </si>
  <si>
    <t>Dentes para bueiros triplos D = 1,00 m - areia, brita e pedra de mão comerciais</t>
  </si>
  <si>
    <t>0805456</t>
  </si>
  <si>
    <t>Dentes para bueiros triplos D = 1,20 m - areia extraída e brita e pedra de mão produzidas</t>
  </si>
  <si>
    <t>0805457</t>
  </si>
  <si>
    <t>Dentes para bueiros triplos D = 1,20 m - areia, brita e pedra de mão comerciais</t>
  </si>
  <si>
    <t>0805458</t>
  </si>
  <si>
    <t>Dentes para bueiros triplos D = 1,50 m - areia extraída e brita e pedra de mão produzidas</t>
  </si>
  <si>
    <t>0805459</t>
  </si>
  <si>
    <t>Dentes para bueiros triplos D = 1,50 m - areia, brita e pedra de mão comerciais</t>
  </si>
  <si>
    <t>0909620</t>
  </si>
  <si>
    <t>Alvenaria de blocos de concreto 19 x 19 x 39 cm com espessura de 20 cm com argamassa traço 1:0,5:3,5 - areia comercial</t>
  </si>
  <si>
    <t>m²</t>
  </si>
  <si>
    <t>0909621</t>
  </si>
  <si>
    <t>Alvenaria de blocos de concreto 19 x 19 x 39 cm com espessura de 20 cm com argamassa traço 1:0,5:3,5 - areia extraída</t>
  </si>
  <si>
    <t>0903802</t>
  </si>
  <si>
    <t>Bacia de contenção para tanque de emulsão de 30.000 l - inclusive demolição</t>
  </si>
  <si>
    <t>0919113</t>
  </si>
  <si>
    <t>Canaleta perfil cartola 50 x 70 x 3 mm - aba 20 mm</t>
  </si>
  <si>
    <t>0903788</t>
  </si>
  <si>
    <t>Chapisco com argamassa de cimento e areia 1:3 - aplicação manual</t>
  </si>
  <si>
    <t>0919247</t>
  </si>
  <si>
    <t>Cobertura em chapas zincadas com espessura de 0,43 mm - utilização 2 vezes</t>
  </si>
  <si>
    <t>0919016</t>
  </si>
  <si>
    <t>Depósito de óleo para oficina - inclusive demolição</t>
  </si>
  <si>
    <t>0919078</t>
  </si>
  <si>
    <t>Dique de contenção para usina de asfalto a quente - inclusive demolição</t>
  </si>
  <si>
    <t>0903789</t>
  </si>
  <si>
    <t>Emboço com argamassa de cimento, cal hidratada e areia 1:2:8 com espessura de 2 cm - aplicação manual</t>
  </si>
  <si>
    <t>0919250</t>
  </si>
  <si>
    <t>Fornecimento e instalação de extintor de espuma 10 l</t>
  </si>
  <si>
    <t>0903807</t>
  </si>
  <si>
    <t>Instalação da central de britagem com capacidade de 80 m³/h</t>
  </si>
  <si>
    <t>0903806</t>
  </si>
  <si>
    <t>Instalação da central de concreto com capacidade de 150 m³/h</t>
  </si>
  <si>
    <t>0903804</t>
  </si>
  <si>
    <t>Instalação da central de concreto com capacidade de 30 m³/h</t>
  </si>
  <si>
    <t>0903805</t>
  </si>
  <si>
    <t>Instalação da central de concreto com capacidade de 40 m³/h</t>
  </si>
  <si>
    <t>0903810</t>
  </si>
  <si>
    <t>Instalação da usina de asfalto a quente capacidade de 120 t/h</t>
  </si>
  <si>
    <t>0903809</t>
  </si>
  <si>
    <t>Instalação da usina de pré-misturado a frio com capacidade de 60 t/h</t>
  </si>
  <si>
    <t>0903808</t>
  </si>
  <si>
    <t>Instalação da usina misturadora de solos com capacidade de 300 t/h</t>
  </si>
  <si>
    <t>0903845</t>
  </si>
  <si>
    <t>Lastro de brita comercial - espalhamento mecânico</t>
  </si>
  <si>
    <t>0919009</t>
  </si>
  <si>
    <t>Montagem e desmontagem da central de britagem com capacidade de 80 m³/h - inclusive construção de aterro, construção e demolição de rampa e bases</t>
  </si>
  <si>
    <t>0919007</t>
  </si>
  <si>
    <t>Montagem e desmontagem da central de concreto com capacidade de 150 m³/h - inclusive construção e demolição de bases, rampas e depósitos de agregados</t>
  </si>
  <si>
    <t>0919011</t>
  </si>
  <si>
    <t>Montagem e desmontagem da central de concreto com capacidade de 30 m³/h - inclusive construção e demolição de bases, rampas e depósitos de agregados</t>
  </si>
  <si>
    <t>0919246</t>
  </si>
  <si>
    <t>Montagem e desmontagem da central de concreto com capacidade de 40 m³/h - inclusive construção e demolição de bases, rampas e depósitos de agregados</t>
  </si>
  <si>
    <t>0919013</t>
  </si>
  <si>
    <t>Montagem e desmontagem da usina de asfalto a quente com capacidade de 120 t/h - inclusive construção e demolição de bases, rampas, depósitos de agregados e dique de contenção</t>
  </si>
  <si>
    <t>0919008</t>
  </si>
  <si>
    <t>Montagem e desmontagem da usina de pré-misturado a frio com capacidade de 60 t/h - inclusive construção e demolição de bases, rampas, depósitos de agregados e bacia de contenção</t>
  </si>
  <si>
    <t>0919012</t>
  </si>
  <si>
    <t>Montagem e desmontagem da usina misturadora de solos com capacidade de 300 t/h - inclusive construção e demolição de bases, rampas e depósitos de agregados</t>
  </si>
  <si>
    <t>0903848</t>
  </si>
  <si>
    <t>Muro em alvenaria de blocos de concreto com espessura de 0,20 m h = 1,0 m</t>
  </si>
  <si>
    <t>0919002</t>
  </si>
  <si>
    <t>Posto de combustível - com reaproveitamento de 2 vezes do tanque/bomba/cobertura - inclusive demolição</t>
  </si>
  <si>
    <t>0919210</t>
  </si>
  <si>
    <t>Rampa de lavagem - inclusive demolição</t>
  </si>
  <si>
    <t>0909612</t>
  </si>
  <si>
    <t>Rampa para acesso do misturador de agregados para centrais de 30 m³ e 40 m³ - inclusive demolição</t>
  </si>
  <si>
    <t>0909613</t>
  </si>
  <si>
    <t>Rampa para acesso do misturador de agregados para central de 150 m³ - inclusive demolição</t>
  </si>
  <si>
    <t>0909614</t>
  </si>
  <si>
    <t>Rampa para acesso do misturador de agregados para central de britagem - inclusive demolição</t>
  </si>
  <si>
    <t>0909616</t>
  </si>
  <si>
    <t>Rampa para acesso do misturador de agregados para PMF - inclusive demolição</t>
  </si>
  <si>
    <t>0909617</t>
  </si>
  <si>
    <t>Rampa para acesso do misturador de agregados para usina de asfalto a quente - inclusive demolição</t>
  </si>
  <si>
    <t>0909615</t>
  </si>
  <si>
    <t>Rampa para acesso do misturador de agregados para usina de solos - inclusive demolição</t>
  </si>
  <si>
    <t>0903860</t>
  </si>
  <si>
    <t>Selador acrílico - camada de fundo com aplicação manual</t>
  </si>
  <si>
    <t>0919101</t>
  </si>
  <si>
    <t>Sistema separador água e óleo, inclusive demolição</t>
  </si>
  <si>
    <t>0903818</t>
  </si>
  <si>
    <t>Tinta látex - duas camadas com aplicação manual</t>
  </si>
  <si>
    <t>1100657</t>
  </si>
  <si>
    <t>Adensamento de concreto por vibrador de imersão</t>
  </si>
  <si>
    <t>1108055</t>
  </si>
  <si>
    <t>Argamassa autoadensável para reparos e grauteamento - confecção em misturador e lançamento manual</t>
  </si>
  <si>
    <t>1109665</t>
  </si>
  <si>
    <t>Argamassa de cimento e areia 1:1 - confecção em betoneira e lançamento manual - areia comercial</t>
  </si>
  <si>
    <t>1109664</t>
  </si>
  <si>
    <t>Argamassa de cimento e areia 1:1 - confecção em betoneira e lançamento manual - areia extraída</t>
  </si>
  <si>
    <t>1109667</t>
  </si>
  <si>
    <t>Argamassa de cimento e areia 1:2 - confecção em betoneira e lançamento manual - areia comercial</t>
  </si>
  <si>
    <t>1109666</t>
  </si>
  <si>
    <t>Argamassa de cimento e areia 1:2 - confecção em betoneira e lançamento manual - areia extraída</t>
  </si>
  <si>
    <t>1109669</t>
  </si>
  <si>
    <t>Argamassa de cimento e areia 1:3 - confecção em betoneira e lançamento manual - areia comercial</t>
  </si>
  <si>
    <t>1109668</t>
  </si>
  <si>
    <t>Argamassa de cimento e areia 1:3 - confecção em betoneira e lançamento manual - areia extraída</t>
  </si>
  <si>
    <t>1108060</t>
  </si>
  <si>
    <t>Argamassa de cimento e areia 1:3 com 8% de microssílica - confecção em betoneira e lançamento manual - areia comercial</t>
  </si>
  <si>
    <t>1109626</t>
  </si>
  <si>
    <t>Argamassa de cimento e areia 1:3 com 8% de microssílica - confecção em betoneira e lançamento manual - areia extraída</t>
  </si>
  <si>
    <t>1109671</t>
  </si>
  <si>
    <t>Argamassa de cimento e areia 1:4 - confecção em betoneira e lançamento manual - areia comercial</t>
  </si>
  <si>
    <t>1109670</t>
  </si>
  <si>
    <t>Argamassa de cimento e areia 1:4 - confecção em betoneira e lançamento manual - areia extraída</t>
  </si>
  <si>
    <t>1109672</t>
  </si>
  <si>
    <t>Argamassa de cimento e areia com aditivo aglutinante 1:8 - confecção em betoneira e lançamento manual - areia comercial</t>
  </si>
  <si>
    <t>1109624</t>
  </si>
  <si>
    <t>Argamassa de cimento e areia com aditivo aglutinante 1:8 - confecção em betoneira e lançamento manual - areia extraída</t>
  </si>
  <si>
    <t>1109622</t>
  </si>
  <si>
    <t>Argamassa de cimento, cal hidratada e areia 1:0,5:3,5 - confecção em betoneira e lançamento manual - areia comercial</t>
  </si>
  <si>
    <t>1109623</t>
  </si>
  <si>
    <t>Argamassa de cimento, cal hidratada e areia 1:0,5:3,5 - confecção em betoneira e lançamento manual - areia extraída</t>
  </si>
  <si>
    <t>1109697</t>
  </si>
  <si>
    <t>Argamassa de cimento, cal hidratada e areia 1:0,5:8 - confecção em betoneira e lançamento manual - areia comercial</t>
  </si>
  <si>
    <t>1109698</t>
  </si>
  <si>
    <t>Argamassa de cimento, cal hidratada e areia 1:0,5:8 - confecção em betoneira e lançamento manual - areia extraída</t>
  </si>
  <si>
    <t>1109679</t>
  </si>
  <si>
    <t>Argamassa de cimento, cal hidratada e areia 1:1:6 - confecção em betoneira e lançamento manual - areia comercial</t>
  </si>
  <si>
    <t>1109625</t>
  </si>
  <si>
    <t>Argamassa de cimento, cal hidratada e areia 1:1:6 - confecção em betoneira e lançamento manual - areia extraída</t>
  </si>
  <si>
    <t>1109678</t>
  </si>
  <si>
    <t>Argamassa de cimento, cal hidratada e areia 1:2:10 - confecção em betoneira e lançamento manual - areia comercial</t>
  </si>
  <si>
    <t>1109694</t>
  </si>
  <si>
    <t>Argamassa de cimento, cal hidratada e areia 1:2:10 - confecção em betoneira e lançamento manual - areia extraída</t>
  </si>
  <si>
    <t>1109673</t>
  </si>
  <si>
    <t>Argamassa de cimento, cal hidratada e areia 1:2:6 - confecção em betoneira e lançamento manual - areia comercial</t>
  </si>
  <si>
    <t>1109690</t>
  </si>
  <si>
    <t>Argamassa de cimento, cal hidratada e areia 1:2:6 - confecção em betoneira e lançamento manual - areia extraída</t>
  </si>
  <si>
    <t>1109674</t>
  </si>
  <si>
    <t>Argamassa de cimento, cal hidratada e areia 1:2:7 - confecção em betoneira e lançamento manual - areia comercial</t>
  </si>
  <si>
    <t>1109691</t>
  </si>
  <si>
    <t>Argamassa de cimento, cal hidratada e areia 1:2:7 - confecção em betoneira e lançamento manual - areia extraída</t>
  </si>
  <si>
    <t>1109675</t>
  </si>
  <si>
    <t>Argamassa de cimento, cal hidratada e areia 1:2:8 - confecção em betoneira e lançamento manual - areia comercial</t>
  </si>
  <si>
    <t>1109692</t>
  </si>
  <si>
    <t>Argamassa de cimento, cal hidratada e areia 1:2:8 - confecção em betoneira e lançamento manual - areia extraída</t>
  </si>
  <si>
    <t>1109676</t>
  </si>
  <si>
    <t>Argamassa de cimento, cal hidratada e areia 1:2:9 - confecção em betoneira e lançamento manual - areia comercial</t>
  </si>
  <si>
    <t>1109693</t>
  </si>
  <si>
    <t>Argamassa de cimento, cal hidratada e areia 1:2:9 - confecção em betoneira e lançamento manual - areia extraída</t>
  </si>
  <si>
    <t>1109680</t>
  </si>
  <si>
    <t>Argamassa para reparos e grauteamento - confecção em misturador e lançamento manual</t>
  </si>
  <si>
    <t>1107748</t>
  </si>
  <si>
    <t>Argamassa polimérica de alto desempenho projetada para reparos superficiais e reforços estruturais - confecção em misturador e lançamento projetado</t>
  </si>
  <si>
    <t>1110000</t>
  </si>
  <si>
    <t>Concreto</t>
  </si>
  <si>
    <t>1106059</t>
  </si>
  <si>
    <t>Concreto autoadensável com silicato de alumínio fck = 20 MPa - confecção em betoneira e lançamento manual - areia e brita comerciais</t>
  </si>
  <si>
    <t>1106060</t>
  </si>
  <si>
    <t>Concreto autoadensável com silicato de alumínio fck = 20 MPa - confecção em betoneira e lançamento manual - areia extraída e brita produzida</t>
  </si>
  <si>
    <t>1100658</t>
  </si>
  <si>
    <t>Concreto autoadensável com silicato de alumínio fck = 20 MPa - confecção em central dosadora de 30 m³/h - areia e brita comerciais</t>
  </si>
  <si>
    <t>1106159</t>
  </si>
  <si>
    <t>Concreto autoadensável com silicato de alumínio fck = 25 MPa - confecção em central dosadora de 30 m³/h - areia e brita comerciais</t>
  </si>
  <si>
    <t>1107902</t>
  </si>
  <si>
    <t>Concreto autoadensável com silicato de alumínio fck = 30 MPa - confecção em central dosadora de 30 m³/h - areia e brita comerciais</t>
  </si>
  <si>
    <t>1107906</t>
  </si>
  <si>
    <t>Concreto autoadensável com silicato de alumínio fck = 35 MPa - confecção em central dosadora de 30 m³/h - areia e brita comerciais</t>
  </si>
  <si>
    <t>1107910</t>
  </si>
  <si>
    <t>Concreto autoadensável com silicato de alumínio fck = 40 MPa - confecção em central dosadora de 30 m³/h - areia e brita comerciais</t>
  </si>
  <si>
    <t>1107911</t>
  </si>
  <si>
    <t>Concreto autoadensável com silicato de alumínio fck = 45 MPa - confecção em central dosadora de 30 m³/h - areia e brita comerciais</t>
  </si>
  <si>
    <t>1107912</t>
  </si>
  <si>
    <t>Concreto autoadensável com silicato de alumínio fck = 50 MPa - confecção em central dosadora de 30 m³/h - areia e brita comerciais</t>
  </si>
  <si>
    <t>1106164</t>
  </si>
  <si>
    <t>Concreto ciclópico fck = 20 MPa - confecção em betoneira e lançamento manual - areia extraída, brita e pedra de mão produzidas</t>
  </si>
  <si>
    <t>1106165</t>
  </si>
  <si>
    <t>Concreto ciclópico fck = 20 MPa - confecção em betoneira e lançamento manual - areia, brita e pedra de mão comerciais</t>
  </si>
  <si>
    <t>1106156</t>
  </si>
  <si>
    <t>Concreto com 10% de microssílica fck = 45 MPa - confecção em central dosadora de 30 m³/h - areia e brita comerciais</t>
  </si>
  <si>
    <t>1107932</t>
  </si>
  <si>
    <t>Concreto com 10% de microssílica fck = 50 MPa - confecção em central dosadora de 30 m³/h - areia e brita comerciais</t>
  </si>
  <si>
    <t>1108111</t>
  </si>
  <si>
    <t>Concreto com 8% de microssílica fck = 25 MPa - confecção em central dosadora de 30 m³/h - areia e brita comerciais</t>
  </si>
  <si>
    <t>1108112</t>
  </si>
  <si>
    <t>Concreto com 8% de microssílica fck = 30 MPa - confecção em central dosadora de 30 m³/h - areia e brita comerciais</t>
  </si>
  <si>
    <t>1108113</t>
  </si>
  <si>
    <t>Concreto com 8% de microssílica fck = 35 MPa - confecção em central dosadora de 30 m³/h - areia e brita comerciais</t>
  </si>
  <si>
    <t>1108114</t>
  </si>
  <si>
    <t>Concreto com 8% de microssílica fck = 40 MPa - confecção em central dosadora de 30 m³/h - areia e brita comerciais</t>
  </si>
  <si>
    <t>1108061</t>
  </si>
  <si>
    <t>Concreto com látex SBR fck = 25 MPa - confecção em betoneira e lançamento manual - areia e brita comerciais</t>
  </si>
  <si>
    <t>1108064</t>
  </si>
  <si>
    <t>Concreto com látex SBR fck = 30 MPa - confecção em betoneira e lançamento manual - areia e brita comerciais</t>
  </si>
  <si>
    <t>1107888</t>
  </si>
  <si>
    <t>Concreto fck = 15 MPa - confecção em betoneira e lançamento manual - areia e brita comerciais</t>
  </si>
  <si>
    <t>1107889</t>
  </si>
  <si>
    <t>Concreto fck = 15 MPa - confecção em betoneira e lançamento manual - areia extraída e brita produzida</t>
  </si>
  <si>
    <t>1107892</t>
  </si>
  <si>
    <t>Concreto fck = 20 MPa - confecção em betoneira e lançamento manual - areia e brita comerciais</t>
  </si>
  <si>
    <t>1107891</t>
  </si>
  <si>
    <t>Concreto fck = 20 MPa - confecção em betoneira e lançamento manual - areia extraída e brita produzida</t>
  </si>
  <si>
    <t>1107928</t>
  </si>
  <si>
    <t>Concreto fck = 20 MPa - confecção em central dosadora de 30 m³/h - areia e brita comerciais</t>
  </si>
  <si>
    <t>1107929</t>
  </si>
  <si>
    <t>Concreto fck = 20 MPa - confecção em central dosadora de 30 m³/h - areia extraída e brita produzida</t>
  </si>
  <si>
    <t>1106109</t>
  </si>
  <si>
    <t>Concreto fck = 20 MPa - confecção em central dosadora de 40 m³/h - areia e brita comerciais</t>
  </si>
  <si>
    <t>1106117</t>
  </si>
  <si>
    <t>Concreto fck = 20 MPa - confecção em central dosadora de 40 m³/h - areia extraída e brita produzida</t>
  </si>
  <si>
    <t>1107896</t>
  </si>
  <si>
    <t>Concreto fck = 25 MPa - confecção em betoneira e lançamento manual - areia e brita comerciais</t>
  </si>
  <si>
    <t>1107895</t>
  </si>
  <si>
    <t>Concreto fck = 25 MPa - confecção em betoneira e lançamento manual - areia extraída e brita produzida</t>
  </si>
  <si>
    <t>1119528</t>
  </si>
  <si>
    <t>Concreto fck = 25 MPa - confecção em central dosadora de 30 m³/h - areia e brita comerciais</t>
  </si>
  <si>
    <t>1106135</t>
  </si>
  <si>
    <t>Concreto fck = 25 MPa - confecção em central dosadora de 30 m³/h - areia extraída e brita produzida</t>
  </si>
  <si>
    <t>1106136</t>
  </si>
  <si>
    <t>Concreto fck = 25 MPa - confecção em central dosadora de 40 m³/h - areia e brita comerciais</t>
  </si>
  <si>
    <t>1106137</t>
  </si>
  <si>
    <t>Concreto fck = 25 MPa - confecção em central dosadora de 40 m³/h - areia extraída e brita produzida</t>
  </si>
  <si>
    <t>1116127</t>
  </si>
  <si>
    <t>Concreto fck = 25 MPa para pré-moldados (mourões) - confecção em betoneira e lançamento manual - areia e brita comerciais</t>
  </si>
  <si>
    <t>1116126</t>
  </si>
  <si>
    <t>Concreto fck = 25 MPa para pré-moldados (mourões) - confecção em betoneira e lançamento manual - areia extraída e brita produzida</t>
  </si>
  <si>
    <t>1107900</t>
  </si>
  <si>
    <t>Concreto fck = 30 MPa - confecção em betoneira e lançamento manual - areia e brita comerciais</t>
  </si>
  <si>
    <t>1107899</t>
  </si>
  <si>
    <t>Concreto fck = 30 MPa - confecção em betoneira e lançamento manual - areia extraída e brita produzida</t>
  </si>
  <si>
    <t>1107890</t>
  </si>
  <si>
    <t>Concreto fck = 30 MPa - confecção em central dosadora de 30 m³/h - areia e brita comerciais</t>
  </si>
  <si>
    <t>1106138</t>
  </si>
  <si>
    <t>Concreto fck = 30 MPa - confecção em central dosadora de 30 m³/h - areia extraída e brita produzida</t>
  </si>
  <si>
    <t>1106139</t>
  </si>
  <si>
    <t>Concreto fck = 30 MPa - confecção em central dosadora de 40 m³/h - areia e brita comerciais</t>
  </si>
  <si>
    <t>1106140</t>
  </si>
  <si>
    <t>Concreto fck = 30 MPa - confecção em central dosadora de 40 m³/h - areia extraída e brita produzida</t>
  </si>
  <si>
    <t>1107904</t>
  </si>
  <si>
    <t>Concreto fck = 35 MPa - confecção em betoneira e lançamento manual - areia e brita comerciais</t>
  </si>
  <si>
    <t>1107903</t>
  </si>
  <si>
    <t>Concreto fck = 35 MPa - confecção em betoneira e lançamento manual - areia extraída e brita produzida</t>
  </si>
  <si>
    <t>1107908</t>
  </si>
  <si>
    <t>Concreto fck = 40 MPa - confecção em betoneira e lançamento manual - areia e brita comerciais</t>
  </si>
  <si>
    <t>1107907</t>
  </si>
  <si>
    <t>Concreto fck = 40 MPa - confecção em betoneira e lançamento manual - areia extraída e brita produzida</t>
  </si>
  <si>
    <t>1107871</t>
  </si>
  <si>
    <t>Concreto fctm,k = 4,5 MPa - confecção em central dosadora de 30 m³/h - areia e brita comerciais</t>
  </si>
  <si>
    <t>1107870</t>
  </si>
  <si>
    <t>Concreto fctm,k = 4,5 MPa - confecção em central dosadora de 30 m³/h - areia extraída e brita produzida</t>
  </si>
  <si>
    <t>1106057</t>
  </si>
  <si>
    <t>Concreto magro - confecção em betoneira e lançamento manual - areia e brita comerciais</t>
  </si>
  <si>
    <t>1106058</t>
  </si>
  <si>
    <t>Concreto magro - confecção em betoneira e lançamento manual - areia extraída e brita produzida</t>
  </si>
  <si>
    <t>1106380</t>
  </si>
  <si>
    <t>Concreto para bombeamento fck = 25 MPa - confecção em central dosadora de 30 m³/h - areia e brita comerciais</t>
  </si>
  <si>
    <t>1106378</t>
  </si>
  <si>
    <t>Concreto para bombeamento fck = 25 MPa - confecção em central dosadora de 30 m³/h - areia extraída e brita produzida</t>
  </si>
  <si>
    <t>1116263</t>
  </si>
  <si>
    <t>Concreto para bombeamento fck = 25 MPa - confecção em central dosadora de 40 m³/h - areia e brita comerciais</t>
  </si>
  <si>
    <t>1116267</t>
  </si>
  <si>
    <t>Concreto para bombeamento fck = 25 MPa - confecção em central dosadora de 40 m³/h - areia extraída e brita produzida</t>
  </si>
  <si>
    <t>1106280</t>
  </si>
  <si>
    <t>Concreto para bombeamento fck = 30 MPa - confecção em central dosadora de 30 m³/h - areia e brita comerciais</t>
  </si>
  <si>
    <t>1106289</t>
  </si>
  <si>
    <t>Concreto para bombeamento fck = 30 MPa - confecção em central dosadora de 30 m³/h - areia extraída e brita produzida</t>
  </si>
  <si>
    <t>1116264</t>
  </si>
  <si>
    <t>Concreto para bombeamento fck = 30 MPa - confecção em central dosadora de 40 m³/h - areia e brita comerciais</t>
  </si>
  <si>
    <t>1116268</t>
  </si>
  <si>
    <t>Concreto para bombeamento fck = 30 MPa - confecção em central dosadora de 40 m³/h - areia extraída e brita produzida</t>
  </si>
  <si>
    <t>1106281</t>
  </si>
  <si>
    <t>Concreto para bombeamento fck = 35 MPa - confecção em central dosadora de 30 m³/h - areia e brita comerciais</t>
  </si>
  <si>
    <t>1106382</t>
  </si>
  <si>
    <t>Concreto para bombeamento fck = 35 MPa - confecção em central dosadora de 30 m³/h - areia extraída e brita produzida</t>
  </si>
  <si>
    <t>1116265</t>
  </si>
  <si>
    <t>Concreto para bombeamento fck = 35 MPa - confecção em central dosadora de 40 m³/h - areia e brita comerciais</t>
  </si>
  <si>
    <t>1116269</t>
  </si>
  <si>
    <t>Concreto para bombeamento fck = 35 MPa - confecção em central dosadora de 40 m³/h - areia extraída e brita produzida</t>
  </si>
  <si>
    <t>1106282</t>
  </si>
  <si>
    <t>Concreto para bombeamento fck = 40 MPa - confecção em central dosadora de 30 m³/h - areia e brita comerciais</t>
  </si>
  <si>
    <t>1106384</t>
  </si>
  <si>
    <t>Concreto para bombeamento fck = 40 MPa - confecção em central dosadora de 30 m³/h - areia extraída e brita produzida</t>
  </si>
  <si>
    <t>1116266</t>
  </si>
  <si>
    <t>Concreto para bombeamento fck = 40 MPa - confecção em central dosadora de 40 m³/h - areia e brita comerciais</t>
  </si>
  <si>
    <t>1116270</t>
  </si>
  <si>
    <t>Concreto para bombeamento fck = 40 MPa - confecção em central dosadora de 40 m³/h - areia extraída e brita produzida</t>
  </si>
  <si>
    <t>1107868</t>
  </si>
  <si>
    <t>Concreto para sub-base adensado por vibração fck = 7,5 MPa - confecção em central dosadora de 30 m³/h - areia e brita comerciais</t>
  </si>
  <si>
    <t>1107869</t>
  </si>
  <si>
    <t>Concreto para sub-base adensado por vibração fck = 7,5 MPa - confecção em central dosadora de 30 m³/h - areia extraída e brita produzida</t>
  </si>
  <si>
    <t>1103853</t>
  </si>
  <si>
    <t>Concreto poroso para tubos de drenagem fck = 25 MPa - confecção em betoneira e lançamento manual - areia e brita comerciais</t>
  </si>
  <si>
    <t>1103852</t>
  </si>
  <si>
    <t>Concreto poroso para tubos de drenagem fck = 25 MPa - confecção em betoneira e lançamento manual - areia extraída e brita produzida</t>
  </si>
  <si>
    <t>1106284</t>
  </si>
  <si>
    <t>Concreto submerso fck = 20 MPa - confecção em central dosadora de 30 m³/h - areia e brita comerciais</t>
  </si>
  <si>
    <t>1108116</t>
  </si>
  <si>
    <t>Concreto submerso fck = 25 MPa - confecção em central dosadora de 30 m³/h - areia e brita comerciais</t>
  </si>
  <si>
    <t>1108118</t>
  </si>
  <si>
    <t>Concreto submerso fck = 30 MPa - confecção em central dosadora de 30 m³/h - areia e brita comerciais</t>
  </si>
  <si>
    <t>1106158</t>
  </si>
  <si>
    <t>Concreto submerso fck = 35 MPa - confecção em central dosadora de 30 m³/h - areia e brita comerciais</t>
  </si>
  <si>
    <t>1108120</t>
  </si>
  <si>
    <t>Concreto submerso fck = 40 MPa - confecção em central dosadora de 30 m³/h - areia e brita comerciais</t>
  </si>
  <si>
    <t>1106050</t>
  </si>
  <si>
    <t>Lançamento livre de concreto usinado por meio de caminhão betoneira - confecção em central dosadora de 30 m³/h</t>
  </si>
  <si>
    <t>1106051</t>
  </si>
  <si>
    <t>Lançamento livre de concreto usinado por meio de caminhão betoneira - confecção em central dosadora de 40 m³/h</t>
  </si>
  <si>
    <t>1106061</t>
  </si>
  <si>
    <t>Lançamento manual de concreto usinado - confecção em central dosadora de 30 m³/h</t>
  </si>
  <si>
    <t>1106087</t>
  </si>
  <si>
    <t>Lançamento manual de concreto usinado - confecção em central dosadora de 40 m³/h</t>
  </si>
  <si>
    <t>1107860</t>
  </si>
  <si>
    <t>Lançamento mecânico de concreto com bomba lança sobre chassi com capacidade de 50 m³/h - confecção em central dosadora de 40 m³/h</t>
  </si>
  <si>
    <t>1106088</t>
  </si>
  <si>
    <t>Lançamento mecânico de concreto com bomba rebocável com capacidade de 30 m³/h - confecção em central dosadora de 30 m³/h</t>
  </si>
  <si>
    <t>1106128</t>
  </si>
  <si>
    <t>Lançamento mecânico de concreto com bomba rebocável com capacidade de 41 m³/h - confecção em central dosadora de 40 m³/h</t>
  </si>
  <si>
    <t>1108056</t>
  </si>
  <si>
    <t>Microconcreto autoadensável para reparos e grauteamento - confecção em misturador e lançamento manual</t>
  </si>
  <si>
    <t>1108059</t>
  </si>
  <si>
    <t>Microconcreto para reparos e grauteamento - confecção em misturador e lançamento manual</t>
  </si>
  <si>
    <t>1207700</t>
  </si>
  <si>
    <t>Concreto fck = 20 MPa para projeção via seca - confecção em betoneira - areia e brita comerciais</t>
  </si>
  <si>
    <t>1207701</t>
  </si>
  <si>
    <t>Concreto fck = 25 MPa para projeção via seca - confecção em betoneira - areia e brita comerciais</t>
  </si>
  <si>
    <t>1207702</t>
  </si>
  <si>
    <t>Concreto fck = 30 MPa para projeção via seca - confecção em betoneira - areia e brita comerciais</t>
  </si>
  <si>
    <t>1207708</t>
  </si>
  <si>
    <t>Concreto fck = 30 MPa para projeção via úmida - confecção em central dosadora de 30 m³/h - areia e brita comerciais</t>
  </si>
  <si>
    <t>1207703</t>
  </si>
  <si>
    <t>Concreto fck = 40 MPa para projeção via seca - confecção em betoneira - areia e brita comerciais</t>
  </si>
  <si>
    <t>1207709</t>
  </si>
  <si>
    <t>Concreto fck = 40 MPa para projeção via úmida - confecção em central dosadora de 30 m³/h - areia e brita comerciais</t>
  </si>
  <si>
    <t>1207710</t>
  </si>
  <si>
    <t>Concreto projetado via seca fck = 20 MPa aplicado em pisos</t>
  </si>
  <si>
    <t>1207711</t>
  </si>
  <si>
    <t>Concreto projetado via seca fck = 20 MPa aplicado em superfícies inclinadas e verticais</t>
  </si>
  <si>
    <t>1207713</t>
  </si>
  <si>
    <t>Concreto projetado via seca fck = 20 MPa aplicado em teto</t>
  </si>
  <si>
    <t>1207714</t>
  </si>
  <si>
    <t>Concreto projetado via seca fck = 25 MPa aplicado em pisos</t>
  </si>
  <si>
    <t>1207715</t>
  </si>
  <si>
    <t>Concreto projetado via seca fck = 25 MPa aplicado em superfícies inclinadas e verticais</t>
  </si>
  <si>
    <t>1207717</t>
  </si>
  <si>
    <t>Concreto projetado via seca fck = 25 MPa aplicado em teto</t>
  </si>
  <si>
    <t>1207718</t>
  </si>
  <si>
    <t>Concreto projetado via seca fck = 30 MPa aplicado em pisos</t>
  </si>
  <si>
    <t>1207719</t>
  </si>
  <si>
    <t>Concreto projetado via seca fck = 30 MPa aplicado em superfícies inclinadas e verticais</t>
  </si>
  <si>
    <t>1207721</t>
  </si>
  <si>
    <t>Concreto projetado via seca fck = 30 MPa aplicado em teto</t>
  </si>
  <si>
    <t>1207722</t>
  </si>
  <si>
    <t>Concreto projetado via seca fck = 40 MPa aplicado em pisos</t>
  </si>
  <si>
    <t>1207723</t>
  </si>
  <si>
    <t>Concreto projetado via seca fck = 40 MPa aplicado em superfícies inclinadas e verticais</t>
  </si>
  <si>
    <t>1207725</t>
  </si>
  <si>
    <t>Concreto projetado via seca fck = 40 MPa via seca aplicado em teto</t>
  </si>
  <si>
    <t>1207728</t>
  </si>
  <si>
    <t>Concreto projetado via úmida fck = 30 MPa aplicado em túneis classe I com seção de 20 a 40 m²</t>
  </si>
  <si>
    <t>1207727</t>
  </si>
  <si>
    <t>Concreto projetado via úmida fck = 30 MPa aplicado em túneis classe I com seção de 40 a 60 m²</t>
  </si>
  <si>
    <t>1207726</t>
  </si>
  <si>
    <t>Concreto projetado via úmida fck = 30 MPa aplicado em túneis classe I com seção de 60 a 90 m²</t>
  </si>
  <si>
    <t>1208329</t>
  </si>
  <si>
    <t>Concreto projetado via úmida fck = 30 MPa aplicado em túneis classe I com seção superior a 90 m²</t>
  </si>
  <si>
    <t>1207685</t>
  </si>
  <si>
    <t>Concreto projetado via úmida fck = 30 MPa aplicado em túneis classe II com seção de 20 a 40 m²</t>
  </si>
  <si>
    <t>1207684</t>
  </si>
  <si>
    <t>Concreto projetado via úmida fck = 30 MPa aplicado em túneis classe II com seção de 40 a 60 m²</t>
  </si>
  <si>
    <t>1207683</t>
  </si>
  <si>
    <t>Concreto projetado via úmida fck = 30 MPa aplicado em túneis classe II com seção de 60 a 90 m²</t>
  </si>
  <si>
    <t>1208337</t>
  </si>
  <si>
    <t>Concreto projetado via úmida fck = 30 MPa aplicado em túneis classe II com seção superior a 90 m²</t>
  </si>
  <si>
    <t>1207691</t>
  </si>
  <si>
    <t>Concreto projetado via úmida fck = 30 MPa aplicado em túneis classe III com seção de 20 a 40 m²</t>
  </si>
  <si>
    <t>1207690</t>
  </si>
  <si>
    <t>Concreto projetado via úmida fck = 30 MPa aplicado em túneis classe III com seção de 40 a 60 m²</t>
  </si>
  <si>
    <t>1207689</t>
  </si>
  <si>
    <t>Concreto projetado via úmida fck = 30 MPa aplicado em túneis classe III com seção de 60 a 90 m²</t>
  </si>
  <si>
    <t>1208345</t>
  </si>
  <si>
    <t>Concreto projetado via úmida fck = 30 MPa aplicado em túneis classe III com seção superior a 90 m²</t>
  </si>
  <si>
    <t>1207697</t>
  </si>
  <si>
    <t>Concreto projetado via úmida fck = 30 MPa aplicado em túneis classe IV com seção de 20 a 40 m²</t>
  </si>
  <si>
    <t>1207696</t>
  </si>
  <si>
    <t>Concreto projetado via úmida fck = 30 MPa aplicado em túneis classe IV com seção de 40 a 60 m²</t>
  </si>
  <si>
    <t>1207695</t>
  </si>
  <si>
    <t>Concreto projetado via úmida fck = 30 MPa aplicado em túneis classe IV com seção de 60 a 90 m²</t>
  </si>
  <si>
    <t>1208353</t>
  </si>
  <si>
    <t>Concreto projetado via úmida fck = 30 MPa aplicado em túneis classe IV com seção superior a 90 m²</t>
  </si>
  <si>
    <t>1207663</t>
  </si>
  <si>
    <t>Concreto projetado via úmida fck = 30 MPa aplicado em túneis classe V com seção de 20 a 40 m²</t>
  </si>
  <si>
    <t>1207662</t>
  </si>
  <si>
    <t>Concreto projetado via úmida fck = 30 MPa aplicado em túneis classe V com seção de 40 a 60 m²</t>
  </si>
  <si>
    <t>1207661</t>
  </si>
  <si>
    <t>Concreto projetado via úmida fck = 30 MPa aplicado em túneis classe V com seção de 60 a 90 m²</t>
  </si>
  <si>
    <t>1208361</t>
  </si>
  <si>
    <t>Concreto projetado via úmida fck = 30 MPa aplicado em túneis classe V com seção superior a 90 m²</t>
  </si>
  <si>
    <t>1207669</t>
  </si>
  <si>
    <t>Concreto projetado via úmida fck = 30 MPa aplicado em túneis classe VI com seção de 20 a 40 m²</t>
  </si>
  <si>
    <t>1207668</t>
  </si>
  <si>
    <t>Concreto projetado via úmida fck = 30 MPa aplicado em túneis classe VI com seção de 40 a 60 m²</t>
  </si>
  <si>
    <t>1207667</t>
  </si>
  <si>
    <t>Concreto projetado via úmida fck = 30 MPa aplicado em túneis classe VI com seção de 60 a 90 m²</t>
  </si>
  <si>
    <t>1208369</t>
  </si>
  <si>
    <t>Concreto projetado via úmida fck = 30 MPa aplicado em túneis classe VI com seção superior a 90 m²</t>
  </si>
  <si>
    <t>1207682</t>
  </si>
  <si>
    <t>Concreto projetado via úmida fck = 40 MPa aplicado em túneis classe I com seção de 20 a 40 m²</t>
  </si>
  <si>
    <t>1207681</t>
  </si>
  <si>
    <t>Concreto projetado via úmida fck = 40 MPa aplicado em túneis classe I com seção de 40 a 60 m²</t>
  </si>
  <si>
    <t>1207729</t>
  </si>
  <si>
    <t>Concreto projetado via úmida fck = 40 MPa aplicado em túneis classe I com seção de 60 a 90 m²</t>
  </si>
  <si>
    <t>1208333</t>
  </si>
  <si>
    <t>Concreto projetado via úmida fck = 40 MPa aplicado em túneis classe I com seção superior a 90 m²</t>
  </si>
  <si>
    <t>1207688</t>
  </si>
  <si>
    <t>Concreto projetado via úmida fck = 40 MPa aplicado em túneis classe II com seção de 20 a 40 m²</t>
  </si>
  <si>
    <t>1207687</t>
  </si>
  <si>
    <t>Concreto projetado via úmida fck = 40 MPa aplicado em túneis classe II com seção de 40 a 60 m²</t>
  </si>
  <si>
    <t>1207686</t>
  </si>
  <si>
    <t>Concreto projetado via úmida fck = 40 MPa aplicado em túneis classe II com seção de 60 a 90 m²</t>
  </si>
  <si>
    <t>1208341</t>
  </si>
  <si>
    <t>Concreto projetado via úmida fck = 40 MPa aplicado em túneis classe II com seção superior a 90 m²</t>
  </si>
  <si>
    <t>1207694</t>
  </si>
  <si>
    <t>Concreto projetado via úmida fck = 40 MPa aplicado em túneis classe III com seção de 20 a 40 m²</t>
  </si>
  <si>
    <t>1207693</t>
  </si>
  <si>
    <t>Concreto projetado via úmida fck = 40 MPa aplicado em túneis classe III com seção de 40 a 60 m²</t>
  </si>
  <si>
    <t>1207692</t>
  </si>
  <si>
    <t>Concreto projetado via úmida fck = 40 MPa aplicado em túneis classe III com seção de 60 a 90 m²</t>
  </si>
  <si>
    <t>1208349</t>
  </si>
  <si>
    <t>Concreto projetado via úmida fck = 40 MPa aplicado em túneis classe III com seção superior a 90 m²</t>
  </si>
  <si>
    <t>1207660</t>
  </si>
  <si>
    <t>Concreto projetado via úmida fck = 40 MPa aplicado em túneis classe IV com seção de 20 a 40 m²</t>
  </si>
  <si>
    <t>1207699</t>
  </si>
  <si>
    <t>Concreto projetado via úmida fck = 40 MPa aplicado em túneis classe IV com seção de 40 a 60 m²</t>
  </si>
  <si>
    <t>1207698</t>
  </si>
  <si>
    <t>Concreto projetado via úmida fck = 40 MPa aplicado em túneis classe IV com seção de 60 a 90 m²</t>
  </si>
  <si>
    <t>1208357</t>
  </si>
  <si>
    <t>Concreto projetado via úmida fck = 40 MPa aplicado em túneis classe IV com seção superior a 90 m²</t>
  </si>
  <si>
    <t>1207666</t>
  </si>
  <si>
    <t>Concreto projetado via úmida fck = 40 MPa aplicado em túneis classe V com seção de 20 a 40 m²</t>
  </si>
  <si>
    <t>1207665</t>
  </si>
  <si>
    <t>Concreto projetado via úmida fck = 40 MPa aplicado em túneis classe V com seção de 40 a 60 m²</t>
  </si>
  <si>
    <t>1207664</t>
  </si>
  <si>
    <t>Concreto projetado via úmida fck = 40 MPa aplicado em túneis classe V com seção de 60 a 90 m²</t>
  </si>
  <si>
    <t>1208365</t>
  </si>
  <si>
    <t>Concreto projetado via úmida fck = 40 MPa aplicado em túneis classe V com seção superior a 90 m²</t>
  </si>
  <si>
    <t>1207672</t>
  </si>
  <si>
    <t>Concreto projetado via úmida fck = 40 MPa aplicado em túneis classe VI com seção de 20 a 40 m²</t>
  </si>
  <si>
    <t>1207671</t>
  </si>
  <si>
    <t>Concreto projetado via úmida fck = 40 MPa aplicado em túneis classe VI com seção de 40 a 60 m²</t>
  </si>
  <si>
    <t>1207670</t>
  </si>
  <si>
    <t>Concreto projetado via úmida fck = 40 MPa aplicado em túneis classe VI com seção de 60 a 90 m²</t>
  </si>
  <si>
    <t>1208373</t>
  </si>
  <si>
    <t>Concreto projetado via úmida fck = 40 MPa aplicado em túneis classe VI com seção superior a 90 m²</t>
  </si>
  <si>
    <t>1400976</t>
  </si>
  <si>
    <t>Corte a plasma CNC em chapa com espessura de 6,3 a 10 mm</t>
  </si>
  <si>
    <t>1400970</t>
  </si>
  <si>
    <t>Corte a plasma manual em chapa de aço-carbono com espessura de 4 a 8 mm</t>
  </si>
  <si>
    <t>1400971</t>
  </si>
  <si>
    <t>Corte a plasma manual em chapa de aço-carbono com espessura de 9 a 25 mm</t>
  </si>
  <si>
    <t>1400972</t>
  </si>
  <si>
    <t>Corte a plasma manual em chapa de alumínio com espessura de 1,5 mm</t>
  </si>
  <si>
    <t>1416201</t>
  </si>
  <si>
    <t>Corte de barras de aço CA-50 com maçarico oxiacetileno</t>
  </si>
  <si>
    <t>cm²</t>
  </si>
  <si>
    <t>1400969</t>
  </si>
  <si>
    <t>Corte de cantoneira de alumínio</t>
  </si>
  <si>
    <t>1400975</t>
  </si>
  <si>
    <t>Corte de chapa de aço com guilhotina hidráulica</t>
  </si>
  <si>
    <t>1416141</t>
  </si>
  <si>
    <t>Corte de chapas de aço com espessura de 12,5 mm com maçarico oxiacetileno</t>
  </si>
  <si>
    <t>1416142</t>
  </si>
  <si>
    <t>Corte de chapas de aço com espessura de 16 mm com maçarico oxiacetileno</t>
  </si>
  <si>
    <t>1400973</t>
  </si>
  <si>
    <t>Corte de chapas de aço com espessura de 3 mm com maçarico oxiacetileno</t>
  </si>
  <si>
    <t>1400974</t>
  </si>
  <si>
    <t>Corte de chapas de aço com espessura de 5 mm com maçarico oxiacetileno</t>
  </si>
  <si>
    <t>1416139</t>
  </si>
  <si>
    <t>Corte de chapas de aço com espessura de 6,3 mm com maçarico oxiacetileno</t>
  </si>
  <si>
    <t>1416202</t>
  </si>
  <si>
    <t>Corte de chapas de aço com espessura de 8 mm com maçarico oxiacetileno</t>
  </si>
  <si>
    <t>1416140</t>
  </si>
  <si>
    <t>Corte de chapas de aço com espessura de 9,5 mm com maçarico oxiacetileno</t>
  </si>
  <si>
    <t>1419543</t>
  </si>
  <si>
    <t>Corte de perfil metálico com máquina policorte com espessura de até 1/8"</t>
  </si>
  <si>
    <t>1408173</t>
  </si>
  <si>
    <t>Corte de perfis metálicos com maçarico oxiacetileno</t>
  </si>
  <si>
    <t>1407063</t>
  </si>
  <si>
    <t>Corte de trilho TR45 com utilização de equipamento leve</t>
  </si>
  <si>
    <t>1407064</t>
  </si>
  <si>
    <t>Corte de trilho TR57 com utilização de equipamento leve</t>
  </si>
  <si>
    <t>1407065</t>
  </si>
  <si>
    <t>Corte de trilho TR68 com utilização de equipamento leve</t>
  </si>
  <si>
    <t>1407066</t>
  </si>
  <si>
    <t>Corte de trilho UIC60 com utilização de equipamento leve</t>
  </si>
  <si>
    <t>1400977</t>
  </si>
  <si>
    <t>Dobramento de chapas metálicas com espessuras de até 10 mm</t>
  </si>
  <si>
    <t>1407067</t>
  </si>
  <si>
    <t>Furação de trilho TR45 com utilização de equipamento leve</t>
  </si>
  <si>
    <t>1407068</t>
  </si>
  <si>
    <t>Furação de trilho TR57 com utilização de equipamento leve</t>
  </si>
  <si>
    <t>1407069</t>
  </si>
  <si>
    <t>Furação de trilho TR68 com utilização de equipamento leve</t>
  </si>
  <si>
    <t>1407070</t>
  </si>
  <si>
    <t>Furação de trilho UIC60 com utilização de equipamento leve</t>
  </si>
  <si>
    <t>1400987</t>
  </si>
  <si>
    <t>Perfuração de chapas metálicas com espessura de até 3 mm - D = 25 mm</t>
  </si>
  <si>
    <t>1416257</t>
  </si>
  <si>
    <t>Solda com maçarico oxiacetileno de chapas de aço de 12,5 mm</t>
  </si>
  <si>
    <t>1416253</t>
  </si>
  <si>
    <t>Solda com maçarico oxiacetileno de chapas de aço de 16 mm</t>
  </si>
  <si>
    <t>1416254</t>
  </si>
  <si>
    <t>Solda com maçarico oxiacetileno de chapas de aço de 6,3 mm</t>
  </si>
  <si>
    <t>1416255</t>
  </si>
  <si>
    <t>Solda com maçarico oxiacetileno de chapas de aço de 8 mm</t>
  </si>
  <si>
    <t>1416256</t>
  </si>
  <si>
    <t>Solda com maçarico oxiacetileno de chapas de aço de 9,5 mm</t>
  </si>
  <si>
    <t>1408028</t>
  </si>
  <si>
    <t>Solda elétrica manual de perfis metálicos e chapas de aço com eletrodo E70XX para beneficiamento de aço naval</t>
  </si>
  <si>
    <t>1408027</t>
  </si>
  <si>
    <t>Solda tipo MIG/MAG automatizada</t>
  </si>
  <si>
    <t>1400978</t>
  </si>
  <si>
    <t>Solda tipo MIG/MAG manual</t>
  </si>
  <si>
    <t>1513941</t>
  </si>
  <si>
    <t>Contenção em areia-cimento ensacada com mistura de areia com 8% de cimento - confecção e assentamento</t>
  </si>
  <si>
    <t>1513940</t>
  </si>
  <si>
    <t>Contenção em solo-cimento ensacado com mistura de solo de jazida com 8% de cimento - confecção e assentamento</t>
  </si>
  <si>
    <t>1505879</t>
  </si>
  <si>
    <t>Enrocamento de pedra arrumada manualmente - pedra de mão comercial - fornecimento e assentamento</t>
  </si>
  <si>
    <t>1505878</t>
  </si>
  <si>
    <t>Enrocamento de pedra arrumada manualmente - pedra de mão produzida - confecção e assentamento</t>
  </si>
  <si>
    <t>1505877</t>
  </si>
  <si>
    <t>Enrocamento de pedra espalhada e compactada mecanicamente - pedra de mão comercial - fornecimento e assentamento</t>
  </si>
  <si>
    <t>1505860</t>
  </si>
  <si>
    <t>Enrocamento de pedra jogada - pedra de mão comercial - fornecimento e assentamento</t>
  </si>
  <si>
    <t>1505859</t>
  </si>
  <si>
    <t>Enrocamento de pedra jogada - pedra de mão produzida - confecção e assentamento</t>
  </si>
  <si>
    <t>1516204</t>
  </si>
  <si>
    <t>Fabricação de blocos segmentais de face pré-moldados - C = 40 cm, L = 40 cm e H = 20 cm - massa de 25 kg</t>
  </si>
  <si>
    <t>1516312</t>
  </si>
  <si>
    <t>Geocélula em PEAD, paredes perfuradas, soldadas - altura de 100 mm e 1.206 cm² de área de célula - fornecimento e instalação</t>
  </si>
  <si>
    <t>1516304</t>
  </si>
  <si>
    <t>Geocélula em PEAD, paredes perfuradas, soldadas - altura de 100 mm e 289 cm² de área de célula - fornecimento e instalação</t>
  </si>
  <si>
    <t>1516308</t>
  </si>
  <si>
    <t>Geocélula em PEAD, paredes perfuradas, soldadas - altura de 100 mm e 460 cm² de área de célula - fornecimento e instalação</t>
  </si>
  <si>
    <t>1516313</t>
  </si>
  <si>
    <t>Geocélula em PEAD, paredes perfuradas, soldadas - altura de 150 mm e 1.206 cm² de área de célula - fornecimento e instalação</t>
  </si>
  <si>
    <t>1516305</t>
  </si>
  <si>
    <t>Geocélula em PEAD, paredes perfuradas, soldadas - altura de 150 mm e 289 cm² de área de célula - fornecimento e instalação</t>
  </si>
  <si>
    <t>1516309</t>
  </si>
  <si>
    <t>Geocélula em PEAD, paredes perfuradas, soldadas - altura de 150 mm e 460 cm² de área de célula - fornecimento e instalação</t>
  </si>
  <si>
    <t>1516314</t>
  </si>
  <si>
    <t>Geocélula em PEAD, paredes perfuradas, soldadas - altura de 200 mm e 1.206 cm² de área de célula - fornecimento e instalação</t>
  </si>
  <si>
    <t>1516306</t>
  </si>
  <si>
    <t>Geocélula em PEAD, paredes perfuradas, soldadas - altura de 200 mm e 289 cm² de área de célula - fornecimento e instalação</t>
  </si>
  <si>
    <t>1516310</t>
  </si>
  <si>
    <t>Geocélula em PEAD, paredes perfuradas, soldadas - altura de 200 mm e 460 cm² de área de célula - fornecimento e instalação</t>
  </si>
  <si>
    <t>1516311</t>
  </si>
  <si>
    <t>Geocélula em PEAD, paredes perfuradas, soldadas - altura de 75 mm e 1.206 cm² de área de célula - fornecimento e instalação</t>
  </si>
  <si>
    <t>1516303</t>
  </si>
  <si>
    <t>Geocélula em PEAD, paredes perfuradas, soldadas - altura de 75 mm e 289 cm² de área de célula - fornecimento e instalação</t>
  </si>
  <si>
    <t>1516307</t>
  </si>
  <si>
    <t>Geocélula em PEAD, paredes perfuradas, soldadas - altura de 75 mm e 460 cm² de área de célula - fornecimento e instalação</t>
  </si>
  <si>
    <t>1516298</t>
  </si>
  <si>
    <t>Geogrelha unidirecional com resistência à tração de 100 kN/m - fornecimento e instalação</t>
  </si>
  <si>
    <t>1516299</t>
  </si>
  <si>
    <t>Geogrelha unidirecional com resistência à tração de 150 kN/m - fornecimento e instalação</t>
  </si>
  <si>
    <t>1516300</t>
  </si>
  <si>
    <t>Geogrelha unidirecional com resistência à tração de 200 kN/m - fornecimento e instalação</t>
  </si>
  <si>
    <t>1516301</t>
  </si>
  <si>
    <t>Geogrelha unidirecional com resistência à tração de 300 kN/m - fornecimento e instalação</t>
  </si>
  <si>
    <t>1516302</t>
  </si>
  <si>
    <t>Geogrelha unidirecional com resistência à tração de 400 kN/m - fornecimento e instalação</t>
  </si>
  <si>
    <t>1516296</t>
  </si>
  <si>
    <t>Geogrelha unidirecional com resistência à tração de 50 kN/m - fornecimento e instalação</t>
  </si>
  <si>
    <t>1516297</t>
  </si>
  <si>
    <t>Geogrelha unidirecional com resistência à tração de 90 kN/m - fornecimento e instalação</t>
  </si>
  <si>
    <t>1505847</t>
  </si>
  <si>
    <t>Muro em blocos segmentais de face pré-moldados - C = 40 cm, L = 40 cm, e H = 20 cm com altura de 4 a 6 m - confecção e assentamento</t>
  </si>
  <si>
    <t>1505848</t>
  </si>
  <si>
    <t>Muro em blocos segmentais de face pré-moldados - C = 40 cm, L = 40 cm, e H = 20 cm com altura de 6 a 8 m - confecção e assentamento</t>
  </si>
  <si>
    <t>1505849</t>
  </si>
  <si>
    <t>Muro em blocos segmentais de face pré-moldados - C = 40 cm, L = 40 cm, e H = 20 cm com altura de 8 a 10 m - confecção e assentamento</t>
  </si>
  <si>
    <t>1505930</t>
  </si>
  <si>
    <t>Muro em blocos segmentais de face pré-moldados - C = 40 cm, L = 40 cm, e H = 20 cm com altura de até 4 m - confecção e assentamento</t>
  </si>
  <si>
    <t>1506055</t>
  </si>
  <si>
    <t>Pedra argamassada com cimento e areia 1:3 - areia e pedra de mão comercial - fornecimento e assentamento</t>
  </si>
  <si>
    <t>1506056</t>
  </si>
  <si>
    <t>Pedra argamassada com cimento e areia 1:3 - areia extraída e pedra de mão produzida - confecção e assentamento</t>
  </si>
  <si>
    <t>1513943</t>
  </si>
  <si>
    <t>Proteção de taludes rochosos com telas metálicas - resistência longitudinal à tração de 121 kN/m - fornecimento e posicionamento - inclusive cabos de aço, grampos e clipes de junção</t>
  </si>
  <si>
    <t>1516318</t>
  </si>
  <si>
    <t>Tela metálica dobrada em L para muro em solo reforçado - C = 200 cm, L = 40 cm e H = 40 cm - fornecimento e instalação</t>
  </si>
  <si>
    <t>1516317</t>
  </si>
  <si>
    <t>Tela metálica dobrada em L para muro em solo reforçado - C = 200 cm, L = 50 cm e H = 50 cm - fornecimento e instalação</t>
  </si>
  <si>
    <t>1600965</t>
  </si>
  <si>
    <t>Abertura em muro de alvenaria de pedra argamassada com martelete</t>
  </si>
  <si>
    <t>1600408</t>
  </si>
  <si>
    <t>Apicoamento manual de concreto</t>
  </si>
  <si>
    <t>1600990</t>
  </si>
  <si>
    <t>Demolição de concreto armado com martelete e corte oxiacetileno</t>
  </si>
  <si>
    <t>1600989</t>
  </si>
  <si>
    <t>Demolição de concreto simples com martelete</t>
  </si>
  <si>
    <t>1600438</t>
  </si>
  <si>
    <t>Demolição manual de concreto armado</t>
  </si>
  <si>
    <t>1600436</t>
  </si>
  <si>
    <t>Demolição manual de concreto simples</t>
  </si>
  <si>
    <t>1600895</t>
  </si>
  <si>
    <t>Demolição manual de construções provisórias de madeira - sem reaproveitamento</t>
  </si>
  <si>
    <t>1600897</t>
  </si>
  <si>
    <t>Demolição manual de construções provisórias de madeira, sem fechamento lateral e sem pavimentação</t>
  </si>
  <si>
    <t>1619004</t>
  </si>
  <si>
    <t>Demolição mecânica de alvenaria com carregadeira de pneus</t>
  </si>
  <si>
    <t>1600896</t>
  </si>
  <si>
    <t>Demolição mecânica de alvenaria com escavadeira hidráulica</t>
  </si>
  <si>
    <t>1619003</t>
  </si>
  <si>
    <t>Demolição mecânica de concreto armado com escavadeira hidráulica</t>
  </si>
  <si>
    <t>1619006</t>
  </si>
  <si>
    <t>Demolição mecânica de concreto simples com escavadeira hidráulica</t>
  </si>
  <si>
    <t>1600414</t>
  </si>
  <si>
    <t>Fresagem de piso de concreto</t>
  </si>
  <si>
    <t>1608148</t>
  </si>
  <si>
    <t>Perfuração em concreto com coroa diamantada - D = 100 mm</t>
  </si>
  <si>
    <t>1608021</t>
  </si>
  <si>
    <t>Perfuração em concreto com coroa diamantada - D = 16 mm</t>
  </si>
  <si>
    <t>1608024</t>
  </si>
  <si>
    <t>Perfuração em concreto com coroa diamantada - D = 20 mm</t>
  </si>
  <si>
    <t>1608026</t>
  </si>
  <si>
    <t>Perfuração em concreto com coroa diamantada - D = 25 mm</t>
  </si>
  <si>
    <t>1608142</t>
  </si>
  <si>
    <t>Perfuração em concreto com coroa diamantada - D = 32 mm</t>
  </si>
  <si>
    <t>1608143</t>
  </si>
  <si>
    <t>Perfuração em concreto com coroa diamantada - D = 38 mm</t>
  </si>
  <si>
    <t>1608144</t>
  </si>
  <si>
    <t>Perfuração em concreto com coroa diamantada - D = 44 mm</t>
  </si>
  <si>
    <t>1608145</t>
  </si>
  <si>
    <t>Perfuração em concreto com coroa diamantada - D = 50 mm</t>
  </si>
  <si>
    <t>1608146</t>
  </si>
  <si>
    <t>Perfuração em concreto com coroa diamantada - D = 63 mm</t>
  </si>
  <si>
    <t>1608147</t>
  </si>
  <si>
    <t>Perfuração em concreto com coroa diamantada - D = 75 mm</t>
  </si>
  <si>
    <t>1608019</t>
  </si>
  <si>
    <t>Perfuração em concreto com martelete elétrico - D = 10 mm</t>
  </si>
  <si>
    <t>1608020</t>
  </si>
  <si>
    <t>Perfuração em concreto com martelete elétrico - D = 13,0 mm</t>
  </si>
  <si>
    <t>1608025</t>
  </si>
  <si>
    <t>Perfuração em concreto com martelete elétrico - D = 14 mm</t>
  </si>
  <si>
    <t>1600966</t>
  </si>
  <si>
    <t>Remoção de cerca com mourões de concreto</t>
  </si>
  <si>
    <t>1600898</t>
  </si>
  <si>
    <t>Remoção de painel publicitário, tipo outdoor, com estrutura e suportes em madeira</t>
  </si>
  <si>
    <t>1600441</t>
  </si>
  <si>
    <t>Remoção de paralelepípedos</t>
  </si>
  <si>
    <t>1600404</t>
  </si>
  <si>
    <t>Remoção de tubos de concreto com diâmetro de 0,40 m a 1,00 m em valas e bueiros</t>
  </si>
  <si>
    <t>1600405</t>
  </si>
  <si>
    <t>Remoção de tubos de concreto com diâmetro de 1,20 m a 1,50 m em valas e bueiros</t>
  </si>
  <si>
    <t>1716605</t>
  </si>
  <si>
    <t>Derrocagem subaquática de material de 3ª categoria - carga e limpeza - plataforma com clamshell - flutuante e batelão rebocado de 100 t montado na obra - DMT até 200 m</t>
  </si>
  <si>
    <t>1716610</t>
  </si>
  <si>
    <t>Derrocagem subaquática de material de 3ª categoria - carga e limpeza - plataforma com clamshell - flutuante e batelão rebocado de 100 t montado na obra - DMT de 1.000 a 1200 m</t>
  </si>
  <si>
    <t>1716611</t>
  </si>
  <si>
    <t>Derrocagem subaquática de material de 3ª categoria - carga e limpeza - plataforma com clamshell - flutuante e batelão rebocado de 100 t montado na obra - DMT de 1.200 a 1.400 m</t>
  </si>
  <si>
    <t>1716612</t>
  </si>
  <si>
    <t>Derrocagem subaquática de material de 3ª categoria - carga e limpeza - plataforma com clamshell - flutuante e batelão rebocado de 100 t montado na obra - DMT de 1.400 a 1.600 m</t>
  </si>
  <si>
    <t>1716613</t>
  </si>
  <si>
    <t>Derrocagem subaquática de material de 3ª categoria - carga e limpeza - plataforma com clamshell - flutuante e batelão rebocado de 100 t montado na obra - DMT de 1.600 a 1.800 m</t>
  </si>
  <si>
    <t>1716614</t>
  </si>
  <si>
    <t>Derrocagem subaquática de material de 3ª categoria - carga e limpeza - plataforma com clamshell - flutuante e batelão rebocado de 100 t montado na obra - DMT de 1.800 a 2.000 m</t>
  </si>
  <si>
    <t>1716615</t>
  </si>
  <si>
    <t>Derrocagem subaquática de material de 3ª categoria - carga e limpeza - plataforma com clamshell - flutuante e batelão rebocado de 100 t montado na obra - DMT de 2.000 a 2.500 m</t>
  </si>
  <si>
    <t>1716616</t>
  </si>
  <si>
    <t>Derrocagem subaquática de material de 3ª categoria - carga e limpeza - plataforma com clamshell - flutuante e batelão rebocado de 100 t montado na obra - DMT de 2.500 a 3.000 m</t>
  </si>
  <si>
    <t>1716606</t>
  </si>
  <si>
    <t>Derrocagem subaquática de material de 3ª categoria - carga e limpeza - plataforma com clamshell - flutuante e batelão rebocado de 100 t montado na obra - DMT de 200 a 400 m</t>
  </si>
  <si>
    <t>1716617</t>
  </si>
  <si>
    <t>Derrocagem subaquática de material de 3ª categoria - carga e limpeza - plataforma com clamshell - flutuante e batelão rebocado de 100 t montado na obra - DMT de 3.000 m</t>
  </si>
  <si>
    <t>1716607</t>
  </si>
  <si>
    <t>Derrocagem subaquática de material de 3ª categoria - carga e limpeza - plataforma com clamshell - flutuante e batelão rebocado de 100 t montado na obra - DMT de 400 a 600 m</t>
  </si>
  <si>
    <t>1716608</t>
  </si>
  <si>
    <t>Derrocagem subaquática de material de 3ª categoria - carga e limpeza - plataforma com clamshell - flutuante e batelão rebocado de 100 t montado na obra - DMT de 600 a 800 m</t>
  </si>
  <si>
    <t>1716609</t>
  </si>
  <si>
    <t>Derrocagem subaquática de material de 3ª categoria - carga e limpeza - plataforma com clamshell - flutuante e batelão rebocado de 100 t montado na obra - DMT de 800 a 1.000 m</t>
  </si>
  <si>
    <t>1716604</t>
  </si>
  <si>
    <t>Derrocagem subaquática de material de 3ª categoria - carga e limpeza - plataforma com clamshell - flutuante montado na obra - sem transporte</t>
  </si>
  <si>
    <t>1716623</t>
  </si>
  <si>
    <t>Derrocagem subaquática de material de 3ª categoria - carga e limpeza - plataforma flutuante com clamshell - sem transporte</t>
  </si>
  <si>
    <t>1716624</t>
  </si>
  <si>
    <t>Derrocagem subaquática de material de 3ª categoria - carga e limpeza - plataforma flutuante com clamshell e batelão rebocado de 100 t - DMT até 200 m</t>
  </si>
  <si>
    <t>1716629</t>
  </si>
  <si>
    <t>Derrocagem subaquática de material de 3ª categoria - carga e limpeza - plataforma flutuante com clamshell e batelão rebocado de 100 t - DMT de 1.000 a 1.200 m</t>
  </si>
  <si>
    <t>1716630</t>
  </si>
  <si>
    <t>Derrocagem subaquática de material de 3ª categoria - carga e limpeza - plataforma flutuante com clamshell e batelão rebocado de 100 t - DMT de 1.200 a 1.400 m</t>
  </si>
  <si>
    <t>1716631</t>
  </si>
  <si>
    <t>Derrocagem subaquática de material de 3ª categoria - carga e limpeza - plataforma flutuante com clamshell e batelão rebocado de 100 t - DMT de 1.400 a 1.600 m</t>
  </si>
  <si>
    <t>1716632</t>
  </si>
  <si>
    <t>Derrocagem subaquática de material de 3ª categoria - carga e limpeza - plataforma flutuante com clamshell e batelão rebocado de 100 t - DMT de 1.600 a 1.800 m</t>
  </si>
  <si>
    <t>1716633</t>
  </si>
  <si>
    <t>Derrocagem subaquática de material de 3ª categoria - carga e limpeza - plataforma flutuante com clamshell e batelão rebocado de 100 t - DMT de 1.800 a 2.000 m</t>
  </si>
  <si>
    <t>1716634</t>
  </si>
  <si>
    <t>Derrocagem subaquática de material de 3ª categoria - carga e limpeza - plataforma flutuante com clamshell e batelão rebocado de 100 t - DMT de 2.000 a 2.500 m</t>
  </si>
  <si>
    <t>1716635</t>
  </si>
  <si>
    <t>Derrocagem subaquática de material de 3ª categoria - carga e limpeza - plataforma flutuante com clamshell e batelão rebocado de 100 t - DMT de 2.500 a 3.000 m</t>
  </si>
  <si>
    <t>1716625</t>
  </si>
  <si>
    <t>Derrocagem subaquática de material de 3ª categoria - carga e limpeza - plataforma flutuante com clamshell e batelão rebocado de 100 t - DMT de 200 a 400 m</t>
  </si>
  <si>
    <t>1716636</t>
  </si>
  <si>
    <t>Derrocagem subaquática de material de 3ª categoria - carga e limpeza - plataforma flutuante com clamshell e batelão rebocado de 100 t - DMT de 3.000 m</t>
  </si>
  <si>
    <t>1716626</t>
  </si>
  <si>
    <t>Derrocagem subaquática de material de 3ª categoria - carga e limpeza - plataforma flutuante com clamshell e batelão rebocado de 100 t - DMT de 400 a 600 m</t>
  </si>
  <si>
    <t>1716627</t>
  </si>
  <si>
    <t>Derrocagem subaquática de material de 3ª categoria - carga e limpeza - plataforma flutuante com clamshell e batelão rebocado de 100 t - DMT de 600 a 800 m</t>
  </si>
  <si>
    <t>1716628</t>
  </si>
  <si>
    <t>Derrocagem subaquática de material de 3ª categoria - carga e limpeza - plataforma flutuante com clamshell e batelão rebocado de 100 t - DMT de 800 a 1.000 m</t>
  </si>
  <si>
    <t>1716640</t>
  </si>
  <si>
    <t>Derrocagem subaquática de material de 3ª categoria - carga e limpeza com draga backhoe de 7 m³ - sem transporte</t>
  </si>
  <si>
    <t>1716641</t>
  </si>
  <si>
    <t>Derrocagem subaquática de material de 3ª categoria - carga e limpeza com draga backhoe de 7 m³ - transporte com batelão autopropelido de 300 m³ - DMT até 200 m</t>
  </si>
  <si>
    <t>1716646</t>
  </si>
  <si>
    <t>Derrocagem subaquática de material de 3ª categoria - carga e limpeza com draga backhoe de 7 m³ - transporte com batelão autopropelido de 300 m³ - DMT de 1.000 a 1.200 m</t>
  </si>
  <si>
    <t>1716647</t>
  </si>
  <si>
    <t>Derrocagem subaquática de material de 3ª categoria - carga e limpeza com draga backhoe de 7 m³ - transporte com batelão autopropelido de 300 m³ - DMT de 1.200 a 1.400 m</t>
  </si>
  <si>
    <t>1716648</t>
  </si>
  <si>
    <t>Derrocagem subaquática de material de 3ª categoria - carga e limpeza com draga backhoe de 7 m³ - transporte com batelão autopropelido de 300 m³ - DMT de 1.400 a 1.600 m</t>
  </si>
  <si>
    <t>1716649</t>
  </si>
  <si>
    <t>Derrocagem subaquática de material de 3ª categoria - carga e limpeza com draga backhoe de 7 m³ - transporte com batelão autopropelido de 300 m³ - DMT de 1.600 a 1.800 m</t>
  </si>
  <si>
    <t>1716650</t>
  </si>
  <si>
    <t>Derrocagem subaquática de material de 3ª categoria - carga e limpeza com draga backhoe de 7 m³ - transporte com batelão autopropelido de 300 m³ - DMT de 1.800 a 2.000 m</t>
  </si>
  <si>
    <t>1716651</t>
  </si>
  <si>
    <t>Derrocagem subaquática de material de 3ª categoria - carga e limpeza com draga backhoe de 7 m³ - transporte com batelão autopropelido de 300 m³ - DMT de 2.000 a 2.500 m</t>
  </si>
  <si>
    <t>1716652</t>
  </si>
  <si>
    <t>Derrocagem subaquática de material de 3ª categoria - carga e limpeza com draga backhoe de 7 m³ - transporte com batelão autopropelido de 300 m³ - DMT de 2.500 a 3.000 m</t>
  </si>
  <si>
    <t>1716642</t>
  </si>
  <si>
    <t>Derrocagem subaquática de material de 3ª categoria - carga e limpeza com draga backhoe de 7 m³ - transporte com batelão autopropelido de 300 m³ - DMT de 200 a 400 m</t>
  </si>
  <si>
    <t>1716653</t>
  </si>
  <si>
    <t>Derrocagem subaquática de material de 3ª categoria - carga e limpeza com draga backhoe de 7 m³ - transporte com batelão autopropelido de 300 m³ - DMT de 3.000 m</t>
  </si>
  <si>
    <t>1716643</t>
  </si>
  <si>
    <t>Derrocagem subaquática de material de 3ª categoria - carga e limpeza com draga backhoe de 7 m³ - transporte com batelão autopropelido de 300 m³ - DMT de 400 a 600 m</t>
  </si>
  <si>
    <t>1716644</t>
  </si>
  <si>
    <t>Derrocagem subaquática de material de 3ª categoria - carga e limpeza com draga backhoe de 7 m³ - transporte com batelão autopropelido de 300 m³ - DMT de 600 a 800 m</t>
  </si>
  <si>
    <t>1716645</t>
  </si>
  <si>
    <t>Derrocagem subaquática de material de 3ª categoria - carga e limpeza com draga backhoe de 7 m³ - transporte com batelão autopropelido de 300 m³ - DMT de 800 a 1.000 m</t>
  </si>
  <si>
    <t>1716622</t>
  </si>
  <si>
    <t>Derrocagem subaquática de material de 3ª categoria - malha de 1,5 m² - perfuração e detonação - plataforma autoelevatória com três torres de perfuração</t>
  </si>
  <si>
    <t>1716603</t>
  </si>
  <si>
    <t>Derrocagem subaquática de material de 3ª categoria - malha de 1,5 m² - perfuração e detonação - plataforma autoelevatória montada na obra com três torres de perfuração</t>
  </si>
  <si>
    <t>1716620</t>
  </si>
  <si>
    <t>Derrocagem subaquática de material de 3ª categoria - malha de 1,5 m² - perfuração e detonação - plataforma flutuante com duas torres de perfuração</t>
  </si>
  <si>
    <t>1716621</t>
  </si>
  <si>
    <t>Derrocagem subaquática de material de 3ª categoria - malha de 1,5 m² - perfuração e detonação - plataforma flutuante com três torres de perfuração</t>
  </si>
  <si>
    <t>1716619</t>
  </si>
  <si>
    <t>Derrocagem subaquática de material de 3ª categoria - malha de 1,5 m² - perfuração e detonação - plataforma flutuante com uma torre de perfuração</t>
  </si>
  <si>
    <t>1716601</t>
  </si>
  <si>
    <t>Derrocagem subaquática de material de 3ª categoria - malha de 1,5 m² - perfuração e detonação - plataforma montada na obra com duas torres de perfuração</t>
  </si>
  <si>
    <t>1716602</t>
  </si>
  <si>
    <t>Derrocagem subaquática de material de 3ª categoria - malha de 1,5 m² - perfuração e detonação - plataforma montada na obra com três torres de perfuração</t>
  </si>
  <si>
    <t>1716600</t>
  </si>
  <si>
    <t>Derrocagem subaquática de material de 3ª categoria - malha de 1,5 m² - perfuração e detonação - plataforma montada na obra com uma torre de perfuração</t>
  </si>
  <si>
    <t>1716655</t>
  </si>
  <si>
    <t>Derrocagem subaquática de material de 3ª categoria - malha de 2,5 m² - perfuração e detonação - plataforma com duas torres de perfuração</t>
  </si>
  <si>
    <t>1716639</t>
  </si>
  <si>
    <t>Derrocagem subaquática de material de 3ª categoria - malha de 4,0 m² - perfuração e detonação - plataforma com duas torres de perfuração</t>
  </si>
  <si>
    <t>1801636</t>
  </si>
  <si>
    <t>Levantamento batimétrico monofeixe longitudinal</t>
  </si>
  <si>
    <t>km</t>
  </si>
  <si>
    <t>1801637</t>
  </si>
  <si>
    <t>Levantamento batimétrico monofeixe transversal</t>
  </si>
  <si>
    <t>1817720</t>
  </si>
  <si>
    <t>Levantamento batimétrico multifeixe</t>
  </si>
  <si>
    <t>1817723</t>
  </si>
  <si>
    <t>Levantamento hidrométrico com ADCP em rios com velocidade de corrente acima de 1,5 m/s</t>
  </si>
  <si>
    <t>1817721</t>
  </si>
  <si>
    <t>Levantamento hidrométrico com ADCP em rios com velocidade de corrente de 0,5 a 1,0 m/s</t>
  </si>
  <si>
    <t>1817722</t>
  </si>
  <si>
    <t>Levantamento hidrométrico com ADCP em rios com velocidade de corrente de 1,0 a 1,5 m/s</t>
  </si>
  <si>
    <t>1917483</t>
  </si>
  <si>
    <t>Dragagem de areia fina com draga de sucção e recalque - bomba de 1.350 kW e cortador de 170 kW - distância de recalque de 1.100 a 1.300 m</t>
  </si>
  <si>
    <t>1917484</t>
  </si>
  <si>
    <t>Dragagem de areia fina com draga de sucção e recalque - bomba de 1.350 kW e cortador de 170 kW - distância de recalque de 1.300 a 1.500 m</t>
  </si>
  <si>
    <t>1917485</t>
  </si>
  <si>
    <t>Dragagem de areia fina com draga de sucção e recalque - bomba de 1.350 kW e cortador de 170 kW - distância de recalque de 1.500 a 1.700 m</t>
  </si>
  <si>
    <t>1917486</t>
  </si>
  <si>
    <t>Dragagem de areia fina com draga de sucção e recalque - bomba de 1.350 kW e cortador de 170 kW - distância de recalque de 1.700 a 1.900 m</t>
  </si>
  <si>
    <t>1917487</t>
  </si>
  <si>
    <t>Dragagem de areia fina com draga de sucção e recalque - bomba de 1.350 kW e cortador de 170 kW - distância de recalque de 1.900 a 2.100 m</t>
  </si>
  <si>
    <t>1917528</t>
  </si>
  <si>
    <t>Dragagem de areia fina com draga de sucção e recalque - bomba de 1.350 kW e cortador de 170 kW - distância de recalque de 10.100 a 10.300 m</t>
  </si>
  <si>
    <t>1917529</t>
  </si>
  <si>
    <t>Dragagem de areia fina com draga de sucção e recalque - bomba de 1.350 kW e cortador de 170 kW - distância de recalque de 10.300 a 10.500 m</t>
  </si>
  <si>
    <t>1917530</t>
  </si>
  <si>
    <t>Dragagem de areia fina com draga de sucção e recalque - bomba de 1.350 kW e cortador de 170 kW - distância de recalque de 10.500 a 10.700 m</t>
  </si>
  <si>
    <t>1917531</t>
  </si>
  <si>
    <t>Dragagem de areia fina com draga de sucção e recalque - bomba de 1.350 kW e cortador de 170 kW - distância de recalque de 10.700 a 10.900 m</t>
  </si>
  <si>
    <t>1917532</t>
  </si>
  <si>
    <t>Dragagem de areia fina com draga de sucção e recalque - bomba de 1.350 kW e cortador de 170 kW - distância de recalque de 10.900 a 11.100 m</t>
  </si>
  <si>
    <t>1917533</t>
  </si>
  <si>
    <t>Dragagem de areia fina com draga de sucção e recalque - bomba de 1.350 kW e cortador de 170 kW - distância de recalque de 11.100 a 11.300 m</t>
  </si>
  <si>
    <t>1917534</t>
  </si>
  <si>
    <t>Dragagem de areia fina com draga de sucção e recalque - bomba de 1.350 kW e cortador de 170 kW - distância de recalque de 11.300 a 11.500 m</t>
  </si>
  <si>
    <t>1917535</t>
  </si>
  <si>
    <t>Dragagem de areia fina com draga de sucção e recalque - bomba de 1.350 kW e cortador de 170 kW - distância de recalque de 11.500 a 11.700 m</t>
  </si>
  <si>
    <t>1917536</t>
  </si>
  <si>
    <t>Dragagem de areia fina com draga de sucção e recalque - bomba de 1.350 kW e cortador de 170 kW - distância de recalque de 11.700 a 11.900 m</t>
  </si>
  <si>
    <t>1917537</t>
  </si>
  <si>
    <t>Dragagem de areia fina com draga de sucção e recalque - bomba de 1.350 kW e cortador de 170 kW - distância de recalque de 11.900 a 12.100 m</t>
  </si>
  <si>
    <t>1917488</t>
  </si>
  <si>
    <t>Dragagem de areia fina com draga de sucção e recalque - bomba de 1.350 kW e cortador de 170 kW - distância de recalque de 2.100 a 2.300 m</t>
  </si>
  <si>
    <t>1917489</t>
  </si>
  <si>
    <t>Dragagem de areia fina com draga de sucção e recalque - bomba de 1.350 kW e cortador de 170 kW - distância de recalque de 2.300 a 2.500 m</t>
  </si>
  <si>
    <t>1917490</t>
  </si>
  <si>
    <t>Dragagem de areia fina com draga de sucção e recalque - bomba de 1.350 kW e cortador de 170 kW - distância de recalque de 2.500 a 2.700 m</t>
  </si>
  <si>
    <t>1917491</t>
  </si>
  <si>
    <t>Dragagem de areia fina com draga de sucção e recalque - bomba de 1.350 kW e cortador de 170 kW - distância de recalque de 2.700 a 2.900 m</t>
  </si>
  <si>
    <t>1917492</t>
  </si>
  <si>
    <t>Dragagem de areia fina com draga de sucção e recalque - bomba de 1.350 kW e cortador de 170 kW - distância de recalque de 2.900 a 3.100 m</t>
  </si>
  <si>
    <t>1917493</t>
  </si>
  <si>
    <t>Dragagem de areia fina com draga de sucção e recalque - bomba de 1.350 kW e cortador de 170 kW - distância de recalque de 3.100 a 3.300 m</t>
  </si>
  <si>
    <t>1917494</t>
  </si>
  <si>
    <t>Dragagem de areia fina com draga de sucção e recalque - bomba de 1.350 kW e cortador de 170 kW - distância de recalque de 3.300 a 3.500 m</t>
  </si>
  <si>
    <t>1917495</t>
  </si>
  <si>
    <t>Dragagem de areia fina com draga de sucção e recalque - bomba de 1.350 kW e cortador de 170 kW - distância de recalque de 3.500 a 3.700 m</t>
  </si>
  <si>
    <t>1917496</t>
  </si>
  <si>
    <t>Dragagem de areia fina com draga de sucção e recalque - bomba de 1.350 kW e cortador de 170 kW - distância de recalque de 3.700 a 3.900 m</t>
  </si>
  <si>
    <t>1917497</t>
  </si>
  <si>
    <t>Dragagem de areia fina com draga de sucção e recalque - bomba de 1.350 kW e cortador de 170 kW - distância de recalque de 3.900 a 4.100 m</t>
  </si>
  <si>
    <t>1917498</t>
  </si>
  <si>
    <t>Dragagem de areia fina com draga de sucção e recalque - bomba de 1.350 kW e cortador de 170 kW - distância de recalque de 4.100 a 4.300 m</t>
  </si>
  <si>
    <t>1917499</t>
  </si>
  <si>
    <t>Dragagem de areia fina com draga de sucção e recalque - bomba de 1.350 kW e cortador de 170 kW - distância de recalque de 4.300 a 4.500 m</t>
  </si>
  <si>
    <t>1917500</t>
  </si>
  <si>
    <t>Dragagem de areia fina com draga de sucção e recalque - bomba de 1.350 kW e cortador de 170 kW - distância de recalque de 4.500 a 4.700 m</t>
  </si>
  <si>
    <t>1917501</t>
  </si>
  <si>
    <t>Dragagem de areia fina com draga de sucção e recalque - bomba de 1.350 kW e cortador de 170 kW - distância de recalque de 4.700 a 4.900 m</t>
  </si>
  <si>
    <t>1917502</t>
  </si>
  <si>
    <t>Dragagem de areia fina com draga de sucção e recalque - bomba de 1.350 kW e cortador de 170 kW - distância de recalque de 4.900 a 5.100 m</t>
  </si>
  <si>
    <t>1917503</t>
  </si>
  <si>
    <t>Dragagem de areia fina com draga de sucção e recalque - bomba de 1.350 kW e cortador de 170 kW - distância de recalque de 5.100 a 5.300 m</t>
  </si>
  <si>
    <t>1917504</t>
  </si>
  <si>
    <t>Dragagem de areia fina com draga de sucção e recalque - bomba de 1.350 kW e cortador de 170 kW - distância de recalque de 5.300 a 5.500 m</t>
  </si>
  <si>
    <t>1917505</t>
  </si>
  <si>
    <t>Dragagem de areia fina com draga de sucção e recalque - bomba de 1.350 kW e cortador de 170 kW - distância de recalque de 5.500 a 5.700 m</t>
  </si>
  <si>
    <t>1917506</t>
  </si>
  <si>
    <t>Dragagem de areia fina com draga de sucção e recalque - bomba de 1.350 kW e cortador de 170 kW - distância de recalque de 5.700 a 5.900 m</t>
  </si>
  <si>
    <t>1917507</t>
  </si>
  <si>
    <t>Dragagem de areia fina com draga de sucção e recalque - bomba de 1.350 kW e cortador de 170 kW - distância de recalque de 5.900 a 6.100 m</t>
  </si>
  <si>
    <t>1917480</t>
  </si>
  <si>
    <t>Dragagem de areia fina com draga de sucção e recalque - bomba de 1.350 kW e cortador de 170 kW - distância de recalque de 500 a 700 m</t>
  </si>
  <si>
    <t>1917508</t>
  </si>
  <si>
    <t>Dragagem de areia fina com draga de sucção e recalque - bomba de 1.350 kW e cortador de 170 kW - distância de recalque de 6.100 a 6.300 m</t>
  </si>
  <si>
    <t>1917509</t>
  </si>
  <si>
    <t>Dragagem de areia fina com draga de sucção e recalque - bomba de 1.350 kW e cortador de 170 kW - distância de recalque de 6.300 a 6.500 m</t>
  </si>
  <si>
    <t>1917510</t>
  </si>
  <si>
    <t>Dragagem de areia fina com draga de sucção e recalque - bomba de 1.350 kW e cortador de 170 kW - distância de recalque de 6.500 a 6.700 m</t>
  </si>
  <si>
    <t>1917511</t>
  </si>
  <si>
    <t>Dragagem de areia fina com draga de sucção e recalque - bomba de 1.350 kW e cortador de 170 kW - distância de recalque de 6.700 a 6.900 m</t>
  </si>
  <si>
    <t>1917512</t>
  </si>
  <si>
    <t>Dragagem de areia fina com draga de sucção e recalque - bomba de 1.350 kW e cortador de 170 kW - distância de recalque de 6.900 a 7.100 m</t>
  </si>
  <si>
    <t>1917513</t>
  </si>
  <si>
    <t>Dragagem de areia fina com draga de sucção e recalque - bomba de 1.350 kW e cortador de 170 kW - distância de recalque de 7.100 a 7.300 m</t>
  </si>
  <si>
    <t>1917514</t>
  </si>
  <si>
    <t>Dragagem de areia fina com draga de sucção e recalque - bomba de 1.350 kW e cortador de 170 kW - distância de recalque de 7.300 a 7.500 m</t>
  </si>
  <si>
    <t>1917515</t>
  </si>
  <si>
    <t>Dragagem de areia fina com draga de sucção e recalque - bomba de 1.350 kW e cortador de 170 kW - distância de recalque de 7.500 a 7.700 m</t>
  </si>
  <si>
    <t>1917516</t>
  </si>
  <si>
    <t>Dragagem de areia fina com draga de sucção e recalque - bomba de 1.350 kW e cortador de 170 kW - distância de recalque de 7.700 a 7.900 m</t>
  </si>
  <si>
    <t>1917517</t>
  </si>
  <si>
    <t>Dragagem de areia fina com draga de sucção e recalque - bomba de 1.350 kW e cortador de 170 kW - distância de recalque de 7.900 a 8.100 m</t>
  </si>
  <si>
    <t>1917481</t>
  </si>
  <si>
    <t>Dragagem de areia fina com draga de sucção e recalque - bomba de 1.350 kW e cortador de 170 kW - distância de recalque de 700 a 900 m</t>
  </si>
  <si>
    <t>1917518</t>
  </si>
  <si>
    <t>Dragagem de areia fina com draga de sucção e recalque - bomba de 1.350 kW e cortador de 170 kW - distância de recalque de 8.100 a 8.300 m</t>
  </si>
  <si>
    <t>1917519</t>
  </si>
  <si>
    <t>Dragagem de areia fina com draga de sucção e recalque - bomba de 1.350 kW e cortador de 170 kW - distância de recalque de 8.300 a 8.500 m</t>
  </si>
  <si>
    <t>1917520</t>
  </si>
  <si>
    <t>Dragagem de areia fina com draga de sucção e recalque - bomba de 1.350 kW e cortador de 170 kW - distância de recalque de 8.500 a 8.700 m</t>
  </si>
  <si>
    <t>1917521</t>
  </si>
  <si>
    <t>Dragagem de areia fina com draga de sucção e recalque - bomba de 1.350 kW e cortador de 170 kW - distância de recalque de 8.700 a 8.900 m</t>
  </si>
  <si>
    <t>1917522</t>
  </si>
  <si>
    <t>Dragagem de areia fina com draga de sucção e recalque - bomba de 1.350 kW e cortador de 170 kW - distância de recalque de 8.900 a 9.100 m</t>
  </si>
  <si>
    <t>1917523</t>
  </si>
  <si>
    <t>Dragagem de areia fina com draga de sucção e recalque - bomba de 1.350 kW e cortador de 170 kW - distância de recalque de 9.100 a 9.300 m</t>
  </si>
  <si>
    <t>1917524</t>
  </si>
  <si>
    <t>Dragagem de areia fina com draga de sucção e recalque - bomba de 1.350 kW e cortador de 170 kW - distância de recalque de 9.300 a 9.500 m</t>
  </si>
  <si>
    <t>1917525</t>
  </si>
  <si>
    <t>Dragagem de areia fina com draga de sucção e recalque - bomba de 1.350 kW e cortador de 170 kW - distância de recalque de 9.500 a 9.700 m</t>
  </si>
  <si>
    <t>1917526</t>
  </si>
  <si>
    <t>Dragagem de areia fina com draga de sucção e recalque - bomba de 1.350 kW e cortador de 170 kW - distância de recalque de 9.700 a 9.900 m</t>
  </si>
  <si>
    <t>1917527</t>
  </si>
  <si>
    <t>Dragagem de areia fina com draga de sucção e recalque - bomba de 1.350 kW e cortador de 170 kW - distância de recalque de 9.900 a 10.100 m</t>
  </si>
  <si>
    <t>1917482</t>
  </si>
  <si>
    <t>Dragagem de areia fina com draga de sucção e recalque - bomba de 1.350 kW e cortador de 170 kW - distância de recalque de 900 a 1.100 m</t>
  </si>
  <si>
    <t>1917737</t>
  </si>
  <si>
    <t>Dragagem de areia fina com draga de sucção e recalque - bomba de 1.350 kW e cortador de 170 kW - distância de recalque de até 500 m</t>
  </si>
  <si>
    <t>1917220</t>
  </si>
  <si>
    <t>Dragagem de areia fina com draga de sucção e recalque - bomba de 294 kW e cortador de 30 kW - distância de recalque de 1.100 a 1.300 m</t>
  </si>
  <si>
    <t>1917221</t>
  </si>
  <si>
    <t>Dragagem de areia fina com draga de sucção e recalque - bomba de 294 kW e cortador de 30 kW - distância de recalque de 1.300 a 1.500 m</t>
  </si>
  <si>
    <t>1917222</t>
  </si>
  <si>
    <t>Dragagem de areia fina com draga de sucção e recalque - bomba de 294 kW e cortador de 30 kW - distância de recalque de 1.500 a 1.700 m</t>
  </si>
  <si>
    <t>1917223</t>
  </si>
  <si>
    <t>Dragagem de areia fina com draga de sucção e recalque - bomba de 294 kW e cortador de 30 kW - distância de recalque de 1.700 a 1.900 m</t>
  </si>
  <si>
    <t>1917224</t>
  </si>
  <si>
    <t>Dragagem de areia fina com draga de sucção e recalque - bomba de 294 kW e cortador de 30 kW - distância de recalque de 1.900 a 2.100 m</t>
  </si>
  <si>
    <t>1917225</t>
  </si>
  <si>
    <t>Dragagem de areia fina com draga de sucção e recalque - bomba de 294 kW e cortador de 30 kW - distância de recalque de 2.100 a 2.300 m</t>
  </si>
  <si>
    <t>1917226</t>
  </si>
  <si>
    <t>Dragagem de areia fina com draga de sucção e recalque - bomba de 294 kW e cortador de 30 kW - distância de recalque de 2.300 a 2.500 m</t>
  </si>
  <si>
    <t>1917227</t>
  </si>
  <si>
    <t>Dragagem de areia fina com draga de sucção e recalque - bomba de 294 kW e cortador de 30 kW - distância de recalque de 2.500 a 2.700 m</t>
  </si>
  <si>
    <t>1917228</t>
  </si>
  <si>
    <t>Dragagem de areia fina com draga de sucção e recalque - bomba de 294 kW e cortador de 30 kW - distância de recalque de 2.700 a 2.900 m</t>
  </si>
  <si>
    <t>1917229</t>
  </si>
  <si>
    <t>Dragagem de areia fina com draga de sucção e recalque - bomba de 294 kW e cortador de 30 kW - distância de recalque de 2.900 a 3.100 m</t>
  </si>
  <si>
    <t>1917230</t>
  </si>
  <si>
    <t>Dragagem de areia fina com draga de sucção e recalque - bomba de 294 kW e cortador de 30 kW - distância de recalque de 3.100 a 3.300 m</t>
  </si>
  <si>
    <t>1917231</t>
  </si>
  <si>
    <t>Dragagem de areia fina com draga de sucção e recalque - bomba de 294 kW e cortador de 30 kW - distância de recalque de 3.300 a 3.500 m</t>
  </si>
  <si>
    <t>1917232</t>
  </si>
  <si>
    <t>Dragagem de areia fina com draga de sucção e recalque - bomba de 294 kW e cortador de 30 kW - distância de recalque de 3.500 a 3.700 m</t>
  </si>
  <si>
    <t>1917233</t>
  </si>
  <si>
    <t>Dragagem de areia fina com draga de sucção e recalque - bomba de 294 kW e cortador de 30 kW - distância de recalque de 3.700 a 3.900 m</t>
  </si>
  <si>
    <t>1917234</t>
  </si>
  <si>
    <t>Dragagem de areia fina com draga de sucção e recalque - bomba de 294 kW e cortador de 30 kW - distância de recalque de 3.900 a 4.100 m</t>
  </si>
  <si>
    <t>1917217</t>
  </si>
  <si>
    <t>Dragagem de areia fina com draga de sucção e recalque - bomba de 294 kW e cortador de 30 kW - distância de recalque de 500 a 700 m</t>
  </si>
  <si>
    <t>1917218</t>
  </si>
  <si>
    <t>Dragagem de areia fina com draga de sucção e recalque - bomba de 294 kW e cortador de 30 kW - distância de recalque de 700 a 900 m</t>
  </si>
  <si>
    <t>1917219</t>
  </si>
  <si>
    <t>Dragagem de areia fina com draga de sucção e recalque - bomba de 294 kW e cortador de 30 kW - distância de recalque de 900 a 1.100 m</t>
  </si>
  <si>
    <t>1917724</t>
  </si>
  <si>
    <t>Dragagem de areia fina com draga de sucção e recalque - bomba de 294 kW e cortador de 30 kW - distância de recalque de até 500 m</t>
  </si>
  <si>
    <t>1917274</t>
  </si>
  <si>
    <t>Dragagem de areia fina com draga de sucção e recalque - bomba de 483 kW e cortador de 55 kW - distância de recalque de 1.100 a 1.300 m</t>
  </si>
  <si>
    <t>1917275</t>
  </si>
  <si>
    <t>Dragagem de areia fina com draga de sucção e recalque - bomba de 483 kW e cortador de 55 kW - distância de recalque de 1.300 a 1.500 m</t>
  </si>
  <si>
    <t>1917276</t>
  </si>
  <si>
    <t>Dragagem de areia fina com draga de sucção e recalque - bomba de 483 kW e cortador de 55 kW - distância de recalque de 1.500 a 1.700 m</t>
  </si>
  <si>
    <t>1917277</t>
  </si>
  <si>
    <t>Dragagem de areia fina com draga de sucção e recalque - bomba de 483 kW e cortador de 55 kW - distância de recalque de 1.700 a 1.900 m</t>
  </si>
  <si>
    <t>1917278</t>
  </si>
  <si>
    <t>Dragagem de areia fina com draga de sucção e recalque - bomba de 483 kW e cortador de 55 kW - distância de recalque de 1.900 a 2.100 m</t>
  </si>
  <si>
    <t>1917279</t>
  </si>
  <si>
    <t>Dragagem de areia fina com draga de sucção e recalque - bomba de 483 kW e cortador de 55 kW - distância de recalque de 2.100 a 2.300 m</t>
  </si>
  <si>
    <t>1917280</t>
  </si>
  <si>
    <t>Dragagem de areia fina com draga de sucção e recalque - bomba de 483 kW e cortador de 55 kW - distância de recalque de 2.300 a 2.500 m</t>
  </si>
  <si>
    <t>1917281</t>
  </si>
  <si>
    <t>Dragagem de areia fina com draga de sucção e recalque - bomba de 483 kW e cortador de 55 kW - distância de recalque de 2.500 a 2.700 m</t>
  </si>
  <si>
    <t>1917282</t>
  </si>
  <si>
    <t>Dragagem de areia fina com draga de sucção e recalque - bomba de 483 kW e cortador de 55 kW - distância de recalque de 2.700 a 2.900 m</t>
  </si>
  <si>
    <t>1917283</t>
  </si>
  <si>
    <t>Dragagem de areia fina com draga de sucção e recalque - bomba de 483 kW e cortador de 55 kW - distância de recalque de 2.900 a 3.100 m</t>
  </si>
  <si>
    <t>1917284</t>
  </si>
  <si>
    <t>Dragagem de areia fina com draga de sucção e recalque - bomba de 483 kW e cortador de 55 kW - distância de recalque de 3.100 a 3.300 m</t>
  </si>
  <si>
    <t>1917285</t>
  </si>
  <si>
    <t>Dragagem de areia fina com draga de sucção e recalque - bomba de 483 kW e cortador de 55 kW - distância de recalque de 3.300 a 3.500 m</t>
  </si>
  <si>
    <t>1917286</t>
  </si>
  <si>
    <t>Dragagem de areia fina com draga de sucção e recalque - bomba de 483 kW e cortador de 55 kW - distância de recalque de 3.500 a 3.700 m</t>
  </si>
  <si>
    <t>1917287</t>
  </si>
  <si>
    <t>Dragagem de areia fina com draga de sucção e recalque - bomba de 483 kW e cortador de 55 kW - distância de recalque de 3.700 a 3.900 m</t>
  </si>
  <si>
    <t>1917288</t>
  </si>
  <si>
    <t>Dragagem de areia fina com draga de sucção e recalque - bomba de 483 kW e cortador de 55 kW - distância de recalque de 3.900 a 4.100 m</t>
  </si>
  <si>
    <t>1917289</t>
  </si>
  <si>
    <t>Dragagem de areia fina com draga de sucção e recalque - bomba de 483 kW e cortador de 55 kW - distância de recalque de 4.100 a 4.300 m</t>
  </si>
  <si>
    <t>1917290</t>
  </si>
  <si>
    <t>Dragagem de areia fina com draga de sucção e recalque - bomba de 483 kW e cortador de 55 kW - distância de recalque de 4.300 a 4.500 m</t>
  </si>
  <si>
    <t>1917291</t>
  </si>
  <si>
    <t>Dragagem de areia fina com draga de sucção e recalque - bomba de 483 kW e cortador de 55 kW - distância de recalque de 4.500 a 4.700 m</t>
  </si>
  <si>
    <t>1917292</t>
  </si>
  <si>
    <t>Dragagem de areia fina com draga de sucção e recalque - bomba de 483 kW e cortador de 55 kW - distância de recalque de 4.700 a 4.900 m</t>
  </si>
  <si>
    <t>1917293</t>
  </si>
  <si>
    <t>Dragagem de areia fina com draga de sucção e recalque - bomba de 483 kW e cortador de 55 kW - distância de recalque de 4.900 a 5.100 m</t>
  </si>
  <si>
    <t>1917294</t>
  </si>
  <si>
    <t>Dragagem de areia fina com draga de sucção e recalque - bomba de 483 kW e cortador de 55 kW - distância de recalque de 5.100 a 5.300 m</t>
  </si>
  <si>
    <t>1917295</t>
  </si>
  <si>
    <t>Dragagem de areia fina com draga de sucção e recalque - bomba de 483 kW e cortador de 55 kW - distância de recalque de 5.300 a 5.500 m</t>
  </si>
  <si>
    <t>1917296</t>
  </si>
  <si>
    <t>Dragagem de areia fina com draga de sucção e recalque - bomba de 483 kW e cortador de 55 kW - distância de recalque de 5.500 a 5.700 m</t>
  </si>
  <si>
    <t>1917297</t>
  </si>
  <si>
    <t>Dragagem de areia fina com draga de sucção e recalque - bomba de 483 kW e cortador de 55 kW - distância de recalque de 5.700 a 5.900 m</t>
  </si>
  <si>
    <t>1917298</t>
  </si>
  <si>
    <t>Dragagem de areia fina com draga de sucção e recalque - bomba de 483 kW e cortador de 55 kW - distância de recalque de 5.900 a 6.100 m</t>
  </si>
  <si>
    <t>1917271</t>
  </si>
  <si>
    <t>Dragagem de areia fina com draga de sucção e recalque - bomba de 483 kW e cortador de 55 kW - distância de recalque de 500 a 700 m</t>
  </si>
  <si>
    <t>1917299</t>
  </si>
  <si>
    <t>Dragagem de areia fina com draga de sucção e recalque - bomba de 483 kW e cortador de 55 kW - distância de recalque de 6.100 a 6.300 m</t>
  </si>
  <si>
    <t>1917300</t>
  </si>
  <si>
    <t>Dragagem de areia fina com draga de sucção e recalque - bomba de 483 kW e cortador de 55 kW - distância de recalque de 6.300 a 6.500 m</t>
  </si>
  <si>
    <t>1917301</t>
  </si>
  <si>
    <t>Dragagem de areia fina com draga de sucção e recalque - bomba de 483 kW e cortador de 55 kW - distância de recalque de 6.500 a 6.700 m</t>
  </si>
  <si>
    <t>1917302</t>
  </si>
  <si>
    <t>Dragagem de areia fina com draga de sucção e recalque - bomba de 483 kW e cortador de 55 kW - distância de recalque de 6.700 a 6.900 m</t>
  </si>
  <si>
    <t>1917303</t>
  </si>
  <si>
    <t>Dragagem de areia fina com draga de sucção e recalque - bomba de 483 kW e cortador de 55 kW - distância de recalque de 6.900 a 7.100 m</t>
  </si>
  <si>
    <t>1917304</t>
  </si>
  <si>
    <t>Dragagem de areia fina com draga de sucção e recalque - bomba de 483 kW e cortador de 55 kW - distância de recalque de 7.100 a 7.300 m</t>
  </si>
  <si>
    <t>1917305</t>
  </si>
  <si>
    <t>Dragagem de areia fina com draga de sucção e recalque - bomba de 483 kW e cortador de 55 kW - distância de recalque de 7.300 a 7.500 m</t>
  </si>
  <si>
    <t>1917306</t>
  </si>
  <si>
    <t>Dragagem de areia fina com draga de sucção e recalque - bomba de 483 kW e cortador de 55 kW - distância de recalque de 7.500 a 7.700 m</t>
  </si>
  <si>
    <t>1917307</t>
  </si>
  <si>
    <t>Dragagem de areia fina com draga de sucção e recalque - bomba de 483 kW e cortador de 55 kW - distância de recalque de 7.700 a 7.900 m</t>
  </si>
  <si>
    <t>1917272</t>
  </si>
  <si>
    <t>Dragagem de areia fina com draga de sucção e recalque - bomba de 483 kW e cortador de 55 kW - distância de recalque de 700 a 900 m</t>
  </si>
  <si>
    <t>1917273</t>
  </si>
  <si>
    <t>Dragagem de areia fina com draga de sucção e recalque - bomba de 483 kW e cortador de 55 kW - distância de recalque de 900 a 1.100 m</t>
  </si>
  <si>
    <t>1917729</t>
  </si>
  <si>
    <t>Dragagem de areia fina com draga de sucção e recalque - bomba de 483 kW e cortador de 55 kW - distância de recalque de até 500 m</t>
  </si>
  <si>
    <t>1917367</t>
  </si>
  <si>
    <t>Dragagem de areia fina com draga de sucção e recalque - bomba de 746 kW e cortador de 110 kW - distância de recalque de 1.100 a 1.300 m</t>
  </si>
  <si>
    <t>1917368</t>
  </si>
  <si>
    <t>Dragagem de areia fina com draga de sucção e recalque - bomba de 746 kW e cortador de 110 kW - distância de recalque de 1.300 a 1.500 m</t>
  </si>
  <si>
    <t>1917369</t>
  </si>
  <si>
    <t>Dragagem de areia fina com draga de sucção e recalque - bomba de 746 kW e cortador de 110 kW - distância de recalque de 1.500 a 1.700 m</t>
  </si>
  <si>
    <t>1917370</t>
  </si>
  <si>
    <t>Dragagem de areia fina com draga de sucção e recalque - bomba de 746 kW e cortador de 110 kW - distância de recalque de 1.700 a 1.900 m</t>
  </si>
  <si>
    <t>1917371</t>
  </si>
  <si>
    <t>Dragagem de areia fina com draga de sucção e recalque - bomba de 746 kW e cortador de 110 kW - distância de recalque de 1.900 a 2.100 m</t>
  </si>
  <si>
    <t>1917372</t>
  </si>
  <si>
    <t>Dragagem de areia fina com draga de sucção e recalque - bomba de 746 kW e cortador de 110 kW - distância de recalque de 2.100 a 2.300 m</t>
  </si>
  <si>
    <t>1917373</t>
  </si>
  <si>
    <t>Dragagem de areia fina com draga de sucção e recalque - bomba de 746 kW e cortador de 110 kW - distância de recalque de 2.300 a 2.500 m</t>
  </si>
  <si>
    <t>1917374</t>
  </si>
  <si>
    <t>Dragagem de areia fina com draga de sucção e recalque - bomba de 746 kW e cortador de 110 kW - distância de recalque de 2.500 a 2.700 m</t>
  </si>
  <si>
    <t>1917375</t>
  </si>
  <si>
    <t>Dragagem de areia fina com draga de sucção e recalque - bomba de 746 kW e cortador de 110 kW - distância de recalque de 2.700 a 2.900 m</t>
  </si>
  <si>
    <t>1917376</t>
  </si>
  <si>
    <t>Dragagem de areia fina com draga de sucção e recalque - bomba de 746 kW e cortador de 110 kW - distância de recalque de 2.900 a 3.100 m</t>
  </si>
  <si>
    <t>1917377</t>
  </si>
  <si>
    <t>Dragagem de areia fina com draga de sucção e recalque - bomba de 746 kW e cortador de 110 kW - distância de recalque de 3.100 a 3.300 m</t>
  </si>
  <si>
    <t>1917378</t>
  </si>
  <si>
    <t>Dragagem de areia fina com draga de sucção e recalque - bomba de 746 kW e cortador de 110 kW - distância de recalque de 3.300 a 3.500 m</t>
  </si>
  <si>
    <t>1917379</t>
  </si>
  <si>
    <t>Dragagem de areia fina com draga de sucção e recalque - bomba de 746 kW e cortador de 110 kW - distância de recalque de 3.500 a 3.700 m</t>
  </si>
  <si>
    <t>1917380</t>
  </si>
  <si>
    <t>Dragagem de areia fina com draga de sucção e recalque - bomba de 746 kW e cortador de 110 kW - distância de recalque de 3.700 a 3.900 m</t>
  </si>
  <si>
    <t>1917381</t>
  </si>
  <si>
    <t>Dragagem de areia fina com draga de sucção e recalque - bomba de 746 kW e cortador de 110 kW - distância de recalque de 3.900 a 4.100 m</t>
  </si>
  <si>
    <t>1917382</t>
  </si>
  <si>
    <t>Dragagem de areia fina com draga de sucção e recalque - bomba de 746 kW e cortador de 110 kW - distância de recalque de 4.100 a 4.300 m</t>
  </si>
  <si>
    <t>1917383</t>
  </si>
  <si>
    <t>Dragagem de areia fina com draga de sucção e recalque - bomba de 746 kW e cortador de 110 kW - distância de recalque de 4.300 a 4.500 m</t>
  </si>
  <si>
    <t>1917384</t>
  </si>
  <si>
    <t>Dragagem de areia fina com draga de sucção e recalque - bomba de 746 kW e cortador de 110 kW - distância de recalque de 4.500 a 4.700 m</t>
  </si>
  <si>
    <t>1917385</t>
  </si>
  <si>
    <t>Dragagem de areia fina com draga de sucção e recalque - bomba de 746 kW e cortador de 110 kW - distância de recalque de 4.700 a 4.900 m</t>
  </si>
  <si>
    <t>1917386</t>
  </si>
  <si>
    <t>Dragagem de areia fina com draga de sucção e recalque - bomba de 746 kW e cortador de 110 kW - distância de recalque de 4.900 a 5.100 m</t>
  </si>
  <si>
    <t>1917387</t>
  </si>
  <si>
    <t>Dragagem de areia fina com draga de sucção e recalque - bomba de 746 kW e cortador de 110 kW - distância de recalque de 5.100 a 5.300 m</t>
  </si>
  <si>
    <t>1917388</t>
  </si>
  <si>
    <t>Dragagem de areia fina com draga de sucção e recalque - bomba de 746 kW e cortador de 110 kW - distância de recalque de 5.300 a 5.500 m</t>
  </si>
  <si>
    <t>1917389</t>
  </si>
  <si>
    <t>Dragagem de areia fina com draga de sucção e recalque - bomba de 746 kW e cortador de 110 kW - distância de recalque de 5.500 a 5.700 m</t>
  </si>
  <si>
    <t>1917390</t>
  </si>
  <si>
    <t>Dragagem de areia fina com draga de sucção e recalque - bomba de 746 kW e cortador de 110 kW - distância de recalque de 5.700 a 5.900 m</t>
  </si>
  <si>
    <t>1917391</t>
  </si>
  <si>
    <t>Dragagem de areia fina com draga de sucção e recalque - bomba de 746 kW e cortador de 110 kW - distância de recalque de 5.900 a 6.100 m</t>
  </si>
  <si>
    <t>1917364</t>
  </si>
  <si>
    <t>Dragagem de areia fina com draga de sucção e recalque - bomba de 746 kW e cortador de 110 kW - distância de recalque de 500 a 700 m</t>
  </si>
  <si>
    <t>1917392</t>
  </si>
  <si>
    <t>Dragagem de areia fina com draga de sucção e recalque - bomba de 746 kW e cortador de 110 kW - distância de recalque de 6.100 a 6.300 m</t>
  </si>
  <si>
    <t>1917393</t>
  </si>
  <si>
    <t>Dragagem de areia fina com draga de sucção e recalque - bomba de 746 kW e cortador de 110 kW - distância de recalque de 6.300 a 6.500 m</t>
  </si>
  <si>
    <t>1917394</t>
  </si>
  <si>
    <t>Dragagem de areia fina com draga de sucção e recalque - bomba de 746 kW e cortador de 110 kW - distância de recalque de 6.500 a 6.700 m</t>
  </si>
  <si>
    <t>1917395</t>
  </si>
  <si>
    <t>Dragagem de areia fina com draga de sucção e recalque - bomba de 746 kW e cortador de 110 kW - distância de recalque de 6.700 a 6.900 m</t>
  </si>
  <si>
    <t>1917396</t>
  </si>
  <si>
    <t>Dragagem de areia fina com draga de sucção e recalque - bomba de 746 kW e cortador de 110 kW - distância de recalque de 6.900 a 7.100 m</t>
  </si>
  <si>
    <t>1917397</t>
  </si>
  <si>
    <t>Dragagem de areia fina com draga de sucção e recalque - bomba de 746 kW e cortador de 110 kW - distância de recalque de 7.100 a 7.300 m</t>
  </si>
  <si>
    <t>1917398</t>
  </si>
  <si>
    <t>Dragagem de areia fina com draga de sucção e recalque - bomba de 746 kW e cortador de 110 kW - distância de recalque de 7.300 a 7.500 m</t>
  </si>
  <si>
    <t>1917399</t>
  </si>
  <si>
    <t>Dragagem de areia fina com draga de sucção e recalque - bomba de 746 kW e cortador de 110 kW - distância de recalque de 7.500 a 7.700 m</t>
  </si>
  <si>
    <t>1917400</t>
  </si>
  <si>
    <t>Dragagem de areia fina com draga de sucção e recalque - bomba de 746 kW e cortador de 110 kW - distância de recalque de 7.700 a 7.900 m</t>
  </si>
  <si>
    <t>1917401</t>
  </si>
  <si>
    <t>Dragagem de areia fina com draga de sucção e recalque - bomba de 746 kW e cortador de 110 kW - distância de recalque de 7.900 a 8.100 m</t>
  </si>
  <si>
    <t>1917365</t>
  </si>
  <si>
    <t>Dragagem de areia fina com draga de sucção e recalque - bomba de 746 kW e cortador de 110 kW - distância de recalque de 700 a 900 m</t>
  </si>
  <si>
    <t>1917402</t>
  </si>
  <si>
    <t>Dragagem de areia fina com draga de sucção e recalque - bomba de 746 kW e cortador de 110 kW - distância de recalque de 8.100 a 8.300 m</t>
  </si>
  <si>
    <t>1917403</t>
  </si>
  <si>
    <t>Dragagem de areia fina com draga de sucção e recalque - bomba de 746 kW e cortador de 110 kW - distância de recalque de 8.300 a 8.500 m</t>
  </si>
  <si>
    <t>1917404</t>
  </si>
  <si>
    <t>Dragagem de areia fina com draga de sucção e recalque - bomba de 746 kW e cortador de 110 kW - distância de recalque de 8.500 a 8.700 m</t>
  </si>
  <si>
    <t>1917405</t>
  </si>
  <si>
    <t>Dragagem de areia fina com draga de sucção e recalque - bomba de 746 kW e cortador de 110 kW - distância de recalque de 8.700 a 8.900 m</t>
  </si>
  <si>
    <t>1917406</t>
  </si>
  <si>
    <t>Dragagem de areia fina com draga de sucção e recalque - bomba de 746 kW e cortador de 110 kW - distância de recalque de 8.900 a 9.100 m</t>
  </si>
  <si>
    <t>1917407</t>
  </si>
  <si>
    <t>Dragagem de areia fina com draga de sucção e recalque - bomba de 746 kW e cortador de 110 kW - distância de recalque de 9.100 a 9.300 m</t>
  </si>
  <si>
    <t>1917408</t>
  </si>
  <si>
    <t>Dragagem de areia fina com draga de sucção e recalque - bomba de 746 kW e cortador de 110 kW - distância de recalque de 9.300 a 9.500 m</t>
  </si>
  <si>
    <t>1917409</t>
  </si>
  <si>
    <t>Dragagem de areia fina com draga de sucção e recalque - bomba de 746 kW e cortador de 110 kW - distância de recalque de 9.500 a 9.700 m</t>
  </si>
  <si>
    <t>1917410</t>
  </si>
  <si>
    <t>Dragagem de areia fina com draga de sucção e recalque - bomba de 746 kW e cortador de 110 kW - distância de recalque de 9.700 a 9.900 m</t>
  </si>
  <si>
    <t>1917411</t>
  </si>
  <si>
    <t>Dragagem de areia fina com draga de sucção e recalque - bomba de 746 kW e cortador de 110 kW - distância de recalque de 9.900 a 10.100 m</t>
  </si>
  <si>
    <t>1917366</t>
  </si>
  <si>
    <t>Dragagem de areia fina com draga de sucção e recalque - bomba de 746 kW e cortador de 110 kW - distância de recalque de 900 a 1.100 m</t>
  </si>
  <si>
    <t>1917732</t>
  </si>
  <si>
    <t>Dragagem de areia fina com draga de sucção e recalque - bomba de 746 kW e cortador de 110 kW - distância de recalque de até 500 m</t>
  </si>
  <si>
    <t>1917043</t>
  </si>
  <si>
    <t>Dragagem de areia fina com draga hopper - capacidade da cisterna de 1.000 m³ - DMT de 1.500 a 1.800 m</t>
  </si>
  <si>
    <t>1917044</t>
  </si>
  <si>
    <t>Dragagem de areia fina com draga hopper - capacidade da cisterna de 1.000 m³ - DMT de 1.800 a 2.100 m</t>
  </si>
  <si>
    <t>1917045</t>
  </si>
  <si>
    <t>Dragagem de areia fina com draga hopper - capacidade da cisterna de 1.000 m³ - DMT de 2.100 a 2.400 m</t>
  </si>
  <si>
    <t>1917046</t>
  </si>
  <si>
    <t>Dragagem de areia fina com draga hopper - capacidade da cisterna de 1.000 m³ - DMT de 2.400 a 2.700 m</t>
  </si>
  <si>
    <t>1917047</t>
  </si>
  <si>
    <t>Dragagem de areia fina com draga hopper - capacidade da cisterna de 1.000 m³ - DMT de 2.700 a 3.000 m</t>
  </si>
  <si>
    <t>1917048</t>
  </si>
  <si>
    <t>Dragagem de areia fina com draga hopper - capacidade da cisterna de 1.000 m³ - DMT de 3.000 m</t>
  </si>
  <si>
    <t>1901518</t>
  </si>
  <si>
    <t>Dragagem de areia fina com draga hopper - capacidade da cisterna de 10.000 m³ - DMT de 1.500 a 1.800 m</t>
  </si>
  <si>
    <t>1901519</t>
  </si>
  <si>
    <t>Dragagem de areia fina com draga hopper - capacidade da cisterna de 10.000 m³ - DMT de 1.800 a 2.100 m</t>
  </si>
  <si>
    <t>1901520</t>
  </si>
  <si>
    <t>Dragagem de areia fina com draga hopper - capacidade da cisterna de 10.000 m³ - DMT de 2.100 a 2.400 m</t>
  </si>
  <si>
    <t>1901521</t>
  </si>
  <si>
    <t>Dragagem de areia fina com draga hopper - capacidade da cisterna de 10.000 m³ - DMT de 2.400 a 2.700 m</t>
  </si>
  <si>
    <t>1901522</t>
  </si>
  <si>
    <t>Dragagem de areia fina com draga hopper - capacidade da cisterna de 10.000 m³ - DMT de 2.700 a 3.000 m</t>
  </si>
  <si>
    <t>1901517</t>
  </si>
  <si>
    <t>Dragagem de areia fina com draga hopper - capacidade da cisterna de 10.000 m³ - DMT de 3.000 m</t>
  </si>
  <si>
    <t>1901523</t>
  </si>
  <si>
    <t>Dragagem de areia fina com draga hopper - capacidade da cisterna de 15.000 m³ - DMT de 1.500 a 1.800 m</t>
  </si>
  <si>
    <t>1901524</t>
  </si>
  <si>
    <t>Dragagem de areia fina com draga hopper - capacidade da cisterna de 15.000 m³ - DMT de 1.800 a 2.100 m</t>
  </si>
  <si>
    <t>1901525</t>
  </si>
  <si>
    <t>Dragagem de areia fina com draga hopper - capacidade da cisterna de 15.000 m³ - DMT de 2.100 a 2.400 m</t>
  </si>
  <si>
    <t>1901526</t>
  </si>
  <si>
    <t>Dragagem de areia fina com draga hopper - capacidade da cisterna de 15.000 m³ - DMT de 2.400 a 2.700 m</t>
  </si>
  <si>
    <t>1901527</t>
  </si>
  <si>
    <t>Dragagem de areia fina com draga hopper - capacidade da cisterna de 15.000 m³ - DMT de 2.700 a 3.000 m</t>
  </si>
  <si>
    <t>1901528</t>
  </si>
  <si>
    <t>Dragagem de areia fina com draga hopper - capacidade da cisterna de 15.000 m³ - DMT de 3.000 m</t>
  </si>
  <si>
    <t>1917079</t>
  </si>
  <si>
    <t>Dragagem de areia fina com draga hopper - capacidade da cisterna de 2.000 m³ - DMT de 1.500 a 1.800 m</t>
  </si>
  <si>
    <t>1917080</t>
  </si>
  <si>
    <t>Dragagem de areia fina com draga hopper - capacidade da cisterna de 2.000 m³ - DMT de 1.800 a 2.100 m</t>
  </si>
  <si>
    <t>1917081</t>
  </si>
  <si>
    <t>Dragagem de areia fina com draga hopper - capacidade da cisterna de 2.000 m³ - DMT de 2.100 a 2.400 m</t>
  </si>
  <si>
    <t>1917082</t>
  </si>
  <si>
    <t>Dragagem de areia fina com draga hopper - capacidade da cisterna de 2.000 m³ - DMT de 2.400 a 2.700 m</t>
  </si>
  <si>
    <t>1917083</t>
  </si>
  <si>
    <t>Dragagem de areia fina com draga hopper - capacidade da cisterna de 2.000 m³ - DMT de 2.700 a 3.000 m</t>
  </si>
  <si>
    <t>1917084</t>
  </si>
  <si>
    <t>Dragagem de areia fina com draga hopper - capacidade da cisterna de 2.000 m³ - DMT de 3.000 m</t>
  </si>
  <si>
    <t>1901529</t>
  </si>
  <si>
    <t>Dragagem de areia fina com draga hopper - capacidade da cisterna de 20.000 m³ - DMT de 1.500 a 1.800 m</t>
  </si>
  <si>
    <t>1901530</t>
  </si>
  <si>
    <t>Dragagem de areia fina com draga hopper - capacidade da cisterna de 20.000 m³ - DMT de 1.800 a 2.100 m</t>
  </si>
  <si>
    <t>1901531</t>
  </si>
  <si>
    <t>Dragagem de areia fina com draga hopper - capacidade da cisterna de 20.000 m³ - DMT de 2.100 a 2.400 m</t>
  </si>
  <si>
    <t>1901532</t>
  </si>
  <si>
    <t>Dragagem de areia fina com draga hopper - capacidade da cisterna de 20.000 m³ - DMT de 2.400 a 2.700 m</t>
  </si>
  <si>
    <t>1901533</t>
  </si>
  <si>
    <t>Dragagem de areia fina com draga hopper - capacidade da cisterna de 20.000 m³ - DMT de 2.700 a 3.000 m</t>
  </si>
  <si>
    <t>1901534</t>
  </si>
  <si>
    <t>Dragagem de areia fina com draga hopper - capacidade da cisterna de 20.000 m³ - DMT de 3.000 m</t>
  </si>
  <si>
    <t>1917115</t>
  </si>
  <si>
    <t>Dragagem de areia fina com draga hopper - capacidade da cisterna de 3.000 m³ - DMT de 1.500 a 1.800 m</t>
  </si>
  <si>
    <t>1917116</t>
  </si>
  <si>
    <t>Dragagem de areia fina com draga hopper - capacidade da cisterna de 3.000 m³ - DMT de 1.800 a 2.100 m</t>
  </si>
  <si>
    <t>1917117</t>
  </si>
  <si>
    <t>Dragagem de areia fina com draga hopper - capacidade da cisterna de 3.000 m³ - DMT de 2.100 a 2.400 m</t>
  </si>
  <si>
    <t>1917118</t>
  </si>
  <si>
    <t>Dragagem de areia fina com draga hopper - capacidade da cisterna de 3.000 m³ - DMT de 2.400 a 2.700 m</t>
  </si>
  <si>
    <t>1917119</t>
  </si>
  <si>
    <t>Dragagem de areia fina com draga hopper - capacidade da cisterna de 3.000 m³ - DMT de 2.700 a 3.000 m</t>
  </si>
  <si>
    <t>1917120</t>
  </si>
  <si>
    <t>Dragagem de areia fina com draga hopper - capacidade da cisterna de 3.000 m³ - DMT de 3.000 m</t>
  </si>
  <si>
    <t>1917151</t>
  </si>
  <si>
    <t>Dragagem de areia fina com draga hopper - capacidade da cisterna de 4.000 m³ - DMT de 1.500 a 1.800 m</t>
  </si>
  <si>
    <t>1917152</t>
  </si>
  <si>
    <t>Dragagem de areia fina com draga hopper - capacidade da cisterna de 4.000 m³ - DMT de 1.800 a 2.100 m</t>
  </si>
  <si>
    <t>1917153</t>
  </si>
  <si>
    <t>Dragagem de areia fina com draga hopper - capacidade da cisterna de 4.000 m³ - DMT de 2.100 a 2.400 m</t>
  </si>
  <si>
    <t>1917154</t>
  </si>
  <si>
    <t>Dragagem de areia fina com draga hopper - capacidade da cisterna de 4.000 m³ - DMT de 2.400 a 2.700 m</t>
  </si>
  <si>
    <t>1917155</t>
  </si>
  <si>
    <t>Dragagem de areia fina com draga hopper - capacidade da cisterna de 4.000 m³ - DMT de 2.700 a 3.000 m</t>
  </si>
  <si>
    <t>1917156</t>
  </si>
  <si>
    <t>Dragagem de areia fina com draga hopper - capacidade da cisterna de 4.000 m³ - DMT de 3.000 m</t>
  </si>
  <si>
    <t>1917187</t>
  </si>
  <si>
    <t>Dragagem de areia fina com draga hopper - capacidade da cisterna de 5.000 m³ - DMT de 1.500 a 1.800 m</t>
  </si>
  <si>
    <t>1917188</t>
  </si>
  <si>
    <t>Dragagem de areia fina com draga hopper - capacidade da cisterna de 5.000 m³ - DMT de 1.800 a 2.100 m</t>
  </si>
  <si>
    <t>1917189</t>
  </si>
  <si>
    <t>Dragagem de areia fina com draga hopper - capacidade da cisterna de 5.000 m³ - DMT de 2.100 a 2.400 m</t>
  </si>
  <si>
    <t>1917190</t>
  </si>
  <si>
    <t>Dragagem de areia fina com draga hopper - capacidade da cisterna de 5.000 m³ - DMT de 2.400 a 2.700 m</t>
  </si>
  <si>
    <t>1917191</t>
  </si>
  <si>
    <t>Dragagem de areia fina com draga hopper - capacidade da cisterna de 5.000 m³ - DMT de 2.700 a 3.000 m</t>
  </si>
  <si>
    <t>1917192</t>
  </si>
  <si>
    <t>Dragagem de areia fina com draga hopper - capacidade da cisterna de 5.000 m³ - DMT de 3.000 m</t>
  </si>
  <si>
    <t>1917007</t>
  </si>
  <si>
    <t>Dragagem de areia fina com draga hopper - capacidade da cisterna de 750 m³ - DMT de 1.500 a 1.800 m</t>
  </si>
  <si>
    <t>1917008</t>
  </si>
  <si>
    <t>Dragagem de areia fina com draga hopper - capacidade da cisterna de 750 m³ - DMT de 1.800 a 2.100 m</t>
  </si>
  <si>
    <t>1917009</t>
  </si>
  <si>
    <t>Dragagem de areia fina com draga hopper - capacidade da cisterna de 750 m³ - DMT de 2.100 a 2.400 m</t>
  </si>
  <si>
    <t>1917010</t>
  </si>
  <si>
    <t>Dragagem de areia fina com draga hopper - capacidade da cisterna de 750 m³ - DMT de 2.400 a 2.700 m</t>
  </si>
  <si>
    <t>1917011</t>
  </si>
  <si>
    <t>Dragagem de areia fina com draga hopper - capacidade da cisterna de 750 m³ - DMT de 2.700 a 3.000 m</t>
  </si>
  <si>
    <t>1917012</t>
  </si>
  <si>
    <t>Dragagem de areia fina com draga hopper - capacidade da cisterna de 750 m³ - DMT de 3.000 m</t>
  </si>
  <si>
    <t>1917578</t>
  </si>
  <si>
    <t>Dragagem de areia grossa com draga de sucção e recalque - bomba de 1.350 kW e cortador de 170 kW - distância de recalque de 1.100 a 1.300 m</t>
  </si>
  <si>
    <t>1917579</t>
  </si>
  <si>
    <t>Dragagem de areia grossa com draga de sucção e recalque - bomba de 1.350 kW e cortador de 170 kW - distância de recalque de 1.300 a 1.500 m</t>
  </si>
  <si>
    <t>1917580</t>
  </si>
  <si>
    <t>Dragagem de areia grossa com draga de sucção e recalque - bomba de 1.350 kW e cortador de 170 kW - distância de recalque de 1.500 a 1.700 m</t>
  </si>
  <si>
    <t>1917581</t>
  </si>
  <si>
    <t>Dragagem de areia grossa com draga de sucção e recalque - bomba de 1.350 kW e cortador de 170 kW - distância de recalque de 1.700 a 1.900 m</t>
  </si>
  <si>
    <t>1917582</t>
  </si>
  <si>
    <t>Dragagem de areia grossa com draga de sucção e recalque - bomba de 1.350 kW e cortador de 170 kW - distância de recalque de 1.900 a 2.100 m</t>
  </si>
  <si>
    <t>1917583</t>
  </si>
  <si>
    <t>Dragagem de areia grossa com draga de sucção e recalque - bomba de 1.350 kW e cortador de 170 kW - distância de recalque de 2.100 a 2.300 m</t>
  </si>
  <si>
    <t>1917584</t>
  </si>
  <si>
    <t>Dragagem de areia grossa com draga de sucção e recalque - bomba de 1.350 kW e cortador de 170 kW - distância de recalque de 2.300 a 2.500 m</t>
  </si>
  <si>
    <t>1917585</t>
  </si>
  <si>
    <t>Dragagem de areia grossa com draga de sucção e recalque - bomba de 1.350 kW e cortador de 170 kW - distância de recalque de 2.500 a 2.700 m</t>
  </si>
  <si>
    <t>1917586</t>
  </si>
  <si>
    <t>Dragagem de areia grossa com draga de sucção e recalque - bomba de 1.350 kW e cortador de 170 kW - distância de recalque de 2.700 a 2.900 m</t>
  </si>
  <si>
    <t>1917587</t>
  </si>
  <si>
    <t>Dragagem de areia grossa com draga de sucção e recalque - bomba de 1.350 kW e cortador de 170 kW - distância de recalque de 2.900 a 3.100 m</t>
  </si>
  <si>
    <t>1917588</t>
  </si>
  <si>
    <t>Dragagem de areia grossa com draga de sucção e recalque - bomba de 1.350 kW e cortador de 170 kW - distância de recalque de 3.100 a 3.300 m</t>
  </si>
  <si>
    <t>1917589</t>
  </si>
  <si>
    <t>Dragagem de areia grossa com draga de sucção e recalque - bomba de 1.350 kW e cortador de 170 kW - distância de recalque de 3.300 a 3.500 m</t>
  </si>
  <si>
    <t>1917590</t>
  </si>
  <si>
    <t>Dragagem de areia grossa com draga de sucção e recalque - bomba de 1.350 kW e cortador de 170 kW - distância de recalque de 3.500 a 3.700 m</t>
  </si>
  <si>
    <t>1917591</t>
  </si>
  <si>
    <t>Dragagem de areia grossa com draga de sucção e recalque - bomba de 1.350 kW e cortador de 170 kW - distância de recalque de 3.700 a 3.900 m</t>
  </si>
  <si>
    <t>1917592</t>
  </si>
  <si>
    <t>Dragagem de areia grossa com draga de sucção e recalque - bomba de 1.350 kW e cortador de 170 kW - distância de recalque de 3.900 a 4.100 m</t>
  </si>
  <si>
    <t>1917593</t>
  </si>
  <si>
    <t>Dragagem de areia grossa com draga de sucção e recalque - bomba de 1.350 kW e cortador de 170 kW - distância de recalque de 4.100 a 4.300 m</t>
  </si>
  <si>
    <t>1917594</t>
  </si>
  <si>
    <t>Dragagem de areia grossa com draga de sucção e recalque - bomba de 1.350 kW e cortador de 170 kW - distância de recalque de 4.300 a 4.500 m</t>
  </si>
  <si>
    <t>1917595</t>
  </si>
  <si>
    <t>Dragagem de areia grossa com draga de sucção e recalque - bomba de 1.350 kW e cortador de 170 kW - distância de recalque de 4.500 a 4.700 m</t>
  </si>
  <si>
    <t>1917596</t>
  </si>
  <si>
    <t>Dragagem de areia grossa com draga de sucção e recalque - bomba de 1.350 kW e cortador de 170 kW - distância de recalque de 4.700 a 4.900 m</t>
  </si>
  <si>
    <t>1917597</t>
  </si>
  <si>
    <t>Dragagem de areia grossa com draga de sucção e recalque - bomba de 1.350 kW e cortador de 170 kW - distância de recalque de 4.900 a 5.100 m</t>
  </si>
  <si>
    <t>1917598</t>
  </si>
  <si>
    <t>Dragagem de areia grossa com draga de sucção e recalque - bomba de 1.350 kW e cortador de 170 kW - distância de recalque de 5.100 a 5.300 m</t>
  </si>
  <si>
    <t>1917599</t>
  </si>
  <si>
    <t>Dragagem de areia grossa com draga de sucção e recalque - bomba de 1.350 kW e cortador de 170 kW - distância de recalque de 5.300 a 5.500 m</t>
  </si>
  <si>
    <t>1917600</t>
  </si>
  <si>
    <t>Dragagem de areia grossa com draga de sucção e recalque - bomba de 1.350 kW e cortador de 170 kW - distância de recalque de 5.500 a 5.700 m</t>
  </si>
  <si>
    <t>1917601</t>
  </si>
  <si>
    <t>Dragagem de areia grossa com draga de sucção e recalque - bomba de 1.350 kW e cortador de 170 kW - distância de recalque de 5.700 a 5.900 m</t>
  </si>
  <si>
    <t>1917575</t>
  </si>
  <si>
    <t>Dragagem de areia grossa com draga de sucção e recalque - bomba de 1.350 kW e cortador de 170 kW - distância de recalque de 500 a 700 m</t>
  </si>
  <si>
    <t>1917576</t>
  </si>
  <si>
    <t>Dragagem de areia grossa com draga de sucção e recalque - bomba de 1.350 kW e cortador de 170 kW - distância de recalque de 700 a 900 m</t>
  </si>
  <si>
    <t>1917577</t>
  </si>
  <si>
    <t>Dragagem de areia grossa com draga de sucção e recalque - bomba de 1.350 kW e cortador de 170 kW - distância de recalque de 900 a 1.100 m</t>
  </si>
  <si>
    <t>1917739</t>
  </si>
  <si>
    <t>Dragagem de areia grossa com draga de sucção e recalque - bomba de 1.350 kW e cortador de 170 kW - distância de recalque de até 500 m</t>
  </si>
  <si>
    <t>1917253</t>
  </si>
  <si>
    <t>Dragagem de areia grossa com draga de sucção e recalque - bomba de 294 kW e cortador de 30 kW - distância de recalque de 1.100 a 1.300 m</t>
  </si>
  <si>
    <t>1917254</t>
  </si>
  <si>
    <t>Dragagem de areia grossa com draga de sucção e recalque - bomba de 294 kW e cortador de 30 kW - distância de recalque de 1.300 a 1.500 m</t>
  </si>
  <si>
    <t>1917255</t>
  </si>
  <si>
    <t>Dragagem de areia grossa com draga de sucção e recalque - bomba de 294 kW e cortador de 30 kW - distância de recalque de 1.500 a 1.700 m</t>
  </si>
  <si>
    <t>1917256</t>
  </si>
  <si>
    <t>Dragagem de areia grossa com draga de sucção e recalque - bomba de 294 kW e cortador de 30 kW - distância de recalque de 1.700 a 1.900 m</t>
  </si>
  <si>
    <t>1917257</t>
  </si>
  <si>
    <t>Dragagem de areia grossa com draga de sucção e recalque - bomba de 294 kW e cortador de 30 kW - distância de recalque de 1.900 a 2.100 m</t>
  </si>
  <si>
    <t>1917258</t>
  </si>
  <si>
    <t>Dragagem de areia grossa com draga de sucção e recalque - bomba de 294 kW e cortador de 30 kW - distância de recalque de 2.100 a 2.300 m</t>
  </si>
  <si>
    <t>1917259</t>
  </si>
  <si>
    <t>Dragagem de areia grossa com draga de sucção e recalque - bomba de 294 kW e cortador de 30 kW - distância de recalque de 2.300 a 2.500 m</t>
  </si>
  <si>
    <t>1917250</t>
  </si>
  <si>
    <t>Dragagem de areia grossa com draga de sucção e recalque - bomba de 294 kW e cortador de 30 kW - distância de recalque de 500 a 700 m</t>
  </si>
  <si>
    <t>1917251</t>
  </si>
  <si>
    <t>Dragagem de areia grossa com draga de sucção e recalque - bomba de 294 kW e cortador de 30 kW - distância de recalque de 700 a 900 m</t>
  </si>
  <si>
    <t>1917252</t>
  </si>
  <si>
    <t>Dragagem de areia grossa com draga de sucção e recalque - bomba de 294 kW e cortador de 30 kW - distância de recalque de 900 a 1.100 m</t>
  </si>
  <si>
    <t>1917726</t>
  </si>
  <si>
    <t>Dragagem de areia grossa com draga de sucção e recalque - bomba de 294 kW e cortador de 30 kW - distância de recalque de até 500 m</t>
  </si>
  <si>
    <t>1917335</t>
  </si>
  <si>
    <t>Dragagem de areia grossa com draga de sucção e recalque - bomba de 483 kW e cortador de 55 kW - distância de recalque de 1.100 a 1.300 m</t>
  </si>
  <si>
    <t>1917336</t>
  </si>
  <si>
    <t>Dragagem de areia grossa com draga de sucção e recalque - bomba de 483 kW e cortador de 55 kW - distância de recalque de 1.300 a 1.500 m</t>
  </si>
  <si>
    <t>1917337</t>
  </si>
  <si>
    <t>Dragagem de areia grossa com draga de sucção e recalque - bomba de 483 kW e cortador de 55 kW - distância de recalque de 1.500 a 1.700 m</t>
  </si>
  <si>
    <t>1917338</t>
  </si>
  <si>
    <t>Dragagem de areia grossa com draga de sucção e recalque - bomba de 483 kW e cortador de 55 kW - distância de recalque de 1.700 a 1.900 m</t>
  </si>
  <si>
    <t>1917339</t>
  </si>
  <si>
    <t>Dragagem de areia grossa com draga de sucção e recalque - bomba de 483 kW e cortador de 55 kW - distância de recalque de 1.900 a 2.100 m</t>
  </si>
  <si>
    <t>1917340</t>
  </si>
  <si>
    <t>Dragagem de areia grossa com draga de sucção e recalque - bomba de 483 kW e cortador de 55 kW - distância de recalque de 2.100 a 2.300 m</t>
  </si>
  <si>
    <t>1917341</t>
  </si>
  <si>
    <t>Dragagem de areia grossa com draga de sucção e recalque - bomba de 483 kW e cortador de 55 kW - distância de recalque de 2.300 a 2.500 m</t>
  </si>
  <si>
    <t>1917342</t>
  </si>
  <si>
    <t>Dragagem de areia grossa com draga de sucção e recalque - bomba de 483 kW e cortador de 55 kW - distância de recalque de 2.500 a 2.700 m</t>
  </si>
  <si>
    <t>1917343</t>
  </si>
  <si>
    <t>Dragagem de areia grossa com draga de sucção e recalque - bomba de 483 kW e cortador de 55 kW - distância de recalque de 2.700 a 2.900 m</t>
  </si>
  <si>
    <t>1917344</t>
  </si>
  <si>
    <t>Dragagem de areia grossa com draga de sucção e recalque - bomba de 483 kW e cortador de 55 kW - distância de recalque de 2.900 a 3.100 m</t>
  </si>
  <si>
    <t>1917345</t>
  </si>
  <si>
    <t>Dragagem de areia grossa com draga de sucção e recalque - bomba de 483 kW e cortador de 55 kW - distância de recalque de 3.100 a 3.300 m</t>
  </si>
  <si>
    <t>1917346</t>
  </si>
  <si>
    <t>Dragagem de areia grossa com draga de sucção e recalque - bomba de 483 kW e cortador de 55 kW - distância de recalque de 3.300 a 3.500 m</t>
  </si>
  <si>
    <t>1917347</t>
  </si>
  <si>
    <t>Dragagem de areia grossa com draga de sucção e recalque - bomba de 483 kW e cortador de 55 kW - distância de recalque de 3.500 a 3.700 m</t>
  </si>
  <si>
    <t>1917332</t>
  </si>
  <si>
    <t>Dragagem de areia grossa com draga de sucção e recalque - bomba de 483 kW e cortador de 55 kW - distância de recalque de 500 a 700 m</t>
  </si>
  <si>
    <t>1917333</t>
  </si>
  <si>
    <t>Dragagem de areia grossa com draga de sucção e recalque - bomba de 483 kW e cortador de 55 kW - distância de recalque de 700 a 900 m</t>
  </si>
  <si>
    <t>1917334</t>
  </si>
  <si>
    <t>Dragagem de areia grossa com draga de sucção e recalque - bomba de 483 kW e cortador de 55 kW - distância de recalque de 900 a 1.100 m</t>
  </si>
  <si>
    <t>1917331</t>
  </si>
  <si>
    <t>Dragagem de areia grossa com draga de sucção e recalque - bomba de 483 kW e cortador de 55 kW - distância de recalque de até 500 m</t>
  </si>
  <si>
    <t>1917443</t>
  </si>
  <si>
    <t>Dragagem de areia grossa com draga de sucção e recalque - bomba de 746 kW e cortador de 110 kW - distância de recalque de 1.100 a 1.300 m</t>
  </si>
  <si>
    <t>1917444</t>
  </si>
  <si>
    <t>Dragagem de areia grossa com draga de sucção e recalque - bomba de 746 kW e cortador de 110 kW - distância de recalque de 1.300 a 1.500 m</t>
  </si>
  <si>
    <t>1917445</t>
  </si>
  <si>
    <t>Dragagem de areia grossa com draga de sucção e recalque - bomba de 746 kW e cortador de 110 kW - distância de recalque de 1.500 a 1.700 m</t>
  </si>
  <si>
    <t>1917446</t>
  </si>
  <si>
    <t>Dragagem de areia grossa com draga de sucção e recalque - bomba de 746 kW e cortador de 110 kW - distância de recalque de 1.700 a 1.900 m</t>
  </si>
  <si>
    <t>1917447</t>
  </si>
  <si>
    <t>Dragagem de areia grossa com draga de sucção e recalque - bomba de 746 kW e cortador de 110 kW - distância de recalque de 1.900 a 2.100 m</t>
  </si>
  <si>
    <t>1917448</t>
  </si>
  <si>
    <t>Dragagem de areia grossa com draga de sucção e recalque - bomba de 746 kW e cortador de 110 kW - distância de recalque de 2.100 a 2.300 m</t>
  </si>
  <si>
    <t>1917449</t>
  </si>
  <si>
    <t>Dragagem de areia grossa com draga de sucção e recalque - bomba de 746 kW e cortador de 110 kW - distância de recalque de 2.300 a 2.500 m</t>
  </si>
  <si>
    <t>1917450</t>
  </si>
  <si>
    <t>Dragagem de areia grossa com draga de sucção e recalque - bomba de 746 kW e cortador de 110 kW - distância de recalque de 2.500 a 2.700 m</t>
  </si>
  <si>
    <t>1917451</t>
  </si>
  <si>
    <t>Dragagem de areia grossa com draga de sucção e recalque - bomba de 746 kW e cortador de 110 kW - distância de recalque de 2.700 a 2.900 m</t>
  </si>
  <si>
    <t>1917452</t>
  </si>
  <si>
    <t>Dragagem de areia grossa com draga de sucção e recalque - bomba de 746 kW e cortador de 110 kW - distância de recalque de 2.900 a 3.100 m</t>
  </si>
  <si>
    <t>1917453</t>
  </si>
  <si>
    <t>Dragagem de areia grossa com draga de sucção e recalque - bomba de 746 kW e cortador de 110 kW - distância de recalque de 3.100 a 3.300 m</t>
  </si>
  <si>
    <t>1917454</t>
  </si>
  <si>
    <t>Dragagem de areia grossa com draga de sucção e recalque - bomba de 746 kW e cortador de 110 kW - distância de recalque de 3.300 a 3.500 m</t>
  </si>
  <si>
    <t>1917455</t>
  </si>
  <si>
    <t>Dragagem de areia grossa com draga de sucção e recalque - bomba de 746 kW e cortador de 110 kW - distância de recalque de 3.500 a 3.700 m</t>
  </si>
  <si>
    <t>1917456</t>
  </si>
  <si>
    <t>Dragagem de areia grossa com draga de sucção e recalque - bomba de 746 kW e cortador de 110 kW - distância de recalque de 3.700 a 3.900 m</t>
  </si>
  <si>
    <t>1917457</t>
  </si>
  <si>
    <t>Dragagem de areia grossa com draga de sucção e recalque - bomba de 746 kW e cortador de 110 kW - distância de recalque de 3.900 a 4.100 m</t>
  </si>
  <si>
    <t>1917458</t>
  </si>
  <si>
    <t>Dragagem de areia grossa com draga de sucção e recalque - bomba de 746 kW e cortador de 110 kW - distância de recalque de 4.100 a 4.300 m</t>
  </si>
  <si>
    <t>1917459</t>
  </si>
  <si>
    <t>Dragagem de areia grossa com draga de sucção e recalque - bomba de 746 kW e cortador de 110 kW - distância de recalque de 4.300 a 4.500 m</t>
  </si>
  <si>
    <t>1917440</t>
  </si>
  <si>
    <t>Dragagem de areia grossa com draga de sucção e recalque - bomba de 746 kW e cortador de 110 kW - distância de recalque de 500 a 700 m</t>
  </si>
  <si>
    <t>1917441</t>
  </si>
  <si>
    <t>Dragagem de areia grossa com draga de sucção e recalque - bomba de 746 kW e cortador de 110 kW - distância de recalque de 700 a 900 m</t>
  </si>
  <si>
    <t>1917442</t>
  </si>
  <si>
    <t>Dragagem de areia grossa com draga de sucção e recalque - bomba de 746 kW e cortador de 110 kW - distância de recalque de 900 a 1.100 m</t>
  </si>
  <si>
    <t>1917734</t>
  </si>
  <si>
    <t>Dragagem de areia grossa com draga de sucção e recalque - bomba de 746 kW e cortador de 110 kW - distância de recalque de até 500 m</t>
  </si>
  <si>
    <t>1917055</t>
  </si>
  <si>
    <t>Dragagem de areia grossa com draga hopper - capacidade da cisterna de 1.000 m³ - DMT de 1.500 a 1.800 m</t>
  </si>
  <si>
    <t>1917056</t>
  </si>
  <si>
    <t>Dragagem de areia grossa com draga hopper - capacidade da cisterna de 1.000 m³ - DMT de 1.800 a 2.100 m</t>
  </si>
  <si>
    <t>1917057</t>
  </si>
  <si>
    <t>Dragagem de areia grossa com draga hopper - capacidade da cisterna de 1.000 m³ - DMT de 2.100 a 2.400 m</t>
  </si>
  <si>
    <t>1917058</t>
  </si>
  <si>
    <t>Dragagem de areia grossa com draga hopper - capacidade da cisterna de 1.000 m³ - DMT de 2.400 a 2.700 m</t>
  </si>
  <si>
    <t>1917059</t>
  </si>
  <si>
    <t>Dragagem de areia grossa com draga hopper - capacidade da cisterna de 1.000 m³ - DMT de 2.700 a 3.000 m</t>
  </si>
  <si>
    <t>1917060</t>
  </si>
  <si>
    <t>Dragagem de areia grossa com draga hopper - capacidade da cisterna de 1.000 m³ - DMT de 3.000 m</t>
  </si>
  <si>
    <t>1901536</t>
  </si>
  <si>
    <t>Dragagem de areia grossa com draga hopper - capacidade da cisterna de 10.000 m³ - DMT de 1.500 a 1.800 m</t>
  </si>
  <si>
    <t>1901537</t>
  </si>
  <si>
    <t>Dragagem de areia grossa com draga hopper - capacidade da cisterna de 10.000 m³ - DMT de 1.800 a 2.100 m</t>
  </si>
  <si>
    <t>1901538</t>
  </si>
  <si>
    <t>Dragagem de areia grossa com draga hopper - capacidade da cisterna de 10.000 m³ - DMT de 2.100 a 2.400 m</t>
  </si>
  <si>
    <t>1901539</t>
  </si>
  <si>
    <t>Dragagem de areia grossa com draga hopper - capacidade da cisterna de 10.000 m³ - DMT de 2.400 a 2.700 m</t>
  </si>
  <si>
    <t>1901540</t>
  </si>
  <si>
    <t>Dragagem de areia grossa com draga hopper - capacidade da cisterna de 10.000 m³ - DMT de 2.700 a 3.000 m</t>
  </si>
  <si>
    <t>1901535</t>
  </si>
  <si>
    <t>Dragagem de areia grossa com draga hopper - capacidade da cisterna de 10.000 m³ - DMT de 3.000 m</t>
  </si>
  <si>
    <t>1901542</t>
  </si>
  <si>
    <t>Dragagem de areia grossa com draga hopper - capacidade da cisterna de 15.000 m³ - DMT de 1.500 a 1.800 m</t>
  </si>
  <si>
    <t>1901543</t>
  </si>
  <si>
    <t>Dragagem de areia grossa com draga hopper - capacidade da cisterna de 15.000 m³ - DMT de 1.800 a 2.100 m</t>
  </si>
  <si>
    <t>1901544</t>
  </si>
  <si>
    <t>Dragagem de areia grossa com draga hopper - capacidade da cisterna de 15.000 m³ - DMT de 2.100 a 2.400 m</t>
  </si>
  <si>
    <t>1901545</t>
  </si>
  <si>
    <t>Dragagem de areia grossa com draga hopper - capacidade da cisterna de 15.000 m³ - DMT de 2.400 a 2.700 m</t>
  </si>
  <si>
    <t>1901546</t>
  </si>
  <si>
    <t>Dragagem de areia grossa com draga hopper - capacidade da cisterna de 15.000 m³ - DMT de 2.700 a 3.000 m</t>
  </si>
  <si>
    <t>1901541</t>
  </si>
  <si>
    <t>Dragagem de areia grossa com draga hopper - capacidade da cisterna de 15.000 m³ - DMT de 3.000 m</t>
  </si>
  <si>
    <t>1917091</t>
  </si>
  <si>
    <t>Dragagem de areia grossa com draga hopper - capacidade da cisterna de 2.000 m³ - DMT de 1.500 a 1.800 m</t>
  </si>
  <si>
    <t>1917092</t>
  </si>
  <si>
    <t>Dragagem de areia grossa com draga hopper - capacidade da cisterna de 2.000 m³ - DMT de 1.800 a 2.100 m</t>
  </si>
  <si>
    <t>1917093</t>
  </si>
  <si>
    <t>Dragagem de areia grossa com draga hopper - capacidade da cisterna de 2.000 m³ - DMT de 2.100 a 2.400 m</t>
  </si>
  <si>
    <t>1917094</t>
  </si>
  <si>
    <t>Dragagem de areia grossa com draga hopper - capacidade da cisterna de 2.000 m³ - DMT de 2.400 a 2.700 m</t>
  </si>
  <si>
    <t>1917095</t>
  </si>
  <si>
    <t>Dragagem de areia grossa com draga hopper - capacidade da cisterna de 2.000 m³ - DMT de 2.700 a 3.000 m</t>
  </si>
  <si>
    <t>1917096</t>
  </si>
  <si>
    <t>Dragagem de areia grossa com draga hopper - capacidade da cisterna de 2.000 m³ - DMT de 3.000 m</t>
  </si>
  <si>
    <t>1901548</t>
  </si>
  <si>
    <t>Dragagem de areia grossa com draga hopper - capacidade da cisterna de 20.000 m³ - DMT de 1.500 a 1.800 m</t>
  </si>
  <si>
    <t>1901549</t>
  </si>
  <si>
    <t>Dragagem de areia grossa com draga hopper - capacidade da cisterna de 20.000 m³ - DMT de 1.800 a 2.100 m</t>
  </si>
  <si>
    <t>1901550</t>
  </si>
  <si>
    <t>Dragagem de areia grossa com draga hopper - capacidade da cisterna de 20.000 m³ - DMT de 2.100 a 2.400 m</t>
  </si>
  <si>
    <t>1901551</t>
  </si>
  <si>
    <t>Dragagem de areia grossa com draga hopper - capacidade da cisterna de 20.000 m³ - DMT de 2.400 a 2.700 m</t>
  </si>
  <si>
    <t>1901552</t>
  </si>
  <si>
    <t>Dragagem de areia grossa com draga hopper - capacidade da cisterna de 20.000 m³ - DMT de 2.700 a 3.000 m</t>
  </si>
  <si>
    <t>1901547</t>
  </si>
  <si>
    <t>Dragagem de areia grossa com draga hopper - capacidade da cisterna de 20.000 m³ - DMT de 3.000 m</t>
  </si>
  <si>
    <t>1917127</t>
  </si>
  <si>
    <t>Dragagem de areia grossa com draga hopper - capacidade da cisterna de 3.000 m³ - DMT de 1.500 a 1.800 m</t>
  </si>
  <si>
    <t>1917128</t>
  </si>
  <si>
    <t>Dragagem de areia grossa com draga hopper - capacidade da cisterna de 3.000 m³ - DMT de 1.800 a 2.100 m</t>
  </si>
  <si>
    <t>1917129</t>
  </si>
  <si>
    <t>Dragagem de areia grossa com draga hopper - capacidade da cisterna de 3.000 m³ - DMT de 2.100 a 2.400 m</t>
  </si>
  <si>
    <t>1917130</t>
  </si>
  <si>
    <t>Dragagem de areia grossa com draga hopper - capacidade da cisterna de 3.000 m³ - DMT de 2.400 a 2.700 m</t>
  </si>
  <si>
    <t>1917131</t>
  </si>
  <si>
    <t>Dragagem de areia grossa com draga hopper - capacidade da cisterna de 3.000 m³ - DMT de 2.700 a 3.000 m</t>
  </si>
  <si>
    <t>1917132</t>
  </si>
  <si>
    <t>Dragagem de areia grossa com draga hopper - capacidade da cisterna de 3.000 m³ - DMT de 3.000 m</t>
  </si>
  <si>
    <t>1917163</t>
  </si>
  <si>
    <t>Dragagem de areia grossa com draga hopper - capacidade da cisterna de 4.000 m³ - DMT de 1.500 a 1.800 m</t>
  </si>
  <si>
    <t>1917164</t>
  </si>
  <si>
    <t>Dragagem de areia grossa com draga hopper - capacidade da cisterna de 4.000 m³ - DMT de 1.800 a 2.100 m</t>
  </si>
  <si>
    <t>1917165</t>
  </si>
  <si>
    <t>Dragagem de areia grossa com draga hopper - capacidade da cisterna de 4.000 m³ - DMT de 2.100 a 2.400 m</t>
  </si>
  <si>
    <t>1917166</t>
  </si>
  <si>
    <t>Dragagem de areia grossa com draga hopper - capacidade da cisterna de 4.000 m³ - DMT de 2.400 a 2.700 m</t>
  </si>
  <si>
    <t>1917167</t>
  </si>
  <si>
    <t>Dragagem de areia grossa com draga hopper - capacidade da cisterna de 4.000 m³ - DMT de 2.700 a 3.000 m</t>
  </si>
  <si>
    <t>1917168</t>
  </si>
  <si>
    <t>Dragagem de areia grossa com draga hopper - capacidade da cisterna de 4.000 m³ - DMT de 3.000 m</t>
  </si>
  <si>
    <t>1917199</t>
  </si>
  <si>
    <t>Dragagem de areia grossa com draga hopper - capacidade da cisterna de 5.000 m³ - DMT de 1.500 a 1.800 m</t>
  </si>
  <si>
    <t>1917200</t>
  </si>
  <si>
    <t>Dragagem de areia grossa com draga hopper - capacidade da cisterna de 5.000 m³ - DMT de 1.800 a 2.100 m</t>
  </si>
  <si>
    <t>1917201</t>
  </si>
  <si>
    <t>Dragagem de areia grossa com draga hopper - capacidade da cisterna de 5.000 m³ - DMT de 2.100 a 2.400 m</t>
  </si>
  <si>
    <t>1917202</t>
  </si>
  <si>
    <t>Dragagem de areia grossa com draga hopper - capacidade da cisterna de 5.000 m³ - DMT de 2.400 a 2.700 m</t>
  </si>
  <si>
    <t>1917203</t>
  </si>
  <si>
    <t>Dragagem de areia grossa com draga hopper - capacidade da cisterna de 5.000 m³ - DMT de 2.700 a 3.000 m</t>
  </si>
  <si>
    <t>1917204</t>
  </si>
  <si>
    <t>Dragagem de areia grossa com draga hopper - capacidade da cisterna de 5.000 m³ - DMT de 3.000 m</t>
  </si>
  <si>
    <t>1917019</t>
  </si>
  <si>
    <t>Dragagem de areia grossa com draga hopper - capacidade da cisterna de 750 m³ - DMT de 1.500 a 1.800 m</t>
  </si>
  <si>
    <t>1917020</t>
  </si>
  <si>
    <t>Dragagem de areia grossa com draga hopper - capacidade da cisterna de 750 m³ - DMT de 1.800 a 2.100 m</t>
  </si>
  <si>
    <t>1917021</t>
  </si>
  <si>
    <t>Dragagem de areia grossa com draga hopper - capacidade da cisterna de 750 m³ - DMT de 2.100 a 2.400 m</t>
  </si>
  <si>
    <t>1917022</t>
  </si>
  <si>
    <t>Dragagem de areia grossa com draga hopper - capacidade da cisterna de 750 m³ - DMT de 2.400 a 2.700 m</t>
  </si>
  <si>
    <t>1917023</t>
  </si>
  <si>
    <t>Dragagem de areia grossa com draga hopper - capacidade da cisterna de 750 m³ - DMT de 2.700 a 3.000 m</t>
  </si>
  <si>
    <t>1917024</t>
  </si>
  <si>
    <t>Dragagem de areia grossa com draga hopper - capacidade da cisterna de 750 m³ - DMT de 3.000 m</t>
  </si>
  <si>
    <t>1917541</t>
  </si>
  <si>
    <t>Dragagem de areia média com draga de sucção e recalque - bomba de 1.350 kW e cortador de 170 kW - distância de recalque de 1.100 a 1.300 m</t>
  </si>
  <si>
    <t>1917542</t>
  </si>
  <si>
    <t>Dragagem de areia média com draga de sucção e recalque - bomba de 1.350 kW e cortador de 170 kW - distância de recalque de 1.300 a 1.500 m</t>
  </si>
  <si>
    <t>1917543</t>
  </si>
  <si>
    <t>Dragagem de areia média com draga de sucção e recalque - bomba de 1.350 kW e cortador de 170 kW - distância de recalque de 1.500 a 1.700 m</t>
  </si>
  <si>
    <t>1917544</t>
  </si>
  <si>
    <t>Dragagem de areia média com draga de sucção e recalque - bomba de 1.350 kW e cortador de 170 kW - distância de recalque de 1.700 a 1.900 m</t>
  </si>
  <si>
    <t>1917545</t>
  </si>
  <si>
    <t>Dragagem de areia média com draga de sucção e recalque - bomba de 1.350 kW e cortador de 170 kW - distância de recalque de 1.900 a 2.100 m</t>
  </si>
  <si>
    <t>1917546</t>
  </si>
  <si>
    <t>Dragagem de areia média com draga de sucção e recalque - bomba de 1.350 kW e cortador de 170 kW - distância de recalque de 2.100 a 2.300 m</t>
  </si>
  <si>
    <t>1917547</t>
  </si>
  <si>
    <t>Dragagem de areia média com draga de sucção e recalque - bomba de 1.350 kW e cortador de 170 kW - distância de recalque de 2.300 a 2.500 m</t>
  </si>
  <si>
    <t>1917548</t>
  </si>
  <si>
    <t>Dragagem de areia média com draga de sucção e recalque - bomba de 1.350 kW e cortador de 170 kW - distância de recalque de 2.500 a 2.700 m</t>
  </si>
  <si>
    <t>1917549</t>
  </si>
  <si>
    <t>Dragagem de areia média com draga de sucção e recalque - bomba de 1.350 kW e cortador de 170 kW - distância de recalque de 2.700 a 2.900 m</t>
  </si>
  <si>
    <t>1917550</t>
  </si>
  <si>
    <t>Dragagem de areia média com draga de sucção e recalque - bomba de 1.350 kW e cortador de 170 kW - distância de recalque de 2.900 a 3.100 m</t>
  </si>
  <si>
    <t>1917551</t>
  </si>
  <si>
    <t>Dragagem de areia média com draga de sucção e recalque - bomba de 1.350 kW e cortador de 170 kW - distância de recalque de 3.100 a 3.300 m</t>
  </si>
  <si>
    <t>1917552</t>
  </si>
  <si>
    <t>Dragagem de areia média com draga de sucção e recalque - bomba de 1.350 kW e cortador de 170 kW - distância de recalque de 3.300 a 3.500 m</t>
  </si>
  <si>
    <t>1917553</t>
  </si>
  <si>
    <t>Dragagem de areia média com draga de sucção e recalque - bomba de 1.350 kW e cortador de 170 kW - distância de recalque de 3.500 a 3.700 m</t>
  </si>
  <si>
    <t>1917554</t>
  </si>
  <si>
    <t>Dragagem de areia média com draga de sucção e recalque - bomba de 1.350 kW e cortador de 170 kW - distância de recalque de 3.700 a 3.900 m</t>
  </si>
  <si>
    <t>1917555</t>
  </si>
  <si>
    <t>Dragagem de areia média com draga de sucção e recalque - bomba de 1.350 kW e cortador de 170 kW - distância de recalque de 3.900 a 4.100 m</t>
  </si>
  <si>
    <t>1917556</t>
  </si>
  <si>
    <t>Dragagem de areia média com draga de sucção e recalque - bomba de 1.350 kW e cortador de 170 kW - distância de recalque de 4.100 a 4.300 m</t>
  </si>
  <si>
    <t>1917557</t>
  </si>
  <si>
    <t>Dragagem de areia média com draga de sucção e recalque - bomba de 1.350 kW e cortador de 170 kW - distância de recalque de 4.300 a 4.500 m</t>
  </si>
  <si>
    <t>1917558</t>
  </si>
  <si>
    <t>Dragagem de areia média com draga de sucção e recalque - bomba de 1.350 kW e cortador de 170 kW - distância de recalque de 4.500 a 4.700 m</t>
  </si>
  <si>
    <t>1917559</t>
  </si>
  <si>
    <t>Dragagem de areia média com draga de sucção e recalque - bomba de 1.350 kW e cortador de 170 kW - distância de recalque de 4.700 a 4.900 m</t>
  </si>
  <si>
    <t>1917560</t>
  </si>
  <si>
    <t>Dragagem de areia média com draga de sucção e recalque - bomba de 1.350 kW e cortador de 170 kW - distância de recalque de 4.900 a 5.100 m</t>
  </si>
  <si>
    <t>1917561</t>
  </si>
  <si>
    <t>Dragagem de areia média com draga de sucção e recalque - bomba de 1.350 kW e cortador de 170 kW - distância de recalque de 5.100 a 5.300 m</t>
  </si>
  <si>
    <t>1917562</t>
  </si>
  <si>
    <t>Dragagem de areia média com draga de sucção e recalque - bomba de 1.350 kW e cortador de 170 kW - distância de recalque de 5.300 a 5.500 m</t>
  </si>
  <si>
    <t>1917563</t>
  </si>
  <si>
    <t>Dragagem de areia média com draga de sucção e recalque - bomba de 1.350 kW e cortador de 170 kW - distância de recalque de 5.500 a 5.700 m</t>
  </si>
  <si>
    <t>1917564</t>
  </si>
  <si>
    <t>Dragagem de areia média com draga de sucção e recalque - bomba de 1.350 kW e cortador de 170 kW - distância de recalque de 5.700 a 5.900 m</t>
  </si>
  <si>
    <t>1917565</t>
  </si>
  <si>
    <t>Dragagem de areia média com draga de sucção e recalque - bomba de 1.350 kW e cortador de 170 kW - distância de recalque de 5.900 a 6.100 m</t>
  </si>
  <si>
    <t>1917538</t>
  </si>
  <si>
    <t>Dragagem de areia média com draga de sucção e recalque - bomba de 1.350 kW e cortador de 170 kW - distância de recalque de 500 a 700 m</t>
  </si>
  <si>
    <t>1917566</t>
  </si>
  <si>
    <t>Dragagem de areia média com draga de sucção e recalque - bomba de 1.350 kW e cortador de 170 kW - distância de recalque de 6.100 a 6.300 m</t>
  </si>
  <si>
    <t>1917567</t>
  </si>
  <si>
    <t>Dragagem de areia média com draga de sucção e recalque - bomba de 1.350 kW e cortador de 170 kW - distância de recalque de 6.300 a 6.500 m</t>
  </si>
  <si>
    <t>1917568</t>
  </si>
  <si>
    <t>Dragagem de areia média com draga de sucção e recalque - bomba de 1.350 kW e cortador de 170 kW - distância de recalque de 6.500 a 6.700 m</t>
  </si>
  <si>
    <t>1917569</t>
  </si>
  <si>
    <t>Dragagem de areia média com draga de sucção e recalque - bomba de 1.350 kW e cortador de 170 kW - distância de recalque de 6.700 a 6.900 m</t>
  </si>
  <si>
    <t>1917570</t>
  </si>
  <si>
    <t>Dragagem de areia média com draga de sucção e recalque - bomba de 1.350 kW e cortador de 170 kW - distância de recalque de 6.900 a 7.100 m</t>
  </si>
  <si>
    <t>1917571</t>
  </si>
  <si>
    <t>Dragagem de areia média com draga de sucção e recalque - bomba de 1.350 kW e cortador de 170 kW - distância de recalque de 7.100 a 7.300 m</t>
  </si>
  <si>
    <t>1917572</t>
  </si>
  <si>
    <t>Dragagem de areia média com draga de sucção e recalque - bomba de 1.350 kW e cortador de 170 kW - distância de recalque de 7.300 a 7.500 m</t>
  </si>
  <si>
    <t>1917573</t>
  </si>
  <si>
    <t>Dragagem de areia média com draga de sucção e recalque - bomba de 1.350 kW e cortador de 170 kW - distância de recalque de 7.500 a 7.700 m</t>
  </si>
  <si>
    <t>1917574</t>
  </si>
  <si>
    <t>Dragagem de areia média com draga de sucção e recalque - bomba de 1.350 kW e cortador de 170 kW - distância de recalque de 7.700 a 7.900 m</t>
  </si>
  <si>
    <t>1917539</t>
  </si>
  <si>
    <t>Dragagem de areia média com draga de sucção e recalque - bomba de 1.350 kW e cortador de 170 kW - distância de recalque de 700 a 900 m</t>
  </si>
  <si>
    <t>1917540</t>
  </si>
  <si>
    <t>Dragagem de areia média com draga de sucção e recalque - bomba de 1.350 kW e cortador de 170 kW - distância de recalque de 900 a 1.100 m</t>
  </si>
  <si>
    <t>1917738</t>
  </si>
  <si>
    <t>Dragagem de areia média com draga de sucção e recalque - bomba de 1.350 kW e cortador de 170 kW - distância de recalque de até 500 m</t>
  </si>
  <si>
    <t>1917238</t>
  </si>
  <si>
    <t>Dragagem de areia média com draga de sucção e recalque - bomba de 294 kW e cortador de 30 kW - distância de recalque de 1.100 a 1.300 m</t>
  </si>
  <si>
    <t>1917239</t>
  </si>
  <si>
    <t>Dragagem de areia média com draga de sucção e recalque - bomba de 294 kW e cortador de 30 kW - distância de recalque de 1.300 a 1.500 m</t>
  </si>
  <si>
    <t>1917240</t>
  </si>
  <si>
    <t>Dragagem de areia média com draga de sucção e recalque - bomba de 294 kW e cortador de 30 kW - distância de recalque de 1.500 a 1.700 m</t>
  </si>
  <si>
    <t>1917241</t>
  </si>
  <si>
    <t>Dragagem de areia média com draga de sucção e recalque - bomba de 294 kW e cortador de 30 kW - distância de recalque de 1.700 a 1.900 m</t>
  </si>
  <si>
    <t>1917242</t>
  </si>
  <si>
    <t>Dragagem de areia média com draga de sucção e recalque - bomba de 294 kW e cortador de 30 kW - distância de recalque de 1.900 a 2.100 m</t>
  </si>
  <si>
    <t>1917243</t>
  </si>
  <si>
    <t>Dragagem de areia média com draga de sucção e recalque - bomba de 294 kW e cortador de 30 kW - distância de recalque de 2.100 a 2.300 m</t>
  </si>
  <si>
    <t>1917244</t>
  </si>
  <si>
    <t>Dragagem de areia média com draga de sucção e recalque - bomba de 294 kW e cortador de 30 kW - distância de recalque de 2.300 a 2.500 m</t>
  </si>
  <si>
    <t>1917245</t>
  </si>
  <si>
    <t>Dragagem de areia média com draga de sucção e recalque - bomba de 294 kW e cortador de 30 kW - distância de recalque de 2.500 a 2.700 m</t>
  </si>
  <si>
    <t>1917246</t>
  </si>
  <si>
    <t>Dragagem de areia média com draga de sucção e recalque - bomba de 294 kW e cortador de 30 kW - distância de recalque de 2.700 a 2.900 m</t>
  </si>
  <si>
    <t>1917247</t>
  </si>
  <si>
    <t>Dragagem de areia média com draga de sucção e recalque - bomba de 294 kW e cortador de 30 kW - distância de recalque de 2.900 a 3.100 m</t>
  </si>
  <si>
    <t>1917248</t>
  </si>
  <si>
    <t>Dragagem de areia média com draga de sucção e recalque - bomba de 294 kW e cortador de 30 kW - distância de recalque de 3.100 a 3.300 m</t>
  </si>
  <si>
    <t>1917249</t>
  </si>
  <si>
    <t>Dragagem de areia média com draga de sucção e recalque - bomba de 294 kW e cortador de 30 kW - distância de recalque de 3.300 a 3.500 m</t>
  </si>
  <si>
    <t>1917235</t>
  </si>
  <si>
    <t>Dragagem de areia média com draga de sucção e recalque - bomba de 294 kW e cortador de 30 kW - distância de recalque de 500 a 700 m</t>
  </si>
  <si>
    <t>1917236</t>
  </si>
  <si>
    <t>Dragagem de areia média com draga de sucção e recalque - bomba de 294 kW e cortador de 30 kW - distância de recalque de 700 a 900 m</t>
  </si>
  <si>
    <t>1917237</t>
  </si>
  <si>
    <t>Dragagem de areia média com draga de sucção e recalque - bomba de 294 kW e cortador de 30 kW - distância de recalque de 900 a 1.100 m</t>
  </si>
  <si>
    <t>1917725</t>
  </si>
  <si>
    <t>Dragagem de areia média com draga de sucção e recalque - bomba de 294 kW e cortador de 30 kW - distância de recalque de até 500 m</t>
  </si>
  <si>
    <t>1917311</t>
  </si>
  <si>
    <t>Dragagem de areia média com draga de sucção e recalque - bomba de 483 kW e cortador de 55 kW - distância de recalque de 1.100 a 1.300 m</t>
  </si>
  <si>
    <t>1917312</t>
  </si>
  <si>
    <t>Dragagem de areia média com draga de sucção e recalque - bomba de 483 kW e cortador de 55 kW - distância de recalque de 1.300 a 1.500 m</t>
  </si>
  <si>
    <t>1917313</t>
  </si>
  <si>
    <t>Dragagem de areia média com draga de sucção e recalque - bomba de 483 kW e cortador de 55 kW - distância de recalque de 1.500 a 1.700 m</t>
  </si>
  <si>
    <t>1917314</t>
  </si>
  <si>
    <t>Dragagem de areia média com draga de sucção e recalque - bomba de 483 kW e cortador de 55 kW - distância de recalque de 1.700 a 1.900 m</t>
  </si>
  <si>
    <t>1917315</t>
  </si>
  <si>
    <t>Dragagem de areia média com draga de sucção e recalque - bomba de 483 kW e cortador de 55 kW - distância de recalque de 1.900 a 2.100 m</t>
  </si>
  <si>
    <t>1917316</t>
  </si>
  <si>
    <t>Dragagem de areia média com draga de sucção e recalque - bomba de 483 kW e cortador de 55 kW - distância de recalque de 2.100 a 2.300 m</t>
  </si>
  <si>
    <t>1917317</t>
  </si>
  <si>
    <t>Dragagem de areia média com draga de sucção e recalque - bomba de 483 kW e cortador de 55 kW - distância de recalque de 2.300 a 2.500 m</t>
  </si>
  <si>
    <t>1917318</t>
  </si>
  <si>
    <t>Dragagem de areia média com draga de sucção e recalque - bomba de 483 kW e cortador de 55 kW - distância de recalque de 2.500 a 2.700 m</t>
  </si>
  <si>
    <t>1917319</t>
  </si>
  <si>
    <t>Dragagem de areia média com draga de sucção e recalque - bomba de 483 kW e cortador de 55 kW - distância de recalque de 2.700 a 2.900 m</t>
  </si>
  <si>
    <t>1917320</t>
  </si>
  <si>
    <t>Dragagem de areia média com draga de sucção e recalque - bomba de 483 kW e cortador de 55 kW - distância de recalque de 2.900 a 3.100 m</t>
  </si>
  <si>
    <t>1917321</t>
  </si>
  <si>
    <t>Dragagem de areia média com draga de sucção e recalque - bomba de 483 kW e cortador de 55 kW - distância de recalque de 3.100 a 3.300 m</t>
  </si>
  <si>
    <t>1917322</t>
  </si>
  <si>
    <t>Dragagem de areia média com draga de sucção e recalque - bomba de 483 kW e cortador de 55 kW - distância de recalque de 3.300 a 3.500 m</t>
  </si>
  <si>
    <t>1917323</t>
  </si>
  <si>
    <t>Dragagem de areia média com draga de sucção e recalque - bomba de 483 kW e cortador de 55 kW - distância de recalque de 3.500 a 3.700 m</t>
  </si>
  <si>
    <t>1917324</t>
  </si>
  <si>
    <t>Dragagem de areia média com draga de sucção e recalque - bomba de 483 kW e cortador de 55 kW - distância de recalque de 3.700 a 3.900 m</t>
  </si>
  <si>
    <t>1917325</t>
  </si>
  <si>
    <t>Dragagem de areia média com draga de sucção e recalque - bomba de 483 kW e cortador de 55 kW - distância de recalque de 3.900 a 4.100 m</t>
  </si>
  <si>
    <t>1917326</t>
  </si>
  <si>
    <t>Dragagem de areia média com draga de sucção e recalque - bomba de 483 kW e cortador de 55 kW - distância de recalque de 4.100 a 4.300 m</t>
  </si>
  <si>
    <t>1917327</t>
  </si>
  <si>
    <t>Dragagem de areia média com draga de sucção e recalque - bomba de 483 kW e cortador de 55 kW - distância de recalque de 4.300 a 4.500 m</t>
  </si>
  <si>
    <t>1917328</t>
  </si>
  <si>
    <t>Dragagem de areia média com draga de sucção e recalque - bomba de 483 kW e cortador de 55 kW - distância de recalque de 4.500 a 4.700 m</t>
  </si>
  <si>
    <t>1917329</t>
  </si>
  <si>
    <t>Dragagem de areia média com draga de sucção e recalque - bomba de 483 kW e cortador de 55 kW - distância de recalque de 4.700 a 4.900 m</t>
  </si>
  <si>
    <t>1917330</t>
  </si>
  <si>
    <t>Dragagem de areia média com draga de sucção e recalque - bomba de 483 kW e cortador de 55 kW - distância de recalque de 4.900 a 5.100 m</t>
  </si>
  <si>
    <t>1917308</t>
  </si>
  <si>
    <t>Dragagem de areia média com draga de sucção e recalque - bomba de 483 kW e cortador de 55 kW - distância de recalque de 500 a 700 m</t>
  </si>
  <si>
    <t>1917309</t>
  </si>
  <si>
    <t>Dragagem de areia média com draga de sucção e recalque - bomba de 483 kW e cortador de 55 kW - distância de recalque de 700 a 900 m</t>
  </si>
  <si>
    <t>1917310</t>
  </si>
  <si>
    <t>Dragagem de areia média com draga de sucção e recalque - bomba de 483 kW e cortador de 55 kW - distância de recalque de 900 a 1.100 m</t>
  </si>
  <si>
    <t>1917730</t>
  </si>
  <si>
    <t>Dragagem de areia média com draga de sucção e recalque - bomba de 483 kW e cortador de 55 kW - distância de recalque de até 500 m</t>
  </si>
  <si>
    <t>1917415</t>
  </si>
  <si>
    <t>Dragagem de areia média com draga de sucção e recalque - bomba de 746 kW e cortador de 110 kW - distância de recalque de 1.100 a 1.300 m</t>
  </si>
  <si>
    <t>1917416</t>
  </si>
  <si>
    <t>Dragagem de areia média com draga de sucção e recalque - bomba de 746 kW e cortador de 110 kW - distância de recalque de 1.300 a 1.500 m</t>
  </si>
  <si>
    <t>1917417</t>
  </si>
  <si>
    <t>Dragagem de areia média com draga de sucção e recalque - bomba de 746 kW e cortador de 110 kW - distância de recalque de 1.500 a 1.700 m</t>
  </si>
  <si>
    <t>1917418</t>
  </si>
  <si>
    <t>Dragagem de areia média com draga de sucção e recalque - bomba de 746 kW e cortador de 110 kW - distância de recalque de 1.700 a 1.900 m</t>
  </si>
  <si>
    <t>1917419</t>
  </si>
  <si>
    <t>Dragagem de areia média com draga de sucção e recalque - bomba de 746 kW e cortador de 110 kW - distância de recalque de 1.900 a 2.100 m</t>
  </si>
  <si>
    <t>1917420</t>
  </si>
  <si>
    <t>Dragagem de areia média com draga de sucção e recalque - bomba de 746 kW e cortador de 110 kW - distância de recalque de 2.100 a 2.300 m</t>
  </si>
  <si>
    <t>1917421</t>
  </si>
  <si>
    <t>Dragagem de areia média com draga de sucção e recalque - bomba de 746 kW e cortador de 110 kW - distância de recalque de 2.300 a 2.500 m</t>
  </si>
  <si>
    <t>1917422</t>
  </si>
  <si>
    <t>Dragagem de areia média com draga de sucção e recalque - bomba de 746 kW e cortador de 110 kW - distância de recalque de 2.500 a 2.700 m</t>
  </si>
  <si>
    <t>1917423</t>
  </si>
  <si>
    <t>Dragagem de areia média com draga de sucção e recalque - bomba de 746 kW e cortador de 110 kW - distância de recalque de 2.700 a 2.900 m</t>
  </si>
  <si>
    <t>1917424</t>
  </si>
  <si>
    <t>Dragagem de areia média com draga de sucção e recalque - bomba de 746 kW e cortador de 110 kW - distância de recalque de 2.900 a 3.100 m</t>
  </si>
  <si>
    <t>1917425</t>
  </si>
  <si>
    <t>Dragagem de areia média com draga de sucção e recalque - bomba de 746 kW e cortador de 110 kW - distância de recalque de 3.100 a 3.300 m</t>
  </si>
  <si>
    <t>1917426</t>
  </si>
  <si>
    <t>Dragagem de areia média com draga de sucção e recalque - bomba de 746 kW e cortador de 110 kW - distância de recalque de 3.300 a 3.500 m</t>
  </si>
  <si>
    <t>1917427</t>
  </si>
  <si>
    <t>Dragagem de areia média com draga de sucção e recalque - bomba de 746 kW e cortador de 110 kW - distância de recalque de 3.500 a 3.700 m</t>
  </si>
  <si>
    <t>1917428</t>
  </si>
  <si>
    <t>Dragagem de areia média com draga de sucção e recalque - bomba de 746 kW e cortador de 110 kW - distância de recalque de 3.700 a 3.900 m</t>
  </si>
  <si>
    <t>1917429</t>
  </si>
  <si>
    <t>Dragagem de areia média com draga de sucção e recalque - bomba de 746 kW e cortador de 110 kW - distância de recalque de 3.900 a 4.100 m</t>
  </si>
  <si>
    <t>1917430</t>
  </si>
  <si>
    <t>Dragagem de areia média com draga de sucção e recalque - bomba de 746 kW e cortador de 110 kW - distância de recalque de 4.100 a 4.300 m</t>
  </si>
  <si>
    <t>1917431</t>
  </si>
  <si>
    <t>Dragagem de areia média com draga de sucção e recalque - bomba de 746 kW e cortador de 110 kW - distância de recalque de 4.300 a 4.500 m</t>
  </si>
  <si>
    <t>1917432</t>
  </si>
  <si>
    <t>Dragagem de areia média com draga de sucção e recalque - bomba de 746 kW e cortador de 110 kW - distância de recalque de 4.500 a 4.700 m</t>
  </si>
  <si>
    <t>1917433</t>
  </si>
  <si>
    <t>Dragagem de areia média com draga de sucção e recalque - bomba de 746 kW e cortador de 110 kW - distância de recalque de 4.700 a 4.900 m</t>
  </si>
  <si>
    <t>1917434</t>
  </si>
  <si>
    <t>Dragagem de areia média com draga de sucção e recalque - bomba de 746 kW e cortador de 110 kW - distância de recalque de 4.900 a 5.100 m</t>
  </si>
  <si>
    <t>1917435</t>
  </si>
  <si>
    <t>Dragagem de areia média com draga de sucção e recalque - bomba de 746 kW e cortador de 110 kW - distância de recalque de 5.100 a 5.300 m</t>
  </si>
  <si>
    <t>1917436</t>
  </si>
  <si>
    <t>Dragagem de areia média com draga de sucção e recalque - bomba de 746 kW e cortador de 110 kW - distância de recalque de 5.300 a 5.500 m</t>
  </si>
  <si>
    <t>1917437</t>
  </si>
  <si>
    <t>Dragagem de areia média com draga de sucção e recalque - bomba de 746 kW e cortador de 110 kW - distância de recalque de 5.500 a 5.700 m</t>
  </si>
  <si>
    <t>1917438</t>
  </si>
  <si>
    <t>Dragagem de areia média com draga de sucção e recalque - bomba de 746 kW e cortador de 110 kW - distância de recalque de 5.700 a 5.900 m</t>
  </si>
  <si>
    <t>1917439</t>
  </si>
  <si>
    <t>Dragagem de areia média com draga de sucção e recalque - bomba de 746 kW e cortador de 110 kW - distância de recalque de 5.900 a 6.100 m</t>
  </si>
  <si>
    <t>1917412</t>
  </si>
  <si>
    <t>Dragagem de areia média com draga de sucção e recalque - bomba de 746 kW e cortador de 110 kW - distância de recalque de 500 a 700 m</t>
  </si>
  <si>
    <t>1917413</t>
  </si>
  <si>
    <t>Dragagem de areia média com draga de sucção e recalque - bomba de 746 kW e cortador de 110 kW - distância de recalque de 700 a 900 m</t>
  </si>
  <si>
    <t>1917414</t>
  </si>
  <si>
    <t>Dragagem de areia média com draga de sucção e recalque - bomba de 746 kW e cortador de 110 kW - distância de recalque de 900 a 1.100 m</t>
  </si>
  <si>
    <t>1917733</t>
  </si>
  <si>
    <t>Dragagem de areia média com draga de sucção e recalque - bomba de 746 kW e cortador de 110 kW - distância de recalque de até 500 m</t>
  </si>
  <si>
    <t>1917049</t>
  </si>
  <si>
    <t>Dragagem de areia média com draga hopper - capacidade da cisterna de 1.000 m³ - DMT de 1.500 a 1.800 m</t>
  </si>
  <si>
    <t>1917050</t>
  </si>
  <si>
    <t>Dragagem de areia média com draga hopper - capacidade da cisterna de 1.000 m³ - DMT de 1.800 a 2.100 m</t>
  </si>
  <si>
    <t>1917051</t>
  </si>
  <si>
    <t>Dragagem de areia média com draga hopper - capacidade da cisterna de 1.000 m³ - DMT de 2.100 a 2.400 m</t>
  </si>
  <si>
    <t>1917052</t>
  </si>
  <si>
    <t>Dragagem de areia média com draga hopper - capacidade da cisterna de 1.000 m³ - DMT de 2.400 a 2.700 m</t>
  </si>
  <si>
    <t>1917053</t>
  </si>
  <si>
    <t>Dragagem de areia média com draga hopper - capacidade da cisterna de 1.000 m³ - DMT de 2.700 a 3.000 m</t>
  </si>
  <si>
    <t>1917054</t>
  </si>
  <si>
    <t>Dragagem de areia média com draga hopper - capacidade da cisterna de 1.000 m³ - DMT de 3.000 m</t>
  </si>
  <si>
    <t>1901553</t>
  </si>
  <si>
    <t>Dragagem de areia média com draga hopper - capacidade da cisterna de 10.000 m³ - DMT de 1.500 a 1.800 m</t>
  </si>
  <si>
    <t>1901554</t>
  </si>
  <si>
    <t>Dragagem de areia média com draga hopper - capacidade da cisterna de 10.000 m³ - DMT de 1.800 a 2.100 m</t>
  </si>
  <si>
    <t>1901555</t>
  </si>
  <si>
    <t>Dragagem de areia média com draga hopper - capacidade da cisterna de 10.000 m³ - DMT de 2.100 a 2.400 m</t>
  </si>
  <si>
    <t>1901556</t>
  </si>
  <si>
    <t>Dragagem de areia média com draga hopper - capacidade da cisterna de 10.000 m³ - DMT de 2.400 a 2.700 m</t>
  </si>
  <si>
    <t>1901557</t>
  </si>
  <si>
    <t>Dragagem de areia média com draga hopper - capacidade da cisterna de 10.000 m³ - DMT de 2.700 a 3.000 m</t>
  </si>
  <si>
    <t>1901558</t>
  </si>
  <si>
    <t>Dragagem de areia média com draga hopper - capacidade da cisterna de 10.000 m³ - DMT de 3.000 m</t>
  </si>
  <si>
    <t>1901560</t>
  </si>
  <si>
    <t>Dragagem de areia média com draga hopper - capacidade da cisterna de 15.000 m³ - DMT de 1.500 a 1.800 m</t>
  </si>
  <si>
    <t>1901561</t>
  </si>
  <si>
    <t>Dragagem de areia média com draga hopper - capacidade da cisterna de 15.000 m³ - DMT de 1.800 a 2.100 m</t>
  </si>
  <si>
    <t>1901562</t>
  </si>
  <si>
    <t>Dragagem de areia média com draga hopper - capacidade da cisterna de 15.000 m³ - DMT de 2.100 a 2.400 m</t>
  </si>
  <si>
    <t>1901563</t>
  </si>
  <si>
    <t>Dragagem de areia média com draga hopper - capacidade da cisterna de 15.000 m³ - DMT de 2.400 a 2.700 m</t>
  </si>
  <si>
    <t>1901564</t>
  </si>
  <si>
    <t>Dragagem de areia média com draga hopper - capacidade da cisterna de 15.000 m³ - DMT de 2.700 a 3.000 m</t>
  </si>
  <si>
    <t>1901559</t>
  </si>
  <si>
    <t>Dragagem de areia média com draga hopper - capacidade da cisterna de 15.000 m³ - DMT de 3.000 m</t>
  </si>
  <si>
    <t>1917085</t>
  </si>
  <si>
    <t>Dragagem de areia média com draga hopper - capacidade da cisterna de 2.000 m³ - DMT de 1.500 a 1.800 m</t>
  </si>
  <si>
    <t>1917086</t>
  </si>
  <si>
    <t>Dragagem de areia média com draga hopper - capacidade da cisterna de 2.000 m³ - DMT de 1.800 a 2.100 m</t>
  </si>
  <si>
    <t>1917087</t>
  </si>
  <si>
    <t>Dragagem de areia média com draga hopper - capacidade da cisterna de 2.000 m³ - DMT de 2.100 a 2.400 m</t>
  </si>
  <si>
    <t>1917088</t>
  </si>
  <si>
    <t>Dragagem de areia média com draga hopper - capacidade da cisterna de 2.000 m³ - DMT de 2.400 a 2.700 m</t>
  </si>
  <si>
    <t>1917089</t>
  </si>
  <si>
    <t>Dragagem de areia média com draga hopper - capacidade da cisterna de 2.000 m³ - DMT de 2.700 a 3.000 m</t>
  </si>
  <si>
    <t>1917090</t>
  </si>
  <si>
    <t>Dragagem de areia média com draga hopper - capacidade da cisterna de 2.000 m³ - DMT de 3.000 m</t>
  </si>
  <si>
    <t>1901566</t>
  </si>
  <si>
    <t>Dragagem de areia média com draga hopper - capacidade da cisterna de 20.000 m³ - DMT de 1.500 a 1.800 m</t>
  </si>
  <si>
    <t>1901567</t>
  </si>
  <si>
    <t>Dragagem de areia média com draga hopper - capacidade da cisterna de 20.000 m³ - DMT de 1.800 a 2.100 m</t>
  </si>
  <si>
    <t>1901568</t>
  </si>
  <si>
    <t>Dragagem de areia média com draga hopper - capacidade da cisterna de 20.000 m³ - DMT de 2.100 a 2.400 m</t>
  </si>
  <si>
    <t>1901569</t>
  </si>
  <si>
    <t>Dragagem de areia média com draga hopper - capacidade da cisterna de 20.000 m³ - DMT de 2.400 a 2.700 m</t>
  </si>
  <si>
    <t>1901570</t>
  </si>
  <si>
    <t>Dragagem de areia média com draga hopper - capacidade da cisterna de 20.000 m³ - DMT de 2.700 a 3.000 m</t>
  </si>
  <si>
    <t>1901565</t>
  </si>
  <si>
    <t>Dragagem de areia média com draga hopper - capacidade da cisterna de 20.000 m³ - DMT de 3.000 m</t>
  </si>
  <si>
    <t>1917121</t>
  </si>
  <si>
    <t>Dragagem de areia média com draga hopper - capacidade da cisterna de 3.000 m³ - DMT de 1.500 a 1.800 m</t>
  </si>
  <si>
    <t>1917122</t>
  </si>
  <si>
    <t>Dragagem de areia média com draga hopper - capacidade da cisterna de 3.000 m³ - DMT de 1.800 a 2.100 m</t>
  </si>
  <si>
    <t>1917123</t>
  </si>
  <si>
    <t>Dragagem de areia média com draga hopper - capacidade da cisterna de 3.000 m³ - DMT de 2.100 a 2.400 m</t>
  </si>
  <si>
    <t>1917124</t>
  </si>
  <si>
    <t>Dragagem de areia média com draga hopper - capacidade da cisterna de 3.000 m³ - DMT de 2.400 a 2.700 m</t>
  </si>
  <si>
    <t>1917125</t>
  </si>
  <si>
    <t>Dragagem de areia média com draga hopper - capacidade da cisterna de 3.000 m³ - DMT de 2.700 a 3.000 m</t>
  </si>
  <si>
    <t>1917126</t>
  </si>
  <si>
    <t>Dragagem de areia média com draga hopper - capacidade da cisterna de 3.000 m³ - DMT de 3.000 m</t>
  </si>
  <si>
    <t>1917157</t>
  </si>
  <si>
    <t>Dragagem de areia média com draga hopper - capacidade da cisterna de 4.000 m³ - DMT de 1.500 a 1.800 m</t>
  </si>
  <si>
    <t>1917158</t>
  </si>
  <si>
    <t>Dragagem de areia média com draga hopper - capacidade da cisterna de 4.000 m³ - DMT de 1.800 a 2.100 m</t>
  </si>
  <si>
    <t>1917159</t>
  </si>
  <si>
    <t>Dragagem de areia média com draga hopper - capacidade da cisterna de 4.000 m³ - DMT de 2.100 a 2.400 m</t>
  </si>
  <si>
    <t>1917160</t>
  </si>
  <si>
    <t>Dragagem de areia média com draga hopper - capacidade da cisterna de 4.000 m³ - DMT de 2.400 a 2.700 m</t>
  </si>
  <si>
    <t>1917161</t>
  </si>
  <si>
    <t>Dragagem de areia média com draga hopper - capacidade da cisterna de 4.000 m³ - DMT de 2.700 a 3.000 m</t>
  </si>
  <si>
    <t>1917162</t>
  </si>
  <si>
    <t>Dragagem de areia média com draga hopper - capacidade da cisterna de 4.000 m³ - DMT de 3.000 m</t>
  </si>
  <si>
    <t>1917193</t>
  </si>
  <si>
    <t>Dragagem de areia média com draga hopper - capacidade da cisterna de 5.000 m³ - DMT de 1.500 a 1.800 m</t>
  </si>
  <si>
    <t>1917194</t>
  </si>
  <si>
    <t>Dragagem de areia média com draga hopper - capacidade da cisterna de 5.000 m³ - DMT de 1.800 a 2.100 m</t>
  </si>
  <si>
    <t>1917195</t>
  </si>
  <si>
    <t>Dragagem de areia média com draga hopper - capacidade da cisterna de 5.000 m³ - DMT de 2.100 a 2.400 m</t>
  </si>
  <si>
    <t>1917196</t>
  </si>
  <si>
    <t>Dragagem de areia média com draga hopper - capacidade da cisterna de 5.000 m³ - DMT de 2.400 a 2.700 m</t>
  </si>
  <si>
    <t>1917197</t>
  </si>
  <si>
    <t>Dragagem de areia média com draga hopper - capacidade da cisterna de 5.000 m³ - DMT de 2.700 a 3.000 m</t>
  </si>
  <si>
    <t>1917198</t>
  </si>
  <si>
    <t>Dragagem de areia média com draga hopper - capacidade da cisterna de 5.000 m³ - DMT de 3.000 m</t>
  </si>
  <si>
    <t>1917013</t>
  </si>
  <si>
    <t>Dragagem de areia média com draga hopper - capacidade da cisterna de 750 m³ - DMT de 1.500 a 1.800 m</t>
  </si>
  <si>
    <t>1917014</t>
  </si>
  <si>
    <t>Dragagem de areia média com draga hopper - capacidade da cisterna de 750 m³ - DMT de 1.800 a 2.100 m</t>
  </si>
  <si>
    <t>1917015</t>
  </si>
  <si>
    <t>Dragagem de areia média com draga hopper - capacidade da cisterna de 750 m³ - DMT de 2.100 a 2.400 m</t>
  </si>
  <si>
    <t>1917016</t>
  </si>
  <si>
    <t>Dragagem de areia média com draga hopper - capacidade da cisterna de 750 m³ - DMT de 2.400 a 2.700 m</t>
  </si>
  <si>
    <t>1917017</t>
  </si>
  <si>
    <t>Dragagem de areia média com draga hopper - capacidade da cisterna de 750 m³ - DMT de 2.700 a 3.000 m</t>
  </si>
  <si>
    <t>1917018</t>
  </si>
  <si>
    <t>Dragagem de areia média com draga hopper - capacidade da cisterna de 750 m³ - DMT de 3.000 m</t>
  </si>
  <si>
    <t>1917623</t>
  </si>
  <si>
    <t>Dragagem de cascalho com draga de sucção e recalque - bomba de 1.350 kW e cortador de 170 kW - distância de recalque de 1.100 a 1.300 m</t>
  </si>
  <si>
    <t>1917624</t>
  </si>
  <si>
    <t>Dragagem de cascalho com draga de sucção e recalque - bomba de 1.350 kW e cortador de 170 kW - distância de recalque de 1.300 a 1.500 m</t>
  </si>
  <si>
    <t>1917625</t>
  </si>
  <si>
    <t>Dragagem de cascalho com draga de sucção e recalque - bomba de 1.350 kW e cortador de 170 kW - distância de recalque de 1.500 a 1.700 m</t>
  </si>
  <si>
    <t>1917626</t>
  </si>
  <si>
    <t>Dragagem de cascalho com draga de sucção e recalque - bomba de 1.350 kW e cortador de 170 kW - distância de recalque de 1.700 a 1.900 m</t>
  </si>
  <si>
    <t>1917627</t>
  </si>
  <si>
    <t>Dragagem de cascalho com draga de sucção e recalque - bomba de 1.350 kW e cortador de 170 kW - distância de recalque de 1.900 a 2.100 m</t>
  </si>
  <si>
    <t>1917628</t>
  </si>
  <si>
    <t>Dragagem de cascalho com draga de sucção e recalque - bomba de 1.350 kW e cortador de 170 kW - distância de recalque de 2.100 a 2.300 m</t>
  </si>
  <si>
    <t>1917620</t>
  </si>
  <si>
    <t>Dragagem de cascalho com draga de sucção e recalque - bomba de 1.350 kW e cortador de 170 kW - distância de recalque de 500 a 700 m</t>
  </si>
  <si>
    <t>1917621</t>
  </si>
  <si>
    <t>Dragagem de cascalho com draga de sucção e recalque - bomba de 1.350 kW e cortador de 170 kW - distância de recalque de 700 a 900 m</t>
  </si>
  <si>
    <t>1917622</t>
  </si>
  <si>
    <t>Dragagem de cascalho com draga de sucção e recalque - bomba de 1.350 kW e cortador de 170 kW - distância de recalque de 900 a 1.100 m</t>
  </si>
  <si>
    <t>1917741</t>
  </si>
  <si>
    <t>Dragagem de cascalho com draga de sucção e recalque - bomba de 1.350 kW e cortador de 170 kW - distância de recalque de até 500 m</t>
  </si>
  <si>
    <t>1917269</t>
  </si>
  <si>
    <t>Dragagem de cascalho com draga de sucção e recalque - bomba de 294 kW e cortador de 30 kW - distância de recalque de 1.100 a 1.300 m</t>
  </si>
  <si>
    <t>1917270</t>
  </si>
  <si>
    <t>Dragagem de cascalho com draga de sucção e recalque - bomba de 294 kW e cortador de 30 kW - distância de recalque de 1.300 a 1.500 m</t>
  </si>
  <si>
    <t>1917266</t>
  </si>
  <si>
    <t>Dragagem de cascalho com draga de sucção e recalque - bomba de 294 kW e cortador de 30 kW - distância de recalque de 500 a 700 m</t>
  </si>
  <si>
    <t>1917267</t>
  </si>
  <si>
    <t>Dragagem de cascalho com draga de sucção e recalque - bomba de 294 kW e cortador de 30 kW - distância de recalque de 700 a 900 m</t>
  </si>
  <si>
    <t>1917268</t>
  </si>
  <si>
    <t>Dragagem de cascalho com draga de sucção e recalque - bomba de 294 kW e cortador de 30 kW - distância de recalque de 900 a 1.100 m</t>
  </si>
  <si>
    <t>1917728</t>
  </si>
  <si>
    <t>Dragagem de cascalho com draga de sucção e recalque - bomba de 294 kW e cortador de 30 kW - distância de recalque de até 500 m</t>
  </si>
  <si>
    <t>1917358</t>
  </si>
  <si>
    <t>Dragagem de cascalho com draga de sucção e recalque - bomba de 483 kW e cortador de 55 kW - distância de recalque até 500 m</t>
  </si>
  <si>
    <t>1917362</t>
  </si>
  <si>
    <t>Dragagem de cascalho com draga de sucção e recalque - bomba de 483 kW e cortador de 55 kW - distância de recalque de 1.100 a 1.300 m</t>
  </si>
  <si>
    <t>1917363</t>
  </si>
  <si>
    <t>Dragagem de cascalho com draga de sucção e recalque - bomba de 483 kW e cortador de 55 kW - distância de recalque de 1.300 a 1.500 m</t>
  </si>
  <si>
    <t>1917359</t>
  </si>
  <si>
    <t>Dragagem de cascalho com draga de sucção e recalque - bomba de 483 kW e cortador de 55 kW - distância de recalque de 500 a 700 m</t>
  </si>
  <si>
    <t>1917360</t>
  </si>
  <si>
    <t>Dragagem de cascalho com draga de sucção e recalque - bomba de 483 kW e cortador de 55 kW - distância de recalque de 700 a 900 m</t>
  </si>
  <si>
    <t>1917361</t>
  </si>
  <si>
    <t>Dragagem de cascalho com draga de sucção e recalque - bomba de 483 kW e cortador de 55 kW - distância de recalque de 900 a 1.100 m</t>
  </si>
  <si>
    <t>1917476</t>
  </si>
  <si>
    <t>Dragagem de cascalho com draga de sucção e recalque - bomba de 746 kW e cortador de 110 kW - distância de recalque de 1.100 a 1.300 m</t>
  </si>
  <si>
    <t>1917477</t>
  </si>
  <si>
    <t>Dragagem de cascalho com draga de sucção e recalque - bomba de 746 kW e cortador de 110 kW - distância de recalque de 1.300 a 1.500 m</t>
  </si>
  <si>
    <t>1917478</t>
  </si>
  <si>
    <t>Dragagem de cascalho com draga de sucção e recalque - bomba de 746 kW e cortador de 110 kW - distância de recalque de 1.500 a 1.700 m</t>
  </si>
  <si>
    <t>1917479</t>
  </si>
  <si>
    <t>Dragagem de cascalho com draga de sucção e recalque - bomba de 746 kW e cortador de 110 kW - distância de recalque de 1.700 a 1.900 m</t>
  </si>
  <si>
    <t>1917473</t>
  </si>
  <si>
    <t>Dragagem de cascalho com draga de sucção e recalque - bomba de 746 kW e cortador de 110 kW - distância de recalque de 500 a 700 m</t>
  </si>
  <si>
    <t>1917474</t>
  </si>
  <si>
    <t>Dragagem de cascalho com draga de sucção e recalque - bomba de 746 kW e cortador de 110 kW - distância de recalque de 700 a 900 m</t>
  </si>
  <si>
    <t>1917475</t>
  </si>
  <si>
    <t>Dragagem de cascalho com draga de sucção e recalque - bomba de 746 kW e cortador de 110 kW - distância de recalque de 900 a 1.100 m</t>
  </si>
  <si>
    <t>1917736</t>
  </si>
  <si>
    <t>Dragagem de cascalho com draga de sucção e recalque - bomba de 746 kW e cortador de 110 kW - distância de recalque de até 500 m</t>
  </si>
  <si>
    <t>1917067</t>
  </si>
  <si>
    <t>Dragagem de cascalho com draga hopper - capacidade da cisterna de 1.000 m³ - DMT de 1.500 a 1.800 m</t>
  </si>
  <si>
    <t>1917068</t>
  </si>
  <si>
    <t>Dragagem de cascalho com draga hopper - capacidade da cisterna de 1.000 m³ - DMT de 1.800 a 2.100 m</t>
  </si>
  <si>
    <t>1917069</t>
  </si>
  <si>
    <t>Dragagem de cascalho com draga hopper - capacidade da cisterna de 1.000 m³ - DMT de 2.100 a 2.400 m</t>
  </si>
  <si>
    <t>1917070</t>
  </si>
  <si>
    <t>Dragagem de cascalho com draga hopper - capacidade da cisterna de 1.000 m³ - DMT de 2.400 a 2.700 m</t>
  </si>
  <si>
    <t>1917071</t>
  </si>
  <si>
    <t>Dragagem de cascalho com draga hopper - capacidade da cisterna de 1.000 m³ - DMT de 2.700 a 3.000 m</t>
  </si>
  <si>
    <t>1917072</t>
  </si>
  <si>
    <t>Dragagem de cascalho com draga hopper - capacidade da cisterna de 1.000 m³ - DMT de 3.000 m</t>
  </si>
  <si>
    <t>1901572</t>
  </si>
  <si>
    <t>Dragagem de cascalho com draga hopper - capacidade da cisterna de 10.000 m³ - DMT de 1.500 a 1.800 m</t>
  </si>
  <si>
    <t>1901573</t>
  </si>
  <si>
    <t>Dragagem de cascalho com draga hopper - capacidade da cisterna de 10.000 m³ - DMT de 1.800 a 2.100 m</t>
  </si>
  <si>
    <t>1901574</t>
  </si>
  <si>
    <t>Dragagem de cascalho com draga hopper - capacidade da cisterna de 10.000 m³ - DMT de 2.100 a 2.400 m</t>
  </si>
  <si>
    <t>1901575</t>
  </si>
  <si>
    <t>Dragagem de cascalho com draga hopper - capacidade da cisterna de 10.000 m³ - DMT de 2.400 a 2.700 m</t>
  </si>
  <si>
    <t>1901576</t>
  </si>
  <si>
    <t>Dragagem de cascalho com draga hopper - capacidade da cisterna de 10.000 m³ - DMT de 2.700 a 3.000 m</t>
  </si>
  <si>
    <t>1901571</t>
  </si>
  <si>
    <t>Dragagem de cascalho com draga hopper - capacidade da cisterna de 10.000 m³ - DMT de 3.000 m</t>
  </si>
  <si>
    <t>1901578</t>
  </si>
  <si>
    <t>Dragagem de cascalho com draga hopper - capacidade da cisterna de 15.000 m³ - DMT de 1.500 a 1.800 m</t>
  </si>
  <si>
    <t>1901579</t>
  </si>
  <si>
    <t>Dragagem de cascalho com draga hopper - capacidade da cisterna de 15.000 m³ - DMT de 1.800 a 2.100 m</t>
  </si>
  <si>
    <t>1901580</t>
  </si>
  <si>
    <t>Dragagem de cascalho com draga hopper - capacidade da cisterna de 15.000 m³ - DMT de 2.100 a 2.400 m</t>
  </si>
  <si>
    <t>1901581</t>
  </si>
  <si>
    <t>Dragagem de cascalho com draga hopper - capacidade da cisterna de 15.000 m³ - DMT de 2.400 a 2.700 m</t>
  </si>
  <si>
    <t>1901582</t>
  </si>
  <si>
    <t>Dragagem de cascalho com draga hopper - capacidade da cisterna de 15.000 m³ - DMT de 2.700 a 3.000 m</t>
  </si>
  <si>
    <t>1901577</t>
  </si>
  <si>
    <t>Dragagem de cascalho com draga hopper - capacidade da cisterna de 15.000 m³ - DMT de 3.000 m</t>
  </si>
  <si>
    <t>1917103</t>
  </si>
  <si>
    <t>Dragagem de cascalho com draga hopper - capacidade da cisterna de 2.000 m³ - DMT de 1.500 a 1.800 m</t>
  </si>
  <si>
    <t>1917104</t>
  </si>
  <si>
    <t>Dragagem de cascalho com draga hopper - capacidade da cisterna de 2.000 m³ - DMT de 1.800 a 2.100 m</t>
  </si>
  <si>
    <t>1917105</t>
  </si>
  <si>
    <t>Dragagem de cascalho com draga hopper - capacidade da cisterna de 2.000 m³ - DMT de 2.100 a 2.400 m</t>
  </si>
  <si>
    <t>1917106</t>
  </si>
  <si>
    <t>Dragagem de cascalho com draga hopper - capacidade da cisterna de 2.000 m³ - DMT de 2.400 a 2.700 m</t>
  </si>
  <si>
    <t>1917107</t>
  </si>
  <si>
    <t>Dragagem de cascalho com draga hopper - capacidade da cisterna de 2.000 m³ - DMT de 2.700 a 3.000 m</t>
  </si>
  <si>
    <t>1917108</t>
  </si>
  <si>
    <t>Dragagem de cascalho com draga hopper - capacidade da cisterna de 2.000 m³ - DMT de 3.000 m</t>
  </si>
  <si>
    <t>1901583</t>
  </si>
  <si>
    <t>Dragagem de cascalho com draga hopper - capacidade da cisterna de 20.000 m³ - DMT de 1.500 a 1.800 m</t>
  </si>
  <si>
    <t>1901584</t>
  </si>
  <si>
    <t>Dragagem de cascalho com draga hopper - capacidade da cisterna de 20.000 m³ - DMT de 1.800 a 2.100 m</t>
  </si>
  <si>
    <t>1901585</t>
  </si>
  <si>
    <t>Dragagem de cascalho com draga hopper - capacidade da cisterna de 20.000 m³ - DMT de 2.100 a 2.400 m</t>
  </si>
  <si>
    <t>1901586</t>
  </si>
  <si>
    <t>Dragagem de cascalho com draga hopper - capacidade da cisterna de 20.000 m³ - DMT de 2.400 a 2.700 m</t>
  </si>
  <si>
    <t>1901587</t>
  </si>
  <si>
    <t>Dragagem de cascalho com draga hopper - capacidade da cisterna de 20.000 m³ - DMT de 2.700 a 3.000 m</t>
  </si>
  <si>
    <t>1901588</t>
  </si>
  <si>
    <t>Dragagem de cascalho com draga hopper - capacidade da cisterna de 20.000 m³ - DMT de 3.000 m</t>
  </si>
  <si>
    <t>1917139</t>
  </si>
  <si>
    <t>Dragagem de cascalho com draga hopper - capacidade da cisterna de 3.000 m³ - DMT de 1.500 a 1.800 m</t>
  </si>
  <si>
    <t>1917140</t>
  </si>
  <si>
    <t>Dragagem de cascalho com draga hopper - capacidade da cisterna de 3.000 m³ - DMT de 1.800 a 2.100 m</t>
  </si>
  <si>
    <t>1917141</t>
  </si>
  <si>
    <t>Dragagem de cascalho com draga hopper - capacidade da cisterna de 3.000 m³ - DMT de 2.100 a 2.400 m</t>
  </si>
  <si>
    <t>1917142</t>
  </si>
  <si>
    <t>Dragagem de cascalho com draga hopper - capacidade da cisterna de 3.000 m³ - DMT de 2.400 a 2.700 m</t>
  </si>
  <si>
    <t>1917143</t>
  </si>
  <si>
    <t>Dragagem de cascalho com draga hopper - capacidade da cisterna de 3.000 m³ - DMT de 2.700 a 3.000 m</t>
  </si>
  <si>
    <t>1917144</t>
  </si>
  <si>
    <t>Dragagem de cascalho com draga hopper - capacidade da cisterna de 3.000 m³ - DMT de 3.000 m</t>
  </si>
  <si>
    <t>1917175</t>
  </si>
  <si>
    <t>Dragagem de cascalho com draga hopper - capacidade da cisterna de 4.000 m³ - DMT de 1.500 a 1.800 m</t>
  </si>
  <si>
    <t>1917176</t>
  </si>
  <si>
    <t>Dragagem de cascalho com draga hopper - capacidade da cisterna de 4.000 m³ - DMT de 1.800 a 2.100 m</t>
  </si>
  <si>
    <t>1917177</t>
  </si>
  <si>
    <t>Dragagem de cascalho com draga hopper - capacidade da cisterna de 4.000 m³ - DMT de 2.100 a 2.400 m</t>
  </si>
  <si>
    <t>1917178</t>
  </si>
  <si>
    <t>Dragagem de cascalho com draga hopper - capacidade da cisterna de 4.000 m³ - DMT de 2.400 a 2.700 m</t>
  </si>
  <si>
    <t>1917179</t>
  </si>
  <si>
    <t>Dragagem de cascalho com draga hopper - capacidade da cisterna de 4.000 m³ - DMT de 2.700 a 3.000 m</t>
  </si>
  <si>
    <t>1917180</t>
  </si>
  <si>
    <t>Dragagem de cascalho com draga hopper - capacidade da cisterna de 4.000 m³ - DMT de 3.000 m</t>
  </si>
  <si>
    <t>1917211</t>
  </si>
  <si>
    <t>Dragagem de cascalho com draga hopper - capacidade da cisterna de 5.000 m³ - DMT de 1.500 a 1.800 m</t>
  </si>
  <si>
    <t>1917212</t>
  </si>
  <si>
    <t>Dragagem de cascalho com draga hopper - capacidade da cisterna de 5.000 m³ - DMT de 1.800 a 2.100 m</t>
  </si>
  <si>
    <t>1917213</t>
  </si>
  <si>
    <t>Dragagem de cascalho com draga hopper - capacidade da cisterna de 5.000 m³ - DMT de 2.100 a 2.400 m</t>
  </si>
  <si>
    <t>1917214</t>
  </si>
  <si>
    <t>Dragagem de cascalho com draga hopper - capacidade da cisterna de 5.000 m³ - DMT de 2.400 a 2.700 m</t>
  </si>
  <si>
    <t>1917215</t>
  </si>
  <si>
    <t>Dragagem de cascalho com draga hopper - capacidade da cisterna de 5.000 m³ - DMT de 2.700 a 3.000 m</t>
  </si>
  <si>
    <t>1917216</t>
  </si>
  <si>
    <t>Dragagem de cascalho com draga hopper - capacidade da cisterna de 5.000 m³ - DMT de 3.000 m</t>
  </si>
  <si>
    <t>1917031</t>
  </si>
  <si>
    <t>Dragagem de cascalho com draga hopper - capacidade da cisterna de 750 m³ - DMT de 1.500 a 1.800 m</t>
  </si>
  <si>
    <t>1917032</t>
  </si>
  <si>
    <t>Dragagem de cascalho com draga hopper - capacidade da cisterna de 750 m³ - DMT de 1.800 a 2.100 m</t>
  </si>
  <si>
    <t>1917033</t>
  </si>
  <si>
    <t>Dragagem de cascalho com draga hopper - capacidade da cisterna de 750 m³ - DMT de 2.100 a 2.400 m</t>
  </si>
  <si>
    <t>1917034</t>
  </si>
  <si>
    <t>Dragagem de cascalho com draga hopper - capacidade da cisterna de 750 m³ - DMT de 2.400 a 2.700 m</t>
  </si>
  <si>
    <t>1917035</t>
  </si>
  <si>
    <t>Dragagem de cascalho com draga hopper - capacidade da cisterna de 750 m³ - DMT de 2.700 a 3.000 m</t>
  </si>
  <si>
    <t>1917036</t>
  </si>
  <si>
    <t>Dragagem de cascalho com draga hopper - capacidade da cisterna de 750 m³ - DMT de 3.000 m</t>
  </si>
  <si>
    <t>1917605</t>
  </si>
  <si>
    <t>Dragagem de cascalho fino com draga de sucção e recalque - bomba de 1.350 kW e cortador de 170 kW - distância de recalque de 1.100 a 1.300 m</t>
  </si>
  <si>
    <t>1917606</t>
  </si>
  <si>
    <t>Dragagem de cascalho fino com draga de sucção e recalque - bomba de 1.350 kW e cortador de 170 kW - distância de recalque de 1.300 a 1.500 m</t>
  </si>
  <si>
    <t>1917607</t>
  </si>
  <si>
    <t>Dragagem de cascalho fino com draga de sucção e recalque - bomba de 1.350 kW e cortador de 170 kW - distância de recalque de 1.500 a 1.700 m</t>
  </si>
  <si>
    <t>1917608</t>
  </si>
  <si>
    <t>Dragagem de cascalho fino com draga de sucção e recalque - bomba de 1.350 kW e cortador de 170 kW - distância de recalque de 1.700 a 1.900 m</t>
  </si>
  <si>
    <t>1917609</t>
  </si>
  <si>
    <t>Dragagem de cascalho fino com draga de sucção e recalque - bomba de 1.350 kW e cortador de 170 kW - distância de recalque de 1.900 a 2.100 m</t>
  </si>
  <si>
    <t>1917610</t>
  </si>
  <si>
    <t>Dragagem de cascalho fino com draga de sucção e recalque - bomba de 1.350 kW e cortador de 170 kW - distância de recalque de 2.100 a 2.300 m</t>
  </si>
  <si>
    <t>1917611</t>
  </si>
  <si>
    <t>Dragagem de cascalho fino com draga de sucção e recalque - bomba de 1.350 kW e cortador de 170 kW - distância de recalque de 2.300 a 2.500 m</t>
  </si>
  <si>
    <t>1917612</t>
  </si>
  <si>
    <t>Dragagem de cascalho fino com draga de sucção e recalque - bomba de 1.350 kW e cortador de 170 kW - distância de recalque de 2.500 a 2.700 m</t>
  </si>
  <si>
    <t>1917613</t>
  </si>
  <si>
    <t>Dragagem de cascalho fino com draga de sucção e recalque - bomba de 1.350 kW e cortador de 170 kW - distância de recalque de 2.700 a 2.900 m</t>
  </si>
  <si>
    <t>1917614</t>
  </si>
  <si>
    <t>Dragagem de cascalho fino com draga de sucção e recalque - bomba de 1.350 kW e cortador de 170 kW - distância de recalque de 2.900 a 3.100 m</t>
  </si>
  <si>
    <t>1917615</t>
  </si>
  <si>
    <t>Dragagem de cascalho fino com draga de sucção e recalque - bomba de 1.350 kW e cortador de 170 kW - distância de recalque de 3.100 a 3.300 m</t>
  </si>
  <si>
    <t>1917616</t>
  </si>
  <si>
    <t>Dragagem de cascalho fino com draga de sucção e recalque - bomba de 1.350 kW e cortador de 170 kW - distância de recalque de 3.300 a 3.500 m</t>
  </si>
  <si>
    <t>1917617</t>
  </si>
  <si>
    <t>Dragagem de cascalho fino com draga de sucção e recalque - bomba de 1.350 kW e cortador de 170 kW - distância de recalque de 3.500 a 3.700 m</t>
  </si>
  <si>
    <t>1917618</t>
  </si>
  <si>
    <t>Dragagem de cascalho fino com draga de sucção e recalque - bomba de 1.350 kW e cortador de 170 kW - distância de recalque de 3.700 a 3.900 m</t>
  </si>
  <si>
    <t>1917619</t>
  </si>
  <si>
    <t>Dragagem de cascalho fino com draga de sucção e recalque - bomba de 1.350 kW e cortador de 170 kW - distância de recalque de 3.900 a 4.100 m</t>
  </si>
  <si>
    <t>1917602</t>
  </si>
  <si>
    <t>Dragagem de cascalho fino com draga de sucção e recalque - bomba de 1.350 kW e cortador de 170 kW - distância de recalque de 500 a 700 m</t>
  </si>
  <si>
    <t>1917603</t>
  </si>
  <si>
    <t>Dragagem de cascalho fino com draga de sucção e recalque - bomba de 1.350 kW e cortador de 170 kW - distância de recalque de 700 a 900 m</t>
  </si>
  <si>
    <t>1917604</t>
  </si>
  <si>
    <t>Dragagem de cascalho fino com draga de sucção e recalque - bomba de 1.350 kW e cortador de 170 kW - distância de recalque de 900 a 1.100 m</t>
  </si>
  <si>
    <t>1917740</t>
  </si>
  <si>
    <t>Dragagem de cascalho fino com draga de sucção e recalque - bomba de 1.350 kW e cortador de 170 kW - distância de recalque de até 500 m</t>
  </si>
  <si>
    <t>1917263</t>
  </si>
  <si>
    <t>Dragagem de cascalho fino com draga de sucção e recalque - bomba de 294 kW e cortador de 30 kW - distância de recalque de 1.100 a 1.300 m</t>
  </si>
  <si>
    <t>1917264</t>
  </si>
  <si>
    <t>Dragagem de cascalho fino com draga de sucção e recalque - bomba de 294 kW e cortador de 30 kW - distância de recalque de 1.300 a 1.500 m</t>
  </si>
  <si>
    <t>1917265</t>
  </si>
  <si>
    <t>Dragagem de cascalho fino com draga de sucção e recalque - bomba de 294 kW e cortador de 30 kW - distância de recalque de 1.500 a 1.700 m</t>
  </si>
  <si>
    <t>1917260</t>
  </si>
  <si>
    <t>Dragagem de cascalho fino com draga de sucção e recalque - bomba de 294 kW e cortador de 30 kW - distância de recalque de 500 a 700 m</t>
  </si>
  <si>
    <t>1917261</t>
  </si>
  <si>
    <t>Dragagem de cascalho fino com draga de sucção e recalque - bomba de 294 kW e cortador de 30 kW - distância de recalque de 700 a 900 m</t>
  </si>
  <si>
    <t>1917262</t>
  </si>
  <si>
    <t>Dragagem de cascalho fino com draga de sucção e recalque - bomba de 294 kW e cortador de 30 kW - distância de recalque de 900 a 1.100 m</t>
  </si>
  <si>
    <t>1917727</t>
  </si>
  <si>
    <t>Dragagem de cascalho fino com draga de sucção e recalque - bomba de 294 kW e cortador de 30 kW - distância de recalque de até 500 m</t>
  </si>
  <si>
    <t>1917351</t>
  </si>
  <si>
    <t>Dragagem de cascalho fino com draga de sucção e recalque - bomba de 483 kW e cortador de 55 kW - distância de recalque de 1.100 a 1.300 m</t>
  </si>
  <si>
    <t>1917352</t>
  </si>
  <si>
    <t>Dragagem de cascalho fino com draga de sucção e recalque - bomba de 483 kW e cortador de 55 kW - distância de recalque de 1.300 a 1.500 m</t>
  </si>
  <si>
    <t>1917353</t>
  </si>
  <si>
    <t>Dragagem de cascalho fino com draga de sucção e recalque - bomba de 483 kW e cortador de 55 kW - distância de recalque de 1.500 a 1.700 m</t>
  </si>
  <si>
    <t>1917354</t>
  </si>
  <si>
    <t>Dragagem de cascalho fino com draga de sucção e recalque - bomba de 483 kW e cortador de 55 kW - distância de recalque de 1.700 a 1.900 m</t>
  </si>
  <si>
    <t>1917355</t>
  </si>
  <si>
    <t>Dragagem de cascalho fino com draga de sucção e recalque - bomba de 483 kW e cortador de 55 kW - distância de recalque de 1.900 a 2.100 m</t>
  </si>
  <si>
    <t>1917356</t>
  </si>
  <si>
    <t>Dragagem de cascalho fino com draga de sucção e recalque - bomba de 483 kW e cortador de 55 kW - distância de recalque de 2.100 a 2.300 m</t>
  </si>
  <si>
    <t>1917357</t>
  </si>
  <si>
    <t>Dragagem de cascalho fino com draga de sucção e recalque - bomba de 483 kW e cortador de 55 kW - distância de recalque de 2.300 a 2.500 m</t>
  </si>
  <si>
    <t>1917348</t>
  </si>
  <si>
    <t>Dragagem de cascalho fino com draga de sucção e recalque - bomba de 483 kW e cortador de 55 kW - distância de recalque de 500 a 700 m</t>
  </si>
  <si>
    <t>1917349</t>
  </si>
  <si>
    <t>Dragagem de cascalho fino com draga de sucção e recalque - bomba de 483 kW e cortador de 55 kW - distância de recalque de 700 a 900 m</t>
  </si>
  <si>
    <t>1917350</t>
  </si>
  <si>
    <t>Dragagem de cascalho fino com draga de sucção e recalque - bomba de 483 kW e cortador de 55 kW - distância de recalque de 900 a 1.100 m</t>
  </si>
  <si>
    <t>1917731</t>
  </si>
  <si>
    <t>Dragagem de cascalho fino com draga de sucção e recalque - bomba de 483 kW e cortador de 55 kW - distância de recalque de até 500 m</t>
  </si>
  <si>
    <t>1917463</t>
  </si>
  <si>
    <t>Dragagem de cascalho fino com draga de sucção e recalque - bomba de 746 kW e cortador de 110 kW - distância de recalque de 1.100 a 1.300 m</t>
  </si>
  <si>
    <t>1917464</t>
  </si>
  <si>
    <t>Dragagem de cascalho fino com draga de sucção e recalque - bomba de 746 kW e cortador de 110 kW - distância de recalque de 1.300 a 1.500 m</t>
  </si>
  <si>
    <t>1917465</t>
  </si>
  <si>
    <t>Dragagem de cascalho fino com draga de sucção e recalque - bomba de 746 kW e cortador de 110 kW - distância de recalque de 1.500 a 1.700 m</t>
  </si>
  <si>
    <t>1917466</t>
  </si>
  <si>
    <t>Dragagem de cascalho fino com draga de sucção e recalque - bomba de 746 kW e cortador de 110 kW - distância de recalque de 1.700 a 1.900 m</t>
  </si>
  <si>
    <t>1917467</t>
  </si>
  <si>
    <t>Dragagem de cascalho fino com draga de sucção e recalque - bomba de 746 kW e cortador de 110 kW - distância de recalque de 1.900 a 2.100 m</t>
  </si>
  <si>
    <t>1917468</t>
  </si>
  <si>
    <t>Dragagem de cascalho fino com draga de sucção e recalque - bomba de 746 kW e cortador de 110 kW - distância de recalque de 2.100 a 2.300 m</t>
  </si>
  <si>
    <t>1917469</t>
  </si>
  <si>
    <t>Dragagem de cascalho fino com draga de sucção e recalque - bomba de 746 kW e cortador de 110 kW - distância de recalque de 2.300 a 2.500 m</t>
  </si>
  <si>
    <t>1917470</t>
  </si>
  <si>
    <t>Dragagem de cascalho fino com draga de sucção e recalque - bomba de 746 kW e cortador de 110 kW - distância de recalque de 2.500 a 2.700 m</t>
  </si>
  <si>
    <t>1917471</t>
  </si>
  <si>
    <t>Dragagem de cascalho fino com draga de sucção e recalque - bomba de 746 kW e cortador de 110 kW - distância de recalque de 2.700 a 2.900 m</t>
  </si>
  <si>
    <t>1917472</t>
  </si>
  <si>
    <t>Dragagem de cascalho fino com draga de sucção e recalque - bomba de 746 kW e cortador de 110 kW - distância de recalque de 2.900 a 3.100 m</t>
  </si>
  <si>
    <t>1917460</t>
  </si>
  <si>
    <t>Dragagem de cascalho fino com draga de sucção e recalque - bomba de 746 kW e cortador de 110 kW - distância de recalque de 500 a 700 m</t>
  </si>
  <si>
    <t>1917461</t>
  </si>
  <si>
    <t>Dragagem de cascalho fino com draga de sucção e recalque - bomba de 746 kW e cortador de 110 kW - distância de recalque de 700 a 900 m</t>
  </si>
  <si>
    <t>1917462</t>
  </si>
  <si>
    <t>Dragagem de cascalho fino com draga de sucção e recalque - bomba de 746 kW e cortador de 110 kW - distância de recalque de 900 a 1.100 m</t>
  </si>
  <si>
    <t>1917735</t>
  </si>
  <si>
    <t>Dragagem de cascalho fino com draga de sucção e recalque - bomba de 746 kW e cortador de 110 kW - distância de recalque de até 500 m</t>
  </si>
  <si>
    <t>1917061</t>
  </si>
  <si>
    <t>Dragagem de cascalho fino com draga hopper - capacidade da cisterna de 1.000 m³ - DMT de 1.500 a 1.800 m</t>
  </si>
  <si>
    <t>1917062</t>
  </si>
  <si>
    <t>Dragagem de cascalho fino com draga hopper - capacidade da cisterna de 1.000 m³ - DMT de 1.800 a 2.100 m</t>
  </si>
  <si>
    <t>1917063</t>
  </si>
  <si>
    <t>Dragagem de cascalho fino com draga hopper - capacidade da cisterna de 1.000 m³ - DMT de 2.100 a 2.400 m</t>
  </si>
  <si>
    <t>1917064</t>
  </si>
  <si>
    <t>Dragagem de cascalho fino com draga hopper - capacidade da cisterna de 1.000 m³ - DMT de 2.400 a 2.700 m</t>
  </si>
  <si>
    <t>1917065</t>
  </si>
  <si>
    <t>Dragagem de cascalho fino com draga hopper - capacidade da cisterna de 1.000 m³ - DMT de 2.700 a 3.000 m</t>
  </si>
  <si>
    <t>1917066</t>
  </si>
  <si>
    <t>Dragagem de cascalho fino com draga hopper - capacidade da cisterna de 1.000 m³ - DMT de 3.000 m</t>
  </si>
  <si>
    <t>1901590</t>
  </si>
  <si>
    <t>Dragagem de cascalho fino com draga hopper - capacidade da cisterna de 10.000 m³ - DMT de 1.500 a 1.800 m</t>
  </si>
  <si>
    <t>1901591</t>
  </si>
  <si>
    <t>Dragagem de cascalho fino com draga hopper - capacidade da cisterna de 10.000 m³ - DMT de 1.800 a 2.100 m</t>
  </si>
  <si>
    <t>1901592</t>
  </si>
  <si>
    <t>Dragagem de cascalho fino com draga hopper - capacidade da cisterna de 10.000 m³ - DMT de 2.100 a 2.400 m</t>
  </si>
  <si>
    <t>1901593</t>
  </si>
  <si>
    <t>Dragagem de cascalho fino com draga hopper - capacidade da cisterna de 10.000 m³ - DMT de 2.400 a 2.700 m</t>
  </si>
  <si>
    <t>1901594</t>
  </si>
  <si>
    <t>Dragagem de cascalho fino com draga hopper - capacidade da cisterna de 10.000 m³ - DMT de 2.700 a 3.000 m</t>
  </si>
  <si>
    <t>1901589</t>
  </si>
  <si>
    <t>Dragagem de cascalho fino com draga hopper - capacidade da cisterna de 10.000 m³ - DMT de 3.000 m</t>
  </si>
  <si>
    <t>1901596</t>
  </si>
  <si>
    <t>Dragagem de cascalho fino com draga hopper - capacidade da cisterna de 15.000 m³ - DMT de 1.500 a 1.800 m</t>
  </si>
  <si>
    <t>1901597</t>
  </si>
  <si>
    <t>Dragagem de cascalho fino com draga hopper - capacidade da cisterna de 15.000 m³ - DMT de 1.800 a 2.100 m</t>
  </si>
  <si>
    <t>1901598</t>
  </si>
  <si>
    <t>Dragagem de cascalho fino com draga hopper - capacidade da cisterna de 15.000 m³ - DMT de 2.100 a 2.400 m</t>
  </si>
  <si>
    <t>1901599</t>
  </si>
  <si>
    <t>Dragagem de cascalho fino com draga hopper - capacidade da cisterna de 15.000 m³ - DMT de 2.400 a 2.700 m</t>
  </si>
  <si>
    <t>1901600</t>
  </si>
  <si>
    <t>Dragagem de cascalho fino com draga hopper - capacidade da cisterna de 15.000 m³ - DMT de 2.700 a 3.000 m</t>
  </si>
  <si>
    <t>1901595</t>
  </si>
  <si>
    <t>Dragagem de cascalho fino com draga hopper - capacidade da cisterna de 15.000 m³ - DMT de 3.000 m</t>
  </si>
  <si>
    <t>1917097</t>
  </si>
  <si>
    <t>Dragagem de cascalho fino com draga hopper - capacidade da cisterna de 2.000 m³ - DMT de 1.500 a 1.800 m</t>
  </si>
  <si>
    <t>1917098</t>
  </si>
  <si>
    <t>Dragagem de cascalho fino com draga hopper - capacidade da cisterna de 2.000 m³ - DMT de 1.800 a 2.100 m</t>
  </si>
  <si>
    <t>1917099</t>
  </si>
  <si>
    <t>Dragagem de cascalho fino com draga hopper - capacidade da cisterna de 2.000 m³ - DMT de 2.100 a 2.400 m</t>
  </si>
  <si>
    <t>1917100</t>
  </si>
  <si>
    <t>Dragagem de cascalho fino com draga hopper - capacidade da cisterna de 2.000 m³ - DMT de 2.400 a 2.700 m</t>
  </si>
  <si>
    <t>1917101</t>
  </si>
  <si>
    <t>Dragagem de cascalho fino com draga hopper - capacidade da cisterna de 2.000 m³ - DMT de 2.700 a 3.000 m</t>
  </si>
  <si>
    <t>1917102</t>
  </si>
  <si>
    <t>Dragagem de cascalho fino com draga hopper - capacidade da cisterna de 2.000 m³ - DMT de 3.000 m</t>
  </si>
  <si>
    <t>1901601</t>
  </si>
  <si>
    <t>Dragagem de cascalho fino com draga hopper - capacidade da cisterna de 20.000 m³ - DMT de 1.500 a 1.800 m</t>
  </si>
  <si>
    <t>1901602</t>
  </si>
  <si>
    <t>Dragagem de cascalho fino com draga hopper - capacidade da cisterna de 20.000 m³ - DMT de 1.800 a 2.100 m</t>
  </si>
  <si>
    <t>1901603</t>
  </si>
  <si>
    <t>Dragagem de cascalho fino com draga hopper - capacidade da cisterna de 20.000 m³ - DMT de 2.100 a 2.400 m</t>
  </si>
  <si>
    <t>1901604</t>
  </si>
  <si>
    <t>Dragagem de cascalho fino com draga hopper - capacidade da cisterna de 20.000 m³ - DMT de 2.400 a 2.700 m</t>
  </si>
  <si>
    <t>1901605</t>
  </si>
  <si>
    <t>Dragagem de cascalho fino com draga hopper - capacidade da cisterna de 20.000 m³ - DMT de 2.700 a 3.000 m</t>
  </si>
  <si>
    <t>1901606</t>
  </si>
  <si>
    <t>Dragagem de cascalho fino com draga hopper - capacidade da cisterna de 20.000 m³ - DMT de 3.000 m</t>
  </si>
  <si>
    <t>1917133</t>
  </si>
  <si>
    <t>Dragagem de cascalho fino com draga hopper - capacidade da cisterna de 3.000 m³ - DMT de 1.500 a 1.800 m</t>
  </si>
  <si>
    <t>1917134</t>
  </si>
  <si>
    <t>Dragagem de cascalho fino com draga hopper - capacidade da cisterna de 3.000 m³ - DMT de 1.800 a 2.100 m</t>
  </si>
  <si>
    <t>1917135</t>
  </si>
  <si>
    <t>Dragagem de cascalho fino com draga hopper - capacidade da cisterna de 3.000 m³ - DMT de 2.100 a 2.400 m</t>
  </si>
  <si>
    <t>1917136</t>
  </si>
  <si>
    <t>Dragagem de cascalho fino com draga hopper - capacidade da cisterna de 3.000 m³ - DMT de 2.400 a 2.700 m</t>
  </si>
  <si>
    <t>1917137</t>
  </si>
  <si>
    <t>Dragagem de cascalho fino com draga hopper - capacidade da cisterna de 3.000 m³ - DMT de 2.700 a 3.000 m</t>
  </si>
  <si>
    <t>1917138</t>
  </si>
  <si>
    <t>Dragagem de cascalho fino com draga hopper - capacidade da cisterna de 3.000 m³ - DMT de 3.000 m</t>
  </si>
  <si>
    <t>1917169</t>
  </si>
  <si>
    <t>Dragagem de cascalho fino com draga hopper - capacidade da cisterna de 4.000 m³ - DMT de 1.500 a 1.800 m</t>
  </si>
  <si>
    <t>1917170</t>
  </si>
  <si>
    <t>Dragagem de cascalho fino com draga hopper - capacidade da cisterna de 4.000 m³ - DMT de 1.800 a 2.100 m</t>
  </si>
  <si>
    <t>1917171</t>
  </si>
  <si>
    <t>Dragagem de cascalho fino com draga hopper - capacidade da cisterna de 4.000 m³ - DMT de 2.100 a 2.400 m</t>
  </si>
  <si>
    <t>1917172</t>
  </si>
  <si>
    <t>Dragagem de cascalho fino com draga hopper - capacidade da cisterna de 4.000 m³ - DMT de 2.400 a 2.700 m</t>
  </si>
  <si>
    <t>1917173</t>
  </si>
  <si>
    <t>Dragagem de cascalho fino com draga hopper - capacidade da cisterna de 4.000 m³ - DMT de 2.700 a 3.000 m</t>
  </si>
  <si>
    <t>1917174</t>
  </si>
  <si>
    <t>Dragagem de cascalho fino com draga hopper - capacidade da cisterna de 4.000 m³ - DMT de 3.000 m</t>
  </si>
  <si>
    <t>1917205</t>
  </si>
  <si>
    <t>Dragagem de cascalho fino com draga hopper - capacidade da cisterna de 5.000 m³ - DMT de 1.500 a 1.800 m</t>
  </si>
  <si>
    <t>1917206</t>
  </si>
  <si>
    <t>Dragagem de cascalho fino com draga hopper - capacidade da cisterna de 5.000 m³ - DMT de 1.800 a 2.100 m</t>
  </si>
  <si>
    <t>1917207</t>
  </si>
  <si>
    <t>Dragagem de cascalho fino com draga hopper - capacidade da cisterna de 5.000 m³ - DMT de 2.100 a 2.400 m</t>
  </si>
  <si>
    <t>1917208</t>
  </si>
  <si>
    <t>Dragagem de cascalho fino com draga hopper - capacidade da cisterna de 5.000 m³ - DMT de 2.400 a 2.700 m</t>
  </si>
  <si>
    <t>1917209</t>
  </si>
  <si>
    <t>Dragagem de cascalho fino com draga hopper - capacidade da cisterna de 5.000 m³ - DMT de 2.700 a 3.000 m</t>
  </si>
  <si>
    <t>1917210</t>
  </si>
  <si>
    <t>Dragagem de cascalho fino com draga hopper - capacidade da cisterna de 5.000 m³ - DMT de 3.000 m</t>
  </si>
  <si>
    <t>1917025</t>
  </si>
  <si>
    <t>Dragagem de cascalho fino com draga hopper - capacidade da cisterna de 750 m³ - DMT de 1.500 a 1.800 m</t>
  </si>
  <si>
    <t>1917026</t>
  </si>
  <si>
    <t>Dragagem de cascalho fino com draga hopper - capacidade da cisterna de 750 m³ - DMT de 1.800 a 2.100 m</t>
  </si>
  <si>
    <t>1917027</t>
  </si>
  <si>
    <t>Dragagem de cascalho fino com draga hopper - capacidade da cisterna de 750 m³ - DMT de 2.100 a 2.400 m</t>
  </si>
  <si>
    <t>1917028</t>
  </si>
  <si>
    <t>Dragagem de cascalho fino com draga hopper - capacidade da cisterna de 750 m³ - DMT de 2.400 a 2.700 m</t>
  </si>
  <si>
    <t>1917029</t>
  </si>
  <si>
    <t>Dragagem de cascalho fino com draga hopper - capacidade da cisterna de 750 m³ - DMT de 2.700 a 3.000 m</t>
  </si>
  <si>
    <t>1917030</t>
  </si>
  <si>
    <t>Dragagem de cascalho fino com draga hopper - capacidade da cisterna de 750 m³ - DMT de 3.000 m</t>
  </si>
  <si>
    <t>1917629</t>
  </si>
  <si>
    <t>Dragagem de material de 1ª categoria com clamshell sobre pontão flutuante - capacidade da caçamba de 4,6 m³ - transporte com batelão sem propulsão com capacidade de 100 t - DMT 0 a 300 m</t>
  </si>
  <si>
    <t>1917633</t>
  </si>
  <si>
    <t>Dragagem de material de 1ª categoria com clamshell sobre pontão flutuante - capacidade da caçamba de 4,6 m³ - transporte com batelão sem propulsão com capacidade de 100 t - DMT 1.200 a 1.500 m</t>
  </si>
  <si>
    <t>1917634</t>
  </si>
  <si>
    <t>Dragagem de material de 1ª categoria com clamshell sobre pontão flutuante - capacidade da caçamba de 4,6 m³ - transporte com batelão sem propulsão com capacidade de 100 t - DMT 1.500 a 1.800 m</t>
  </si>
  <si>
    <t>1917635</t>
  </si>
  <si>
    <t>Dragagem de material de 1ª categoria com clamshell sobre pontão flutuante - capacidade da caçamba de 4,6 m³ - transporte com batelão sem propulsão com capacidade de 100 t - DMT 1.800 a 2.100 m</t>
  </si>
  <si>
    <t>1917636</t>
  </si>
  <si>
    <t>Dragagem de material de 1ª categoria com clamshell sobre pontão flutuante - capacidade da caçamba de 4,6 m³ - transporte com batelão sem propulsão com capacidade de 100 t - DMT 2.100 a 2.400 m</t>
  </si>
  <si>
    <t>1917637</t>
  </si>
  <si>
    <t>Dragagem de material de 1ª categoria com clamshell sobre pontão flutuante - capacidade da caçamba de 4,6 m³ - transporte com batelão sem propulsão com capacidade de 100 t - DMT 2.400 a 2.700 m</t>
  </si>
  <si>
    <t>1917638</t>
  </si>
  <si>
    <t>Dragagem de material de 1ª categoria com clamshell sobre pontão flutuante - capacidade da caçamba de 4,6 m³ - transporte com batelão sem propulsão com capacidade de 100 t - DMT 2.700 a 3.000 m</t>
  </si>
  <si>
    <t>1917630</t>
  </si>
  <si>
    <t>Dragagem de material de 1ª categoria com clamshell sobre pontão flutuante - capacidade da caçamba de 4,6 m³ - transporte com batelão sem propulsão com capacidade de 100 t - DMT 300 a 600 m</t>
  </si>
  <si>
    <t>1917631</t>
  </si>
  <si>
    <t>Dragagem de material de 1ª categoria com clamshell sobre pontão flutuante - capacidade da caçamba de 4,6 m³ - transporte com batelão sem propulsão com capacidade de 100 t - DMT 600 a 900 m</t>
  </si>
  <si>
    <t>1917632</t>
  </si>
  <si>
    <t>Dragagem de material de 1ª categoria com clamshell sobre pontão flutuante - capacidade da caçamba de 4,6 m³ - transporte com batelão sem propulsão com capacidade de 100 t - DMT 900 a 1.200 m</t>
  </si>
  <si>
    <t>1917639</t>
  </si>
  <si>
    <t>Dragagem de material de 1ª categoria com clamshell sobre pontão flutuante - capacidade da caçamba de 4,6 m³ - transporte com batelão sem propulsão com capacidade de 100 t - DMT de 3.000 m</t>
  </si>
  <si>
    <t>1917646</t>
  </si>
  <si>
    <t>Dragagem de material de 1ª categoria com dragline - caçamba de 2,1 m³ - caminho de serviço em leito natural - DMT 1.000 a 1.200 m - com caminhão de 14 m³ e carregadeira</t>
  </si>
  <si>
    <t>1917647</t>
  </si>
  <si>
    <t>Dragagem de material de 1ª categoria com dragline - caçamba de 2,1 m³ - caminho de serviço em leito natural - DMT 1.200 a 1.400 m - com caminhão de 14 m³ e carregadeira</t>
  </si>
  <si>
    <t>1917648</t>
  </si>
  <si>
    <t>Dragagem de material de 1ª categoria com dragline - caçamba de 2,1 m³ - caminho de serviço em leito natural - DMT 1.400 a 1.600 m - com caminhão de 14 m³ e carregadeira</t>
  </si>
  <si>
    <t>1917649</t>
  </si>
  <si>
    <t>Dragagem de material de 1ª categoria com dragline - caçamba de 2,1 m³ - caminho de serviço em leito natural - DMT 1.600 a 1.800 m - com caminhão de 14 m³ e carregadeira</t>
  </si>
  <si>
    <t>1917650</t>
  </si>
  <si>
    <t>Dragagem de material de 1ª categoria com dragline - caçamba de 2,1 m³ - caminho de serviço em leito natural - DMT 1.800 a 2.000 m - com caminhão de 14 m³ e carregadeira</t>
  </si>
  <si>
    <t>1917651</t>
  </si>
  <si>
    <t>Dragagem de material de 1ª categoria com dragline - caçamba de 2,1 m³ - caminho de serviço em leito natural - DMT 2.000 a 2.500 m - com caminhão de 14 m³ e carregadeira</t>
  </si>
  <si>
    <t>1917652</t>
  </si>
  <si>
    <t>Dragagem de material de 1ª categoria com dragline - caçamba de 2,1 m³ - caminho de serviço em leito natural - DMT 2.500 a 3.000 m - com caminhão de 14 m³ e carregadeira</t>
  </si>
  <si>
    <t>1917642</t>
  </si>
  <si>
    <t>Dragagem de material de 1ª categoria com dragline - caçamba de 2,1 m³ - caminho de serviço em leito natural - DMT 200 a 400 m - com caminhão de 14 m³ e carregadeira</t>
  </si>
  <si>
    <t>1917643</t>
  </si>
  <si>
    <t>Dragagem de material de 1ª categoria com dragline - caçamba de 2,1 m³ - caminho de serviço em leito natural - DMT 400 a 600 m - com caminhão de 14 m³ e carregadeira</t>
  </si>
  <si>
    <t>1917641</t>
  </si>
  <si>
    <t>Dragagem de material de 1ª categoria com dragline - caçamba de 2,1 m³ - caminho de serviço em leito natural - DMT 50 a 200 m - com caminhão de 14 m³ e carregadeira</t>
  </si>
  <si>
    <t>1917644</t>
  </si>
  <si>
    <t>Dragagem de material de 1ª categoria com dragline - caçamba de 2,1 m³ - caminho de serviço em leito natural - DMT 600 a 800 m - com caminhão de 14 m³ e carregadeira</t>
  </si>
  <si>
    <t>1917645</t>
  </si>
  <si>
    <t>Dragagem de material de 1ª categoria com dragline - caçamba de 2,1 m³ - caminho de serviço em leito natural - DMT 800 a 1.000 m - com caminhão de 14 m³ e carregadeira</t>
  </si>
  <si>
    <t>1917653</t>
  </si>
  <si>
    <t>Dragagem de material de 1ª categoria com dragline - caçamba de 2,1 m³ - caminho de serviço em leito natural - DMT de 3.000 m - com caminhão de 14 m³ e carregadeira</t>
  </si>
  <si>
    <t>1917659</t>
  </si>
  <si>
    <t>Dragagem de material de 1ª categoria com dragline - caçamba de 2,1 m³ - caminho de serviço em revestimento primário - DMT 1.000 a 1.200 m - com caminhão de 14 m³ e carregadeira</t>
  </si>
  <si>
    <t>1917660</t>
  </si>
  <si>
    <t>Dragagem de material de 1ª categoria com dragline - caçamba de 2,1 m³ - caminho de serviço em revestimento primário - DMT 1.200 a 1.400 m - com caminhão de 14 m³ e carregadeira</t>
  </si>
  <si>
    <t>1917661</t>
  </si>
  <si>
    <t>Dragagem de material de 1ª categoria com dragline - caçamba de 2,1 m³ - caminho de serviço em revestimento primário - DMT 1.400 a 1.600 m - com caminhão de 14 m³ e carregadeira</t>
  </si>
  <si>
    <t>1917662</t>
  </si>
  <si>
    <t>Dragagem de material de 1ª categoria com dragline - caçamba de 2,1 m³ - caminho de serviço em revestimento primário - DMT 1.600 a 1.800 m - com caminhão de 14 m³ e carregadeira</t>
  </si>
  <si>
    <t>1917663</t>
  </si>
  <si>
    <t>Dragagem de material de 1ª categoria com dragline - caçamba de 2,1 m³ - caminho de serviço em revestimento primário - DMT 1.800 a 2.000 m - com caminhão de 14 m³ e carregadeira</t>
  </si>
  <si>
    <t>1917664</t>
  </si>
  <si>
    <t>Dragagem de material de 1ª categoria com dragline - caçamba de 2,1 m³ - caminho de serviço em revestimento primário - DMT 2.000 a 2.500 m - com caminhão de 14 m³ e carregadeira</t>
  </si>
  <si>
    <t>1917665</t>
  </si>
  <si>
    <t>Dragagem de material de 1ª categoria com dragline - caçamba de 2,1 m³ - caminho de serviço em revestimento primário - DMT 2.500 a 3.000 m - com caminhão de 14 m³ e carregadeira</t>
  </si>
  <si>
    <t>1917655</t>
  </si>
  <si>
    <t>Dragagem de material de 1ª categoria com dragline - caçamba de 2,1 m³ - caminho de serviço em revestimento primário - DMT 200 a 400 m - com caminhão de 14 m³ e carregadeira</t>
  </si>
  <si>
    <t>1917656</t>
  </si>
  <si>
    <t>Dragagem de material de 1ª categoria com dragline - caçamba de 2,1 m³ - caminho de serviço em revestimento primário - DMT 400 a 600 m - com caminhão de 14 m³ e carregadeira</t>
  </si>
  <si>
    <t>1917654</t>
  </si>
  <si>
    <t>Dragagem de material de 1ª categoria com dragline - caçamba de 2,1 m³ - caminho de serviço em revestimento primário - DMT 50 a 200 m - com caminhão de 14 m³ e carregadeira</t>
  </si>
  <si>
    <t>1917657</t>
  </si>
  <si>
    <t>Dragagem de material de 1ª categoria com dragline - caçamba de 2,1 m³ - caminho de serviço em revestimento primário - DMT 600 a 800 m - com caminhão de 14 m³ e carregadeira</t>
  </si>
  <si>
    <t>1917658</t>
  </si>
  <si>
    <t>Dragagem de material de 1ª categoria com dragline - caçamba de 2,1 m³ - caminho de serviço em revestimento primário - DMT 800 a 1.000 m - com caminhão de 14 m³ e carregadeira</t>
  </si>
  <si>
    <t>1917666</t>
  </si>
  <si>
    <t>Dragagem de material de 1ª categoria com dragline - caçamba de 2,1 m³ - caminho de serviço em revestimento primário - DMT de 3.000 m - com caminhão de 14 m³ e carregadeira</t>
  </si>
  <si>
    <t>1917672</t>
  </si>
  <si>
    <t>Dragagem de material de 1ª categoria com dragline - caçamba de 2,1 m³ - caminho de serviço pavimentado - DMT 1.000 a 1.200 m - com caminhão de 14 m³ e carregadeira</t>
  </si>
  <si>
    <t>1917673</t>
  </si>
  <si>
    <t>Dragagem de material de 1ª categoria com dragline - caçamba de 2,1 m³ - caminho de serviço pavimentado - DMT 1.200 a 1.400 m - com caminhão de 14 m³ e carregadeira</t>
  </si>
  <si>
    <t>1917674</t>
  </si>
  <si>
    <t>Dragagem de material de 1ª categoria com dragline - caçamba de 2,1 m³ - caminho de serviço pavimentado - DMT 1.400 a 1.600 m - com caminhão de 14 m³ e carregadeira</t>
  </si>
  <si>
    <t>1917675</t>
  </si>
  <si>
    <t>Dragagem de material de 1ª categoria com dragline - caçamba de 2,1 m³ - caminho de serviço pavimentado - DMT 1.600 a 1.800 m - com caminhão de 14 m³ e carregadeira</t>
  </si>
  <si>
    <t>1917676</t>
  </si>
  <si>
    <t>Dragagem de material de 1ª categoria com dragline - caçamba de 2,1 m³ - caminho de serviço pavimentado - DMT 1.800 a 2.000 m - com caminhão de 14 m³ e carregadeira</t>
  </si>
  <si>
    <t>1917677</t>
  </si>
  <si>
    <t>Dragagem de material de 1ª categoria com dragline - caçamba de 2,1 m³ - caminho de serviço pavimentado - DMT 2.000 a 2.500 m - com caminhão de 14 m³ e carregadeira</t>
  </si>
  <si>
    <t>1917678</t>
  </si>
  <si>
    <t>Dragagem de material de 1ª categoria com dragline - caçamba de 2,1 m³ - caminho de serviço pavimentado - DMT 2.500 a 3.000 m - com caminhão de 14 m³ e carregadeira</t>
  </si>
  <si>
    <t>1917668</t>
  </si>
  <si>
    <t>Dragagem de material de 1ª categoria com dragline - caçamba de 2,1 m³ - caminho de serviço pavimentado - DMT 200 a 400 m - com caminhão de 14 m³ e carregadeira</t>
  </si>
  <si>
    <t>1917669</t>
  </si>
  <si>
    <t>Dragagem de material de 1ª categoria com dragline - caçamba de 2,1 m³ - caminho de serviço pavimentado - DMT 400 a 600 m - com caminhão de 14 m³ e carregadeira</t>
  </si>
  <si>
    <t>1917667</t>
  </si>
  <si>
    <t>Dragagem de material de 1ª categoria com dragline - caçamba de 2,1 m³ - caminho de serviço pavimentado - DMT 50 a 200 m - com caminhão de 14 m³ e carregadeira</t>
  </si>
  <si>
    <t>1917670</t>
  </si>
  <si>
    <t>Dragagem de material de 1ª categoria com dragline - caçamba de 2,1 m³ - caminho de serviço pavimentado - DMT 600 a 800 m - com caminhão de 14 m³ e carregadeira</t>
  </si>
  <si>
    <t>1917671</t>
  </si>
  <si>
    <t>Dragagem de material de 1ª categoria com dragline - caçamba de 2,1 m³ - caminho de serviço pavimentado - DMT 800 a 1.000 m - com caminhão de 14 m³ e carregadeira</t>
  </si>
  <si>
    <t>1917679</t>
  </si>
  <si>
    <t>Dragagem de material de 1ª categoria com dragline - caçamba de 2,1 m³ - caminho de serviço pavimentado - DMT de 3.000 m - com caminhão de 14 m³ e carregadeira</t>
  </si>
  <si>
    <t>1917640</t>
  </si>
  <si>
    <t>Dragagem de material de 1ª categoria com dragline - caçamba de 2,1 m³ - DMT até 50 m</t>
  </si>
  <si>
    <t>1917686</t>
  </si>
  <si>
    <t>Dragagem de material de 1ª categoria com escavadeira hidráulica - capacidade de caçamba de 1,56 m³ - caminho de serviço em leito natural - DMT 1.000 a 1.200 m</t>
  </si>
  <si>
    <t>1917687</t>
  </si>
  <si>
    <t>Dragagem de material de 1ª categoria com escavadeira hidráulica - capacidade de caçamba de 1,56 m³ - caminho de serviço em leito natural - DMT 1.200 a 1.400 m</t>
  </si>
  <si>
    <t>1917688</t>
  </si>
  <si>
    <t>Dragagem de material de 1ª categoria com escavadeira hidráulica - capacidade de caçamba de 1,56 m³ - caminho de serviço em leito natural - DMT 1.400 a 1.600 m</t>
  </si>
  <si>
    <t>1917689</t>
  </si>
  <si>
    <t>Dragagem de material de 1ª categoria com escavadeira hidráulica - capacidade de caçamba de 1,56 m³ - caminho de serviço em leito natural - DMT 1.600 a 1.800 m</t>
  </si>
  <si>
    <t>1917690</t>
  </si>
  <si>
    <t>Dragagem de material de 1ª categoria com escavadeira hidráulica - capacidade de caçamba de 1,56 m³ - caminho de serviço em leito natural - DMT 1.800 a 2.000 m</t>
  </si>
  <si>
    <t>1917691</t>
  </si>
  <si>
    <t>Dragagem de material de 1ª categoria com escavadeira hidráulica - capacidade de caçamba de 1,56 m³ - caminho de serviço em leito natural - DMT 2.000 a 2.500 m</t>
  </si>
  <si>
    <t>1917692</t>
  </si>
  <si>
    <t>Dragagem de material de 1ª categoria com escavadeira hidráulica - capacidade de caçamba de 1,56 m³ - caminho de serviço em leito natural - DMT 2.500 a 3.000 m</t>
  </si>
  <si>
    <t>1917682</t>
  </si>
  <si>
    <t>Dragagem de material de 1ª categoria com escavadeira hidráulica - capacidade de caçamba de 1,56 m³ - caminho de serviço em leito natural - DMT 200 a 400 m</t>
  </si>
  <si>
    <t>1917693</t>
  </si>
  <si>
    <t>Dragagem de material de 1ª categoria com escavadeira hidráulica - capacidade de caçamba de 1,56 m³ - caminho de serviço em leito natural - DMT 3.000 m</t>
  </si>
  <si>
    <t>1917683</t>
  </si>
  <si>
    <t>Dragagem de material de 1ª categoria com escavadeira hidráulica - capacidade de caçamba de 1,56 m³ - caminho de serviço em leito natural - DMT 400 a 600 m</t>
  </si>
  <si>
    <t>1917681</t>
  </si>
  <si>
    <t>Dragagem de material de 1ª categoria com escavadeira hidráulica - capacidade de caçamba de 1,56 m³ - caminho de serviço em leito natural - DMT 50 a 200 m</t>
  </si>
  <si>
    <t>1917684</t>
  </si>
  <si>
    <t>Dragagem de material de 1ª categoria com escavadeira hidráulica - capacidade de caçamba de 1,56 m³ - caminho de serviço em leito natural - DMT 600 a 800 m</t>
  </si>
  <si>
    <t>1917685</t>
  </si>
  <si>
    <t>Dragagem de material de 1ª categoria com escavadeira hidráulica - capacidade de caçamba de 1,56 m³ - caminho de serviço em leito natural - DMT 800 a 1.000 m</t>
  </si>
  <si>
    <t>1917699</t>
  </si>
  <si>
    <t>Dragagem de material de 1ª categoria com escavadeira hidráulica - capacidade de caçamba de 1,56 m³ - caminho de serviço em revestimento primário - DMT 1.000 a 1.200 m</t>
  </si>
  <si>
    <t>1917700</t>
  </si>
  <si>
    <t>Dragagem de material de 1ª categoria com escavadeira hidráulica - capacidade de caçamba de 1,56 m³ - caminho de serviço em revestimento primário - DMT 1.200 a 1.400 m</t>
  </si>
  <si>
    <t>1917701</t>
  </si>
  <si>
    <t>Dragagem de material de 1ª categoria com escavadeira hidráulica - capacidade de caçamba de 1,56 m³ - caminho de serviço em revestimento primário - DMT 1.400 a 1.600 m</t>
  </si>
  <si>
    <t>1917702</t>
  </si>
  <si>
    <t>Dragagem de material de 1ª categoria com escavadeira hidráulica - capacidade de caçamba de 1,56 m³ - caminho de serviço em revestimento primário - DMT 1.600 a 1.800 m</t>
  </si>
  <si>
    <t>1917703</t>
  </si>
  <si>
    <t>Dragagem de material de 1ª categoria com escavadeira hidráulica - capacidade de caçamba de 1,56 m³ - caminho de serviço em revestimento primário - DMT 1.800 a 2.000 m</t>
  </si>
  <si>
    <t>1917704</t>
  </si>
  <si>
    <t>Dragagem de material de 1ª categoria com escavadeira hidráulica - capacidade de caçamba de 1,56 m³ - caminho de serviço em revestimento primário - DMT 2.000 a 2.500 m</t>
  </si>
  <si>
    <t>1917705</t>
  </si>
  <si>
    <t>Dragagem de material de 1ª categoria com escavadeira hidráulica - capacidade de caçamba de 1,56 m³ - caminho de serviço em revestimento primário - DMT 2.500 a 3.000 m</t>
  </si>
  <si>
    <t>1917695</t>
  </si>
  <si>
    <t>Dragagem de material de 1ª categoria com escavadeira hidráulica - capacidade de caçamba de 1,56 m³ - caminho de serviço em revestimento primário - DMT 200 a 400 m</t>
  </si>
  <si>
    <t>1917706</t>
  </si>
  <si>
    <t>Dragagem de material de 1ª categoria com escavadeira hidráulica - capacidade de caçamba de 1,56 m³ - caminho de serviço em revestimento primário - DMT 3.000 m</t>
  </si>
  <si>
    <t>1917696</t>
  </si>
  <si>
    <t>Dragagem de material de 1ª categoria com escavadeira hidráulica - capacidade de caçamba de 1,56 m³ - caminho de serviço em revestimento primário - DMT 400 a 600 m</t>
  </si>
  <si>
    <t>1917694</t>
  </si>
  <si>
    <t>Dragagem de material de 1ª categoria com escavadeira hidráulica - capacidade de caçamba de 1,56 m³ - caminho de serviço em revestimento primário - DMT 50 a 200 m</t>
  </si>
  <si>
    <t>1917697</t>
  </si>
  <si>
    <t>Dragagem de material de 1ª categoria com escavadeira hidráulica - capacidade de caçamba de 1,56 m³ - caminho de serviço em revestimento primário - DMT 600 a 800 m</t>
  </si>
  <si>
    <t>1917698</t>
  </si>
  <si>
    <t>Dragagem de material de 1ª categoria com escavadeira hidráulica - capacidade de caçamba de 1,56 m³ - caminho de serviço em revestimento primário - DMT 800 a 1.000 m</t>
  </si>
  <si>
    <t>1917712</t>
  </si>
  <si>
    <t>Dragagem de material de 1ª categoria com escavadeira hidráulica - capacidade de caçamba de 1,56 m³ - caminho de serviço pavimentado - DMT 1.000 a 1.200 m</t>
  </si>
  <si>
    <t>1917713</t>
  </si>
  <si>
    <t>Dragagem de material de 1ª categoria com escavadeira hidráulica - capacidade de caçamba de 1,56 m³ - caminho de serviço pavimentado - DMT 1.200 a 1.400 m</t>
  </si>
  <si>
    <t>1917714</t>
  </si>
  <si>
    <t>Dragagem de material de 1ª categoria com escavadeira hidráulica - capacidade de caçamba de 1,56 m³ - caminho de serviço pavimentado - DMT 1.400 a 1.600 m</t>
  </si>
  <si>
    <t>1917715</t>
  </si>
  <si>
    <t>Dragagem de material de 1ª categoria com escavadeira hidráulica - capacidade de caçamba de 1,56 m³ - caminho de serviço pavimentado - DMT 1.600 a 1.800 m</t>
  </si>
  <si>
    <t>1917716</t>
  </si>
  <si>
    <t>Dragagem de material de 1ª categoria com escavadeira hidráulica - capacidade de caçamba de 1,56 m³ - caminho de serviço pavimentado - DMT 1.800 a 2.000 m</t>
  </si>
  <si>
    <t>1917717</t>
  </si>
  <si>
    <t>Dragagem de material de 1ª categoria com escavadeira hidráulica - capacidade de caçamba de 1,56 m³ - caminho de serviço pavimentado - DMT 2.000 a 2.500 m</t>
  </si>
  <si>
    <t>1917718</t>
  </si>
  <si>
    <t>Dragagem de material de 1ª categoria com escavadeira hidráulica - capacidade de caçamba de 1,56 m³ - caminho de serviço pavimentado - DMT 2.500 a 3.000 m</t>
  </si>
  <si>
    <t>1917708</t>
  </si>
  <si>
    <t>Dragagem de material de 1ª categoria com escavadeira hidráulica - capacidade de caçamba de 1,56 m³ - caminho de serviço pavimentado - DMT 200 a 400 m</t>
  </si>
  <si>
    <t>1917719</t>
  </si>
  <si>
    <t>Dragagem de material de 1ª categoria com escavadeira hidráulica - capacidade de caçamba de 1,56 m³ - caminho de serviço pavimentado - DMT 3.000 m</t>
  </si>
  <si>
    <t>1917709</t>
  </si>
  <si>
    <t>Dragagem de material de 1ª categoria com escavadeira hidráulica - capacidade de caçamba de 1,56 m³ - caminho de serviço pavimentado - DMT 400 a 600 m</t>
  </si>
  <si>
    <t>1917707</t>
  </si>
  <si>
    <t>Dragagem de material de 1ª categoria com escavadeira hidráulica - capacidade de caçamba de 1,56 m³ - caminho de serviço pavimentado - DMT 50 a 200 m</t>
  </si>
  <si>
    <t>1917710</t>
  </si>
  <si>
    <t>Dragagem de material de 1ª categoria com escavadeira hidráulica - capacidade de caçamba de 1,56 m³ - caminho de serviço pavimentado - DMT 600 a 800 m</t>
  </si>
  <si>
    <t>1917711</t>
  </si>
  <si>
    <t>Dragagem de material de 1ª categoria com escavadeira hidráulica - capacidade de caçamba de 1,56 m³ - caminho de serviço pavimentado - DMT 800 a 1.000 m</t>
  </si>
  <si>
    <t>1917680</t>
  </si>
  <si>
    <t>Dragagem de material de 1ª categoria com escavadeira hidráulica - capacidade de caçamba de 1,56 m³ - DMT 0 a 50 m</t>
  </si>
  <si>
    <t>1901607</t>
  </si>
  <si>
    <t>Dragagem de material de 1ª categoria com escavadeira hidráulica sobre pontão flutuante - capacidade da caçamba de 1,56 m³ - transporte com batelão sem propulsão com capacidade de 100 t - DMT 0 a 300 m</t>
  </si>
  <si>
    <t>1901611</t>
  </si>
  <si>
    <t>Dragagem de material de 1ª categoria com escavadeira hidráulica sobre pontão flutuante - capacidade da caçamba de 1,56 m³ - transporte com batelão sem propulsão com capacidade de 100 t - DMT 1.200 a 1.500 m</t>
  </si>
  <si>
    <t>1901612</t>
  </si>
  <si>
    <t>Dragagem de material de 1ª categoria com escavadeira hidráulica sobre pontão flutuante - capacidade da caçamba de 1,56 m³ - transporte com batelão sem propulsão com capacidade de 100 t - DMT 1.500 a 1.800 m</t>
  </si>
  <si>
    <t>1901613</t>
  </si>
  <si>
    <t>Dragagem de material de 1ª categoria com escavadeira hidráulica sobre pontão flutuante - capacidade da caçamba de 1,56 m³ - transporte com batelão sem propulsão com capacidade de 100 t - DMT 1.800 a 2.100 m</t>
  </si>
  <si>
    <t>1901614</t>
  </si>
  <si>
    <t>Dragagem de material de 1ª categoria com escavadeira hidráulica sobre pontão flutuante - capacidade da caçamba de 1,56 m³ - transporte com batelão sem propulsão com capacidade de 100 t - DMT 2.100 a 2.400 m</t>
  </si>
  <si>
    <t>1901615</t>
  </si>
  <si>
    <t>Dragagem de material de 1ª categoria com escavadeira hidráulica sobre pontão flutuante - capacidade da caçamba de 1,56 m³ - transporte com batelão sem propulsão com capacidade de 100 t - DMT 2.400 a 2.700 m</t>
  </si>
  <si>
    <t>1901616</t>
  </si>
  <si>
    <t>Dragagem de material de 1ª categoria com escavadeira hidráulica sobre pontão flutuante - capacidade da caçamba de 1,56 m³ - transporte com batelão sem propulsão com capacidade de 100 t - DMT 2.700 a 3.000 m</t>
  </si>
  <si>
    <t>1901608</t>
  </si>
  <si>
    <t>Dragagem de material de 1ª categoria com escavadeira hidráulica sobre pontão flutuante - capacidade da caçamba de 1,56 m³ - transporte com batelão sem propulsão com capacidade de 100 t - DMT 300 a 600 m</t>
  </si>
  <si>
    <t>1901609</t>
  </si>
  <si>
    <t>Dragagem de material de 1ª categoria com escavadeira hidráulica sobre pontão flutuante - capacidade da caçamba de 1,56 m³ - transporte com batelão sem propulsão com capacidade de 100 t - DMT 600 a 900 m</t>
  </si>
  <si>
    <t>1901610</t>
  </si>
  <si>
    <t>Dragagem de material de 1ª categoria com escavadeira hidráulica sobre pontão flutuante - capacidade da caçamba de 1,56 m³ - transporte com batelão sem propulsão com capacidade de 100 t - DMT 900 a 1.200 m</t>
  </si>
  <si>
    <t>1901617</t>
  </si>
  <si>
    <t>Dragagem de material de 1ª categoria com escavadeira hidráulica sobre pontão flutuante - capacidade da caçamba de 1,56 m³ - transporte com batelão sem propulsão com capacidade de 100 t - DMT de 3.000 m</t>
  </si>
  <si>
    <t>1917037</t>
  </si>
  <si>
    <t>Dragagem de silte com draga hopper - capacidade da cisterna de 1.000 m³ - DMT de 1.500 a 1.800 m</t>
  </si>
  <si>
    <t>1917038</t>
  </si>
  <si>
    <t>Dragagem de silte com draga hopper - capacidade da cisterna de 1.000 m³ - DMT de 1.800 a 2.100 m</t>
  </si>
  <si>
    <t>1917039</t>
  </si>
  <si>
    <t>Dragagem de silte com draga hopper - capacidade da cisterna de 1.000 m³ - DMT de 2.100 a 2.400 m</t>
  </si>
  <si>
    <t>1917040</t>
  </si>
  <si>
    <t>Dragagem de silte com draga hopper - capacidade da cisterna de 1.000 m³ - DMT de 2.400 a 2.700 m</t>
  </si>
  <si>
    <t>1917041</t>
  </si>
  <si>
    <t>Dragagem de silte com draga hopper - capacidade da cisterna de 1.000 m³ - DMT de 2.700 a 3.000 m</t>
  </si>
  <si>
    <t>1917042</t>
  </si>
  <si>
    <t>Dragagem de silte com draga hopper - capacidade da cisterna de 1.000 m³ - DMT de 3.000 m</t>
  </si>
  <si>
    <t>1901619</t>
  </si>
  <si>
    <t>Dragagem de silte com draga hopper - capacidade da cisterna de 10.000 m³ - DMT de 1.500 a 1.800 m</t>
  </si>
  <si>
    <t>1901620</t>
  </si>
  <si>
    <t>Dragagem de silte com draga hopper - capacidade da cisterna de 10.000 m³ - DMT de 1.800 a 2.100 m</t>
  </si>
  <si>
    <t>1901621</t>
  </si>
  <si>
    <t>Dragagem de silte com draga hopper - capacidade da cisterna de 10.000 m³ - DMT de 2.100 a 2.400 m</t>
  </si>
  <si>
    <t>1901622</t>
  </si>
  <si>
    <t>Dragagem de silte com draga hopper - capacidade da cisterna de 10.000 m³ - DMT de 2.400 a 2.700 m</t>
  </si>
  <si>
    <t>1901623</t>
  </si>
  <si>
    <t>Dragagem de silte com draga hopper - capacidade da cisterna de 10.000 m³ - DMT de 2.700 a 3.000 m</t>
  </si>
  <si>
    <t>1901618</t>
  </si>
  <si>
    <t>Dragagem de silte com draga hopper - capacidade da cisterna de 10.000 m³ - DMT de 3.000 m</t>
  </si>
  <si>
    <t>1901625</t>
  </si>
  <si>
    <t>Dragagem de silte com draga hopper - capacidade da cisterna de 15.000 m³ - DMT de 1.500 a 1.800 m</t>
  </si>
  <si>
    <t>1901626</t>
  </si>
  <si>
    <t>Dragagem de silte com draga hopper - capacidade da cisterna de 15.000 m³ - DMT de 1.800 a 2.100 m</t>
  </si>
  <si>
    <t>1901627</t>
  </si>
  <si>
    <t>Dragagem de silte com draga hopper - capacidade da cisterna de 15.000 m³ - DMT de 2.100 a 2.400 m</t>
  </si>
  <si>
    <t>1901628</t>
  </si>
  <si>
    <t>Dragagem de silte com draga hopper - capacidade da cisterna de 15.000 m³ - DMT de 2.400 a 2.700 m</t>
  </si>
  <si>
    <t>1901629</t>
  </si>
  <si>
    <t>Dragagem de silte com draga hopper - capacidade da cisterna de 15.000 m³ - DMT de 2.700 a 3.000 m</t>
  </si>
  <si>
    <t>1901624</t>
  </si>
  <si>
    <t>Dragagem de silte com draga hopper - capacidade da cisterna de 15.000 m³ - DMT de 3.000 m</t>
  </si>
  <si>
    <t>1917073</t>
  </si>
  <si>
    <t>Dragagem de silte com draga hopper - capacidade da cisterna de 2.000 m³ - DMT de 1.500 a 1.800 m</t>
  </si>
  <si>
    <t>1917074</t>
  </si>
  <si>
    <t>Dragagem de silte com draga hopper - capacidade da cisterna de 2.000 m³ - DMT de 1.800 a 2.100 m</t>
  </si>
  <si>
    <t>1917075</t>
  </si>
  <si>
    <t>Dragagem de silte com draga hopper - capacidade da cisterna de 2.000 m³ - DMT de 2.100 a 2.400 m</t>
  </si>
  <si>
    <t>1917076</t>
  </si>
  <si>
    <t>Dragagem de silte com draga hopper - capacidade da cisterna de 2.000 m³ - DMT de 2.400 a 2.700 m</t>
  </si>
  <si>
    <t>1917077</t>
  </si>
  <si>
    <t>Dragagem de silte com draga hopper - capacidade da cisterna de 2.000 m³ - DMT de 2.700 a 3.000 m</t>
  </si>
  <si>
    <t>1917078</t>
  </si>
  <si>
    <t>Dragagem de silte com draga hopper - capacidade da cisterna de 2.000 m³ - DMT de 3.000 m</t>
  </si>
  <si>
    <t>1901631</t>
  </si>
  <si>
    <t>Dragagem de silte com draga hopper - capacidade da cisterna de 20.000 m³ - DMT de 1.500 a 1.800 m</t>
  </si>
  <si>
    <t>1901632</t>
  </si>
  <si>
    <t>Dragagem de silte com draga hopper - capacidade da cisterna de 20.000 m³ - DMT de 1.800 a 2.100 m</t>
  </si>
  <si>
    <t>1901633</t>
  </si>
  <si>
    <t>Dragagem de silte com draga hopper - capacidade da cisterna de 20.000 m³ - DMT de 2.100 a 2.400 m</t>
  </si>
  <si>
    <t>1901634</t>
  </si>
  <si>
    <t>Dragagem de silte com draga hopper - capacidade da cisterna de 20.000 m³ - DMT de 2.400 a 2.700 m</t>
  </si>
  <si>
    <t>1901635</t>
  </si>
  <si>
    <t>Dragagem de silte com draga hopper - capacidade da cisterna de 20.000 m³ - DMT de 2.700 a 3.000 m</t>
  </si>
  <si>
    <t>1901630</t>
  </si>
  <si>
    <t>Dragagem de silte com draga hopper - capacidade da cisterna de 20.000 m³ - DMT de 3.000 m</t>
  </si>
  <si>
    <t>1917109</t>
  </si>
  <si>
    <t>Dragagem de silte com draga hopper - capacidade da cisterna de 3.000 m³ - DMT de 1.500 a 1.800 m</t>
  </si>
  <si>
    <t>1917110</t>
  </si>
  <si>
    <t>Dragagem de silte com draga hopper - capacidade da cisterna de 3.000 m³ - DMT de 1.800 a 2.100 m</t>
  </si>
  <si>
    <t>1917111</t>
  </si>
  <si>
    <t>Dragagem de silte com draga hopper - capacidade da cisterna de 3.000 m³ - DMT de 2.100 a 2.400 m</t>
  </si>
  <si>
    <t>1917112</t>
  </si>
  <si>
    <t>Dragagem de silte com draga hopper - capacidade da cisterna de 3.000 m³ - DMT de 2.400 a 2.700 m</t>
  </si>
  <si>
    <t>1917113</t>
  </si>
  <si>
    <t>Dragagem de silte com draga hopper - capacidade da cisterna de 3.000 m³ - DMT de 2.700 a 3.000 m</t>
  </si>
  <si>
    <t>1917114</t>
  </si>
  <si>
    <t>Dragagem de silte com draga hopper - capacidade da cisterna de 3.000 m³ - DMT de 3.000 m</t>
  </si>
  <si>
    <t>1917145</t>
  </si>
  <si>
    <t>Dragagem de silte com draga hopper - capacidade da cisterna de 4.000 m³ - DMT de 1.500 a 1.800 m</t>
  </si>
  <si>
    <t>1917146</t>
  </si>
  <si>
    <t>Dragagem de silte com draga hopper - capacidade da cisterna de 4.000 m³ - DMT de 1.800 a 2.100 m</t>
  </si>
  <si>
    <t>1917147</t>
  </si>
  <si>
    <t>Dragagem de silte com draga hopper - capacidade da cisterna de 4.000 m³ - DMT de 2.100 a 2.400 m</t>
  </si>
  <si>
    <t>1917148</t>
  </si>
  <si>
    <t>Dragagem de silte com draga hopper - capacidade da cisterna de 4.000 m³ - DMT de 2.400 a 2.700 m</t>
  </si>
  <si>
    <t>1917149</t>
  </si>
  <si>
    <t>Dragagem de silte com draga hopper - capacidade da cisterna de 4.000 m³ - DMT de 2.700 a 3.000 m</t>
  </si>
  <si>
    <t>1917150</t>
  </si>
  <si>
    <t>Dragagem de silte com draga hopper - capacidade da cisterna de 4.000 m³ - DMT de 3.000 m</t>
  </si>
  <si>
    <t>1917181</t>
  </si>
  <si>
    <t>Dragagem de silte com draga hopper - capacidade da cisterna de 5.000 m³ - DMT de 1.500 a 1.800 m</t>
  </si>
  <si>
    <t>1917182</t>
  </si>
  <si>
    <t>Dragagem de silte com draga hopper - capacidade da cisterna de 5.000 m³ - DMT de 1.800 a 2.100 m</t>
  </si>
  <si>
    <t>1917183</t>
  </si>
  <si>
    <t>Dragagem de silte com draga hopper - capacidade da cisterna de 5.000 m³ - DMT de 2.100 a 2.400 m</t>
  </si>
  <si>
    <t>1917184</t>
  </si>
  <si>
    <t>Dragagem de silte com draga hopper - capacidade da cisterna de 5.000 m³ - DMT de 2.400 a 2.700 m</t>
  </si>
  <si>
    <t>1917185</t>
  </si>
  <si>
    <t>Dragagem de silte com draga hopper - capacidade da cisterna de 5.000 m³ - DMT de 2.700 a 3.000 m</t>
  </si>
  <si>
    <t>1917186</t>
  </si>
  <si>
    <t>Dragagem de silte com draga hopper - capacidade da cisterna de 5.000 m³ - DMT de 3.000 m</t>
  </si>
  <si>
    <t>1917001</t>
  </si>
  <si>
    <t>Dragagem de silte com draga hopper - capacidade da cisterna de 750 m³ - DMT de 1.500 a 1.800 m</t>
  </si>
  <si>
    <t>1917002</t>
  </si>
  <si>
    <t>Dragagem de silte com draga hopper - capacidade da cisterna de 750 m³ - DMT de 1.800 a 2.100 m</t>
  </si>
  <si>
    <t>1917003</t>
  </si>
  <si>
    <t>Dragagem de silte com draga hopper - capacidade da cisterna de 750 m³ - DMT de 2.100 a 2.400 m</t>
  </si>
  <si>
    <t>1917004</t>
  </si>
  <si>
    <t>Dragagem de silte com draga hopper - capacidade da cisterna de 750 m³ - DMT de 2.400 a 2.700 m</t>
  </si>
  <si>
    <t>1917005</t>
  </si>
  <si>
    <t>Dragagem de silte com draga hopper - capacidade da cisterna de 750 m³ - DMT de 2.700 a 3.000 m</t>
  </si>
  <si>
    <t>1917006</t>
  </si>
  <si>
    <t>Dragagem de silte com draga hopper - capacidade da cisterna de 750 m³ - DMT de 3.000 m</t>
  </si>
  <si>
    <t>2009619</t>
  </si>
  <si>
    <t>Alvenaria de blocos de concreto 19 x 19 x 39 cm com espessura de 20 cm - areia comercial</t>
  </si>
  <si>
    <t>2009618</t>
  </si>
  <si>
    <t>Alvenaria de blocos de concreto 19 x 19 x 39 cm com espessura de 20 cm - areia extraída</t>
  </si>
  <si>
    <t>2003866</t>
  </si>
  <si>
    <t>Aplicação de geotêxtil não-tecido agulhado com resistência à tração longitudinal de 14 kN/m</t>
  </si>
  <si>
    <t>2003867</t>
  </si>
  <si>
    <t>Aplicação de geotêxtil não-tecido agulhado com resistência à tração longitudinal de 31 kN/m</t>
  </si>
  <si>
    <t>2003622</t>
  </si>
  <si>
    <t>Boca de lobo combinada - chapéu e grelha simples - BLC 01 - areia e brita comerciais</t>
  </si>
  <si>
    <t>2003621</t>
  </si>
  <si>
    <t>Boca de lobo combinada - chapéu e grelha simples - BLC 01 - areia extraída e brita produzida</t>
  </si>
  <si>
    <t>2003624</t>
  </si>
  <si>
    <t>Boca de lobo combinada - chapéu e grelha simples - BLC 02 - areia e brita comerciais</t>
  </si>
  <si>
    <t>2003623</t>
  </si>
  <si>
    <t>Boca de lobo combinada - chapéu e grelha simples - BLC 02 - areia extraída e brita produzida</t>
  </si>
  <si>
    <t>2003634</t>
  </si>
  <si>
    <t>Boca de lobo dupla - grelha de concreto - BLDG 01 - areia e brita comerciais</t>
  </si>
  <si>
    <t>2003633</t>
  </si>
  <si>
    <t>Boca de lobo dupla - grelha de concreto - BLDG 01 - areia extraída e brita produzida</t>
  </si>
  <si>
    <t>2003636</t>
  </si>
  <si>
    <t>Boca de lobo dupla - grelha de concreto - BLDG 02 - areia e brita comerciais</t>
  </si>
  <si>
    <t>2003635</t>
  </si>
  <si>
    <t>Boca de lobo dupla - grelha de concreto - BLDG 02 - areia extraída e brita produzida</t>
  </si>
  <si>
    <t>2003638</t>
  </si>
  <si>
    <t>Boca de lobo dupla - grelha de concreto - BLDG 03 - areia e brita comerciais</t>
  </si>
  <si>
    <t>2003637</t>
  </si>
  <si>
    <t>Boca de lobo dupla - grelha de concreto - BLDG 03 - areia extraída e brita produzida</t>
  </si>
  <si>
    <t>2003640</t>
  </si>
  <si>
    <t>Boca de lobo dupla - grelha de concreto - BLDG 04 - areia e brita comerciais</t>
  </si>
  <si>
    <t>2003639</t>
  </si>
  <si>
    <t>Boca de lobo dupla - grelha de concreto - BLDG 04 - areia extraída e brita produzida</t>
  </si>
  <si>
    <t>2003618</t>
  </si>
  <si>
    <t>Boca de lobo simples - BLS 01 - areia e brita comerciais</t>
  </si>
  <si>
    <t>2003617</t>
  </si>
  <si>
    <t>Boca de lobo simples - BLS 01 - areia extraída e brita produzida</t>
  </si>
  <si>
    <t>2003620</t>
  </si>
  <si>
    <t>Boca de lobo simples - BLS 02 - areia e brita comerciais</t>
  </si>
  <si>
    <t>2003619</t>
  </si>
  <si>
    <t>Boca de lobo simples - BLS 02 - areia extraída e brita produzida</t>
  </si>
  <si>
    <t>2003626</t>
  </si>
  <si>
    <t>Boca de lobo simples - grelha de concreto - BLSG 01 - areia e brita comerciais</t>
  </si>
  <si>
    <t>2003625</t>
  </si>
  <si>
    <t>Boca de lobo simples - grelha de concreto - BLSG 01 - areia extraída e brita produzida</t>
  </si>
  <si>
    <t>2003628</t>
  </si>
  <si>
    <t>Boca de lobo simples - grelha de concreto - BLSG 02 - areia e brita comerciais</t>
  </si>
  <si>
    <t>2003627</t>
  </si>
  <si>
    <t>Boca de lobo simples - grelha de concreto - BLSG 02 - areia extraída e brita produzida</t>
  </si>
  <si>
    <t>2003630</t>
  </si>
  <si>
    <t>Boca de lobo simples - grelha de concreto - BLSG 03 - areia e brita comerciais</t>
  </si>
  <si>
    <t>2003629</t>
  </si>
  <si>
    <t>Boca de lobo simples - grelha de concreto - BLSG 03 - areia extraída e brita produzida</t>
  </si>
  <si>
    <t>2003632</t>
  </si>
  <si>
    <t>Boca de lobo simples - grelha de concreto - BLSG 04 - areia e brita comerciais</t>
  </si>
  <si>
    <t>2003631</t>
  </si>
  <si>
    <t>Boca de lobo simples - grelha de concreto - BLSG 04 - areia extraída e brita produzida</t>
  </si>
  <si>
    <t>2003599</t>
  </si>
  <si>
    <t>Boca de saída para dreno longitudinal profundo - BSD 01 - tubo de concreto perfurado - areia e brita comerciais</t>
  </si>
  <si>
    <t>2003598</t>
  </si>
  <si>
    <t>Boca de saída para dreno longitudinal profundo - BSD 01 - tubo de concreto perfurado - areia extraída e brita produzida</t>
  </si>
  <si>
    <t>2003919</t>
  </si>
  <si>
    <t>Boca de saída para dreno longitudinal profundo - BSD 01 - tubo de PEAD - areia e brita comerciais</t>
  </si>
  <si>
    <t>2003918</t>
  </si>
  <si>
    <t>Boca de saída para dreno longitudinal profundo - BSD 01 - tubo de PEAD - areia extraída e brita produzida</t>
  </si>
  <si>
    <t>2003601</t>
  </si>
  <si>
    <t>Boca de saída para dreno longitudinal profundo - BSD 02 - tubo de concreto perfurado - areia e brita comerciais</t>
  </si>
  <si>
    <t>2003600</t>
  </si>
  <si>
    <t>Boca de saída para dreno longitudinal profundo - BSD 02 - tubo de concreto perfurado - areia extraída e brita produzida</t>
  </si>
  <si>
    <t>2003921</t>
  </si>
  <si>
    <t>Boca de saída para dreno longitudinal profundo - BSD 02 - tubo de PEAD - areia e brita comerciais</t>
  </si>
  <si>
    <t>2003920</t>
  </si>
  <si>
    <t>Boca de saída para dreno longitudinal profundo - BSD 02 - tubo de PEAD - areia extraída e brita produzida</t>
  </si>
  <si>
    <t>2003616</t>
  </si>
  <si>
    <t>Boca de saída para dreno sub-horizontal em material de 1ª categoria - BSD 04 - areia e brita comerciais</t>
  </si>
  <si>
    <t>2003615</t>
  </si>
  <si>
    <t>Boca de saída para dreno sub-horizontal em material de 1ª categoria - BSD 04 - areia extraída e brita produzida</t>
  </si>
  <si>
    <t>2003927</t>
  </si>
  <si>
    <t>Boca de saída para dreno sub-horizontal em material de 2ª categoria - BSD 04 - areia e brita comerciais</t>
  </si>
  <si>
    <t>2003926</t>
  </si>
  <si>
    <t>Boca de saída para dreno sub-horizontal em material de 2ª categoria - BSD 04 - areia extraída e brita produzida</t>
  </si>
  <si>
    <t>2003613</t>
  </si>
  <si>
    <t>Boca de saída para dreno subsuperficial - BSD 03 - areia e brita comerciais</t>
  </si>
  <si>
    <t>2003612</t>
  </si>
  <si>
    <t>Boca de saída para dreno subsuperficial - BSD 03 - areia extraída e brita produzida</t>
  </si>
  <si>
    <t>2003477</t>
  </si>
  <si>
    <t>Caixa coletora de sarjeta - CCS 200-60 A - com grelha de concreto - areia e brita comerciais</t>
  </si>
  <si>
    <t>2003476</t>
  </si>
  <si>
    <t>Caixa coletora de sarjeta - CCS 200-60 A - com grelha de concreto - areia extraída e brita produzida</t>
  </si>
  <si>
    <t>2003517</t>
  </si>
  <si>
    <t>Caixa coletora de sarjeta - CCS 200-60 B - com grelha de aço - areia e brita comerciais</t>
  </si>
  <si>
    <t>2003516</t>
  </si>
  <si>
    <t>Caixa coletora de sarjeta - CCS 200-60 B - com grelha de aço - areia extraída e brita produzida</t>
  </si>
  <si>
    <t>2003479</t>
  </si>
  <si>
    <t>Caixa coletora de sarjeta - CCS 200-80 A - com grelha de concreto - areia e brita comerciais</t>
  </si>
  <si>
    <t>2003478</t>
  </si>
  <si>
    <t>Caixa coletora de sarjeta - CCS 200-80 A - com grelha de concreto - areia extraída e brita produzida</t>
  </si>
  <si>
    <t>2003519</t>
  </si>
  <si>
    <t>Caixa coletora de sarjeta - CCS 200-80 B - com grelha de aço - areia e brita comerciais</t>
  </si>
  <si>
    <t>2003518</t>
  </si>
  <si>
    <t>Caixa coletora de sarjeta - CCS 200-80 B - com grelha de aço - areia extraída e brita produzida</t>
  </si>
  <si>
    <t>2003489</t>
  </si>
  <si>
    <t>Caixa coletora de sarjeta - CCS 250-100 A - com grelha de concreto - areia e brita comerciais</t>
  </si>
  <si>
    <t>2003488</t>
  </si>
  <si>
    <t>Caixa coletora de sarjeta - CCS 250-100 A - com grelha de concreto - areia extraída e brita produzida</t>
  </si>
  <si>
    <t>2003529</t>
  </si>
  <si>
    <t>Caixa coletora de sarjeta - CCS 250-100 B - com grelha de aço - areia e brita comerciais</t>
  </si>
  <si>
    <t>2003528</t>
  </si>
  <si>
    <t>Caixa coletora de sarjeta - CCS 250-100 B - com grelha de aço - areia extraída e brita produzida</t>
  </si>
  <si>
    <t>2003491</t>
  </si>
  <si>
    <t>Caixa coletora de sarjeta - CCS 250-120 A - com grelha de concreto - areia e brita comerciais</t>
  </si>
  <si>
    <t>2003490</t>
  </si>
  <si>
    <t>Caixa coletora de sarjeta - CCS 250-120 A - com grelha de concreto - areia extraída e brita produzida</t>
  </si>
  <si>
    <t>2003531</t>
  </si>
  <si>
    <t>Caixa coletora de sarjeta - CCS 250-120 B - com grelha de aço - areia e brita comerciais</t>
  </si>
  <si>
    <t>2003530</t>
  </si>
  <si>
    <t>Caixa coletora de sarjeta - CCS 250-120 B - com grelha de aço - areia extraída e brita produzida</t>
  </si>
  <si>
    <t>2003485</t>
  </si>
  <si>
    <t>Caixa coletora de sarjeta - CCS 250-60 A - com grelha de concreto - areia e brita comerciais</t>
  </si>
  <si>
    <t>2003484</t>
  </si>
  <si>
    <t>Caixa coletora de sarjeta - CCS 250-60 A - com grelha de concreto - areia extraída e brita produzida</t>
  </si>
  <si>
    <t>2003525</t>
  </si>
  <si>
    <t>Caixa coletora de sarjeta - CCS 250-60 B - com grelha de aço - areia e brita comerciais</t>
  </si>
  <si>
    <t>2003524</t>
  </si>
  <si>
    <t>Caixa coletora de sarjeta - CCS 250-60 B - com grelha de aço - areia extraída e brita produzida</t>
  </si>
  <si>
    <t>2003487</t>
  </si>
  <si>
    <t>Caixa coletora de sarjeta - CCS 250-80 A - com grelha de concreto - areia e brita comerciais</t>
  </si>
  <si>
    <t>2003486</t>
  </si>
  <si>
    <t>Caixa coletora de sarjeta - CCS 250-80 A - com grelha de concreto - areia extraída e brita produzida</t>
  </si>
  <si>
    <t>2003527</t>
  </si>
  <si>
    <t>Caixa coletora de sarjeta - CCS 250-80 B - com grelha de aço - areia e brita comerciais</t>
  </si>
  <si>
    <t>2003526</t>
  </si>
  <si>
    <t>Caixa coletora de sarjeta - CCS 250-80 B - com grelha de aço - areia extraída e brita produzida</t>
  </si>
  <si>
    <t>2003497</t>
  </si>
  <si>
    <t>Caixa coletora de sarjeta - CCS 300-100 A - com grelha de concreto - areia e brita comerciais</t>
  </si>
  <si>
    <t>2003496</t>
  </si>
  <si>
    <t>Caixa coletora de sarjeta - CCS 300-100 A - com grelha de concreto - areia extraída e brita produzida</t>
  </si>
  <si>
    <t>2003537</t>
  </si>
  <si>
    <t>Caixa coletora de sarjeta - CCS 300-100 B - com grelha de aço - areia e brita comerciais</t>
  </si>
  <si>
    <t>2003536</t>
  </si>
  <si>
    <t>Caixa coletora de sarjeta - CCS 300-100 B - com grelha de aço - areia extraída e brita produzida</t>
  </si>
  <si>
    <t>2003499</t>
  </si>
  <si>
    <t>Caixa coletora de sarjeta - CCS 300-120 A - com grelha de concreto - areia e brita comerciais</t>
  </si>
  <si>
    <t>2003498</t>
  </si>
  <si>
    <t>Caixa coletora de sarjeta - CCS 300-120 A - com grelha de concreto - areia extraída e brita produzida</t>
  </si>
  <si>
    <t>2003539</t>
  </si>
  <si>
    <t>Caixa coletora de sarjeta - CCS 300-120 B - com grelha de aço - areia e brita comerciais</t>
  </si>
  <si>
    <t>2003538</t>
  </si>
  <si>
    <t>Caixa coletora de sarjeta - CCS 300-120 B - com grelha de aço - areia extraída e brita produzida</t>
  </si>
  <si>
    <t>2003493</t>
  </si>
  <si>
    <t>Caixa coletora de sarjeta - CCS 300-60 A - com grelha de concreto - areia e brita comerciais</t>
  </si>
  <si>
    <t>2003492</t>
  </si>
  <si>
    <t>Caixa coletora de sarjeta - CCS 300-60 A - com grelha de concreto - areia extraída e brita produzida</t>
  </si>
  <si>
    <t>2003533</t>
  </si>
  <si>
    <t>Caixa coletora de sarjeta - CCS 300-60 B - com grelha de aço - areia e brita comerciais</t>
  </si>
  <si>
    <t>2003532</t>
  </si>
  <si>
    <t>Caixa coletora de sarjeta - CCS 300-60 B - com grelha de aço - areia extraída e brita produzida</t>
  </si>
  <si>
    <t>2003495</t>
  </si>
  <si>
    <t>Caixa coletora de sarjeta - CCS 300-80 A - com grelha de concreto - areia e brita comerciais</t>
  </si>
  <si>
    <t>2003494</t>
  </si>
  <si>
    <t>Caixa coletora de sarjeta - CCS 300-80 A - com grelha de concreto - areia extraída e brita produzida</t>
  </si>
  <si>
    <t>2003535</t>
  </si>
  <si>
    <t>Caixa coletora de sarjeta - CCS 300-80 B - com grelha de aço - areia e brita comerciais</t>
  </si>
  <si>
    <t>2003534</t>
  </si>
  <si>
    <t>Caixa coletora de sarjeta - CCS 300-80 B - com grelha de aço - areia extraída e brita produzida</t>
  </si>
  <si>
    <t>2003505</t>
  </si>
  <si>
    <t>Caixa coletora de sarjeta - CCS 350-100 A - com grelha de concreto - areia e brita comerciais</t>
  </si>
  <si>
    <t>2003504</t>
  </si>
  <si>
    <t>Caixa coletora de sarjeta - CCS 350-100 A - com grelha de concreto - areia extraída e brita produzida</t>
  </si>
  <si>
    <t>2003545</t>
  </si>
  <si>
    <t>Caixa coletora de sarjeta - CCS 350-100 B - com grelha de aço - areia e brita comerciais</t>
  </si>
  <si>
    <t>2003544</t>
  </si>
  <si>
    <t>Caixa coletora de sarjeta - CCS 350-100 B - com grelha de aço - areia extraída e brita produzida</t>
  </si>
  <si>
    <t>2003507</t>
  </si>
  <si>
    <t>Caixa coletora de sarjeta - CCS 350-120 A - com grelha de concreto - areia e brita comerciais</t>
  </si>
  <si>
    <t>2003506</t>
  </si>
  <si>
    <t>Caixa coletora de sarjeta - CCS 350-120 A - com grelha de concreto - areia extraída e brita produzida</t>
  </si>
  <si>
    <t>2003547</t>
  </si>
  <si>
    <t>Caixa coletora de sarjeta - CCS 350-120 B - com grelha de aço - areia e brita comerciais</t>
  </si>
  <si>
    <t>2003546</t>
  </si>
  <si>
    <t>Caixa coletora de sarjeta - CCS 350-120 B - com grelha de aço - areia extraída e brita produzida</t>
  </si>
  <si>
    <t>2003501</t>
  </si>
  <si>
    <t>Caixa coletora de sarjeta - CCS 350-60 A - com grelha de concreto - areia e brita comerciais</t>
  </si>
  <si>
    <t>2003500</t>
  </si>
  <si>
    <t>Caixa coletora de sarjeta - CCS 350-60 A - com grelha de concreto - areia extraída e brita produzida</t>
  </si>
  <si>
    <t>2003541</t>
  </si>
  <si>
    <t>Caixa coletora de sarjeta - CCS 350-60 B - com grelha de aço - areia e brita comerciais</t>
  </si>
  <si>
    <t>2003540</t>
  </si>
  <si>
    <t>Caixa coletora de sarjeta - CCS 350-60 B - com grelha de aço - areia extraída e brita produzida</t>
  </si>
  <si>
    <t>2003503</t>
  </si>
  <si>
    <t>Caixa coletora de sarjeta - CCS 350-80 A - com grelha de concreto - areia e brita comerciais</t>
  </si>
  <si>
    <t>2003502</t>
  </si>
  <si>
    <t>Caixa coletora de sarjeta - CCS 350-80 A - com grelha de concreto - areia extraída e brita produzida</t>
  </si>
  <si>
    <t>2003543</t>
  </si>
  <si>
    <t>Caixa coletora de sarjeta - CCS 350-80 B - com grelha de aço - areia e brita comerciais</t>
  </si>
  <si>
    <t>2003542</t>
  </si>
  <si>
    <t>Caixa coletora de sarjeta - CCS 350-80 B - com grelha de aço - areia extraída e brita produzida</t>
  </si>
  <si>
    <t>2003513</t>
  </si>
  <si>
    <t>Caixa coletora de sarjeta - CCS 400-100 A - com grelha de concreto - areia e brita comerciais</t>
  </si>
  <si>
    <t>2003512</t>
  </si>
  <si>
    <t>Caixa coletora de sarjeta - CCS 400-100 A - com grelha de concreto - areia extraída e brita produzida</t>
  </si>
  <si>
    <t>2003553</t>
  </si>
  <si>
    <t>Caixa coletora de sarjeta - CCS 400-100 B - com grelha de aço - areia e brita comerciais</t>
  </si>
  <si>
    <t>2003552</t>
  </si>
  <si>
    <t>Caixa coletora de sarjeta - CCS 400-100 B - com grelha de aço - areia extraída e brita produzida</t>
  </si>
  <si>
    <t>2003515</t>
  </si>
  <si>
    <t>Caixa coletora de sarjeta - CCS 400-120 A - com grelha de concreto - areia e brita comerciais</t>
  </si>
  <si>
    <t>2003514</t>
  </si>
  <si>
    <t>Caixa coletora de sarjeta - CCS 400-120 A - com grelha de concreto - areia extraída e brita produzida</t>
  </si>
  <si>
    <t>2003555</t>
  </si>
  <si>
    <t>Caixa coletora de sarjeta - CCS 400-120 B - com grelha de aço - areia e brita comerciais</t>
  </si>
  <si>
    <t>2003554</t>
  </si>
  <si>
    <t>Caixa coletora de sarjeta - CCS 400-120 B - com grelha de aço - areia extraída e brita produzida</t>
  </si>
  <si>
    <t>2003509</t>
  </si>
  <si>
    <t>Caixa coletora de sarjeta - CCS 400-60 A - com grelha de concreto - areia e brita comerciais</t>
  </si>
  <si>
    <t>2003508</t>
  </si>
  <si>
    <t>Caixa coletora de sarjeta - CCS 400-60 A - com grelha de concreto - areia extraída e brita produzida</t>
  </si>
  <si>
    <t>2003549</t>
  </si>
  <si>
    <t>Caixa coletora de sarjeta - CCS 400-60 B - com grelha de aço - areia e brita comerciais</t>
  </si>
  <si>
    <t>2003548</t>
  </si>
  <si>
    <t>Caixa coletora de sarjeta - CCS 400-60 B - com grelha de aço - areia extraída e brita produzida</t>
  </si>
  <si>
    <t>2003511</t>
  </si>
  <si>
    <t>Caixa coletora de sarjeta - CCS 400-80 A - com grelha de concreto - areia e brita comerciais</t>
  </si>
  <si>
    <t>2003510</t>
  </si>
  <si>
    <t>Caixa coletora de sarjeta - CCS 400-80 A - com grelha de concreto - areia extraída e brita produzida</t>
  </si>
  <si>
    <t>2003551</t>
  </si>
  <si>
    <t>Caixa coletora de sarjeta - CCS 400-80 B - com grelha de aço - areia e brita comerciais</t>
  </si>
  <si>
    <t>2003550</t>
  </si>
  <si>
    <t>Caixa coletora de sarjeta - CCS 400-80 B - com grelha de aço - areia extraída e brita produzida</t>
  </si>
  <si>
    <t>2003728</t>
  </si>
  <si>
    <t>Caixa coletora de talvegue - CCT 01 - areia e brita comerciais</t>
  </si>
  <si>
    <t>2003727</t>
  </si>
  <si>
    <t>Caixa coletora de talvegue - CCT 01 - areia extraída e brita produzida</t>
  </si>
  <si>
    <t>2003730</t>
  </si>
  <si>
    <t>Caixa coletora de talvegue - CCT 02 - areia e brita comerciais</t>
  </si>
  <si>
    <t>2003729</t>
  </si>
  <si>
    <t>Caixa coletora de talvegue - CCT 02 - areia extraída e brita produzida</t>
  </si>
  <si>
    <t>2003732</t>
  </si>
  <si>
    <t>Caixa coletora de talvegue - CCT 03 - areia e brita comerciais</t>
  </si>
  <si>
    <t>2003731</t>
  </si>
  <si>
    <t>Caixa coletora de talvegue - CCT 03 - areia extraída e brita produzida</t>
  </si>
  <si>
    <t>2003734</t>
  </si>
  <si>
    <t>Caixa coletora de talvegue - CCT 04 - areia e brita comerciais</t>
  </si>
  <si>
    <t>2003733</t>
  </si>
  <si>
    <t>Caixa coletora de talvegue - CCT 04 - areia extraída e brita produzida</t>
  </si>
  <si>
    <t>2003736</t>
  </si>
  <si>
    <t>Caixa coletora de talvegue - CCT 05 - areia e brita comerciais</t>
  </si>
  <si>
    <t>2003735</t>
  </si>
  <si>
    <t>Caixa coletora de talvegue - CCT 05 - areia extraída e brita produzida</t>
  </si>
  <si>
    <t>2003738</t>
  </si>
  <si>
    <t>Caixa coletora de talvegue - CCT 06 - areia e brita comerciais</t>
  </si>
  <si>
    <t>2003737</t>
  </si>
  <si>
    <t>Caixa coletora de talvegue - CCT 06 - areia extraída e brita produzida</t>
  </si>
  <si>
    <t>2003740</t>
  </si>
  <si>
    <t>Caixa coletora de talvegue - CCT 07 - areia e brita comerciais</t>
  </si>
  <si>
    <t>2003739</t>
  </si>
  <si>
    <t>Caixa coletora de talvegue - CCT 07 - areia extraída e brita produzida</t>
  </si>
  <si>
    <t>2003742</t>
  </si>
  <si>
    <t>Caixa coletora de talvegue - CCT 08 - areia e brita comerciais</t>
  </si>
  <si>
    <t>2003741</t>
  </si>
  <si>
    <t>Caixa coletora de talvegue - CCT 08 - areia extraída e brita produzida</t>
  </si>
  <si>
    <t>2003744</t>
  </si>
  <si>
    <t>Caixa coletora de talvegue - CCT 09 - areia e brita comerciais</t>
  </si>
  <si>
    <t>2003743</t>
  </si>
  <si>
    <t>Caixa coletora de talvegue - CCT 09 - areia extraída e brita produzida</t>
  </si>
  <si>
    <t>2003746</t>
  </si>
  <si>
    <t>Caixa coletora de talvegue - CCT 10 - areia e brita comerciais</t>
  </si>
  <si>
    <t>2003745</t>
  </si>
  <si>
    <t>Caixa coletora de talvegue - CCT 10 - areia extraída e brita produzida</t>
  </si>
  <si>
    <t>2003748</t>
  </si>
  <si>
    <t>Caixa coletora de talvegue - CCT 11 - areia e brita comerciais</t>
  </si>
  <si>
    <t>2003747</t>
  </si>
  <si>
    <t>Caixa coletora de talvegue - CCT 11 - areia extraída e brita produzida</t>
  </si>
  <si>
    <t>2003750</t>
  </si>
  <si>
    <t>Caixa coletora de talvegue - CCT 12 - areia e brita comerciais</t>
  </si>
  <si>
    <t>2003749</t>
  </si>
  <si>
    <t>Caixa coletora de talvegue - CCT 12 - areia extraída e brita produzida</t>
  </si>
  <si>
    <t>2003752</t>
  </si>
  <si>
    <t>Caixa coletora de talvegue - CCT 13 - areia e brita comerciais</t>
  </si>
  <si>
    <t>2003751</t>
  </si>
  <si>
    <t>Caixa coletora de talvegue - CCT 13 - areia extraída e brita produzida</t>
  </si>
  <si>
    <t>2003754</t>
  </si>
  <si>
    <t>Caixa coletora de talvegue - CCT 14 - areia e brita comerciais</t>
  </si>
  <si>
    <t>2003753</t>
  </si>
  <si>
    <t>Caixa coletora de talvegue - CCT 14 - areia extraída e brita produzida</t>
  </si>
  <si>
    <t>2003756</t>
  </si>
  <si>
    <t>Caixa coletora de talvegue - CCT 15 - areia e brita comerciais</t>
  </si>
  <si>
    <t>2003755</t>
  </si>
  <si>
    <t>Caixa coletora de talvegue - CCT 15 - areia extraída e brita produzida</t>
  </si>
  <si>
    <t>2003758</t>
  </si>
  <si>
    <t>Caixa coletora de talvegue - CCT 16 - areia e brita comerciais</t>
  </si>
  <si>
    <t>2003757</t>
  </si>
  <si>
    <t>Caixa coletora de talvegue - CCT 16 - areia extraída e brita produzida</t>
  </si>
  <si>
    <t>2003760</t>
  </si>
  <si>
    <t>Caixa coletora de talvegue - CCT 17 - areia e brita comerciais</t>
  </si>
  <si>
    <t>2003759</t>
  </si>
  <si>
    <t>Caixa coletora de talvegue - CCT 17 - areia extraída e brita produzida</t>
  </si>
  <si>
    <t>2003762</t>
  </si>
  <si>
    <t>Caixa coletora de talvegue - CCT 18 - areia e brita comerciais</t>
  </si>
  <si>
    <t>2003761</t>
  </si>
  <si>
    <t>Caixa coletora de talvegue - CCT 18 - areia extraída e brita produzida</t>
  </si>
  <si>
    <t>2003764</t>
  </si>
  <si>
    <t>Caixa coletora de talvegue - CCT 19 - areia e brita comerciais</t>
  </si>
  <si>
    <t>2003763</t>
  </si>
  <si>
    <t>Caixa coletora de talvegue - CCT 19 - areia extraída e brita produzida</t>
  </si>
  <si>
    <t>2003766</t>
  </si>
  <si>
    <t>Caixa coletora de talvegue - CCT 20 - areia e brita comerciais</t>
  </si>
  <si>
    <t>2003765</t>
  </si>
  <si>
    <t>Caixa coletora de talvegue - CCT 20 - areia extraída e brita produzida</t>
  </si>
  <si>
    <t>2003642</t>
  </si>
  <si>
    <t>Caixa de ligação e passagem - CLP 01 - areia e brita comerciais</t>
  </si>
  <si>
    <t>2003641</t>
  </si>
  <si>
    <t>Caixa de ligação e passagem - CLP 01 - areia extraída e brita produzida</t>
  </si>
  <si>
    <t>2003644</t>
  </si>
  <si>
    <t>Caixa de ligação e passagem - CLP 02 - areia e brita comerciais</t>
  </si>
  <si>
    <t>2003643</t>
  </si>
  <si>
    <t>Caixa de ligação e passagem - CLP 02 - areia extraída e brita produzida</t>
  </si>
  <si>
    <t>2003646</t>
  </si>
  <si>
    <t>Caixa de ligação e passagem - CLP 03 - areia e brita comerciais</t>
  </si>
  <si>
    <t>2003645</t>
  </si>
  <si>
    <t>Caixa de ligação e passagem - CLP 03 - areia extraída e brita produzida</t>
  </si>
  <si>
    <t>2003648</t>
  </si>
  <si>
    <t>Caixa de ligação e passagem - CLP 04 - areia e brita comerciais</t>
  </si>
  <si>
    <t>2003647</t>
  </si>
  <si>
    <t>Caixa de ligação e passagem - CLP 04 - areia extraída e brita produzida</t>
  </si>
  <si>
    <t>2003650</t>
  </si>
  <si>
    <t>Caixa de ligação e passagem - CLP 05 - areia e brita comerciais</t>
  </si>
  <si>
    <t>2003649</t>
  </si>
  <si>
    <t>Caixa de ligação e passagem - CLP 05 - areia extraída e brita produzida</t>
  </si>
  <si>
    <t>2003652</t>
  </si>
  <si>
    <t>Caixa de ligação e passagem - CLP 06 - areia e brita comerciais</t>
  </si>
  <si>
    <t>2003651</t>
  </si>
  <si>
    <t>Caixa de ligação e passagem - CLP 06 - areia extraída e brita produzida</t>
  </si>
  <si>
    <t>2003654</t>
  </si>
  <si>
    <t>Caixa de ligação e passagem - CLP 07 - areia e brita comerciais</t>
  </si>
  <si>
    <t>2003653</t>
  </si>
  <si>
    <t>Caixa de ligação e passagem - CLP 07 - areia extraída e brita produzida</t>
  </si>
  <si>
    <t>2003656</t>
  </si>
  <si>
    <t>Caixa de ligação e passagem - CLP 08 - areia e brita comerciais</t>
  </si>
  <si>
    <t>2003655</t>
  </si>
  <si>
    <t>Caixa de ligação e passagem - CLP 08 - areia extraída e brita produzida</t>
  </si>
  <si>
    <t>2003658</t>
  </si>
  <si>
    <t>Caixa de ligação e passagem - CLP 09 - areia e brita comerciais</t>
  </si>
  <si>
    <t>2003657</t>
  </si>
  <si>
    <t>Caixa de ligação e passagem - CLP 09 - areia extraída e brita produzida</t>
  </si>
  <si>
    <t>2003660</t>
  </si>
  <si>
    <t>Caixa de ligação e passagem - CLP 10 - areia e brita comerciais</t>
  </si>
  <si>
    <t>2003659</t>
  </si>
  <si>
    <t>Caixa de ligação e passagem - CLP 10 - areia extraída e brita produzida</t>
  </si>
  <si>
    <t>2003662</t>
  </si>
  <si>
    <t>Caixa de ligação e passagem - CLP 11 - areia e brita comerciais</t>
  </si>
  <si>
    <t>2003661</t>
  </si>
  <si>
    <t>Caixa de ligação e passagem - CLP 11 - areia extraída e brita produzida</t>
  </si>
  <si>
    <t>2003664</t>
  </si>
  <si>
    <t>Caixa de ligação e passagem - CLP 12 - areia e brita comerciais</t>
  </si>
  <si>
    <t>2003663</t>
  </si>
  <si>
    <t>Caixa de ligação e passagem - CLP 12 - areia extraída e brita produzida</t>
  </si>
  <si>
    <t>2003666</t>
  </si>
  <si>
    <t>Caixa de ligação e passagem - CLP 13 - areia e brita comerciais</t>
  </si>
  <si>
    <t>2003665</t>
  </si>
  <si>
    <t>Caixa de ligação e passagem - CLP 13 - areia extraída e brita produzida</t>
  </si>
  <si>
    <t>2003668</t>
  </si>
  <si>
    <t>Caixa de ligação e passagem - CLP 14 - areia e brita comerciais</t>
  </si>
  <si>
    <t>2003667</t>
  </si>
  <si>
    <t>Caixa de ligação e passagem - CLP 14 - areia extraída e brita produzida</t>
  </si>
  <si>
    <t>2003670</t>
  </si>
  <si>
    <t>Caixa de ligação e passagem - CLP 15 - areia e brita comerciais</t>
  </si>
  <si>
    <t>2003669</t>
  </si>
  <si>
    <t>Caixa de ligação e passagem - CLP 15 - areia extraída e brita produzida</t>
  </si>
  <si>
    <t>2003672</t>
  </si>
  <si>
    <t>Caixa de ligação e passagem - CLP 16 - areia e brita comerciais</t>
  </si>
  <si>
    <t>2003671</t>
  </si>
  <si>
    <t>Caixa de ligação e passagem - CLP 16 - areia extraída e brita produzida</t>
  </si>
  <si>
    <t>2003674</t>
  </si>
  <si>
    <t>Caixa de ligação e passagem - CLP 17 - areia e brita comerciais</t>
  </si>
  <si>
    <t>2003673</t>
  </si>
  <si>
    <t>Caixa de ligação e passagem - CLP 17 - areia extraída e brita produzida</t>
  </si>
  <si>
    <t>2003676</t>
  </si>
  <si>
    <t>Caixa de ligação e passagem - CLP 18 - areia e brita comerciais</t>
  </si>
  <si>
    <t>2003675</t>
  </si>
  <si>
    <t>Caixa de ligação e passagem - CLP 18 - areia extraída e brita produzida</t>
  </si>
  <si>
    <t>2003854</t>
  </si>
  <si>
    <t>Camada drenante para proteção de muros de contenção - areia comercial</t>
  </si>
  <si>
    <t>2003855</t>
  </si>
  <si>
    <t>Camada drenante para proteção de muros de contenção - areia extraída</t>
  </si>
  <si>
    <t>2003856</t>
  </si>
  <si>
    <t>Camada drenante para proteção de muros de contenção - brita comercial</t>
  </si>
  <si>
    <t>2003857</t>
  </si>
  <si>
    <t>Camada drenante para proteção de muros de contenção - brita produzida</t>
  </si>
  <si>
    <t>2019782</t>
  </si>
  <si>
    <t>Canal em polietileno e polipropileno com efeito autolimpante e abertura de captação em ferro fundido dúctil - carga de controle de 900 kN - 100,0 x 21,0 x 57,9 cm - fornecimento e instalação em pavimento de asfalto</t>
  </si>
  <si>
    <t>2019783</t>
  </si>
  <si>
    <t>Canal em polietileno e polipropileno com efeito autolimpante e abertura de captação em ferro fundido dúctil - carga de controle de 900 kN - 100,0 x 25,2 x 66,5 cm - fornecimento e instalação em pavimento de asfalto</t>
  </si>
  <si>
    <t>2019784</t>
  </si>
  <si>
    <t>Canal em polietileno e polipropileno com efeito autolimpante e abertura de captação em ferro fundido dúctil - carga de controle de 900 kN - 100,0 x 42,0 x 95,0 cm - fornecimento e instalação em pavimento de asfalto</t>
  </si>
  <si>
    <t>2019785</t>
  </si>
  <si>
    <t>Canal em polietileno e polipropileno com efeito autolimpante e abertura de captação em ferro fundido dúctil - carga de controle de 900 kN - 114,2 x 78,0 x 106,0 cm - fornecimento e instalação em pavimento de asfalto</t>
  </si>
  <si>
    <t>2019776</t>
  </si>
  <si>
    <t>Canal em polietileno e polipropileno com efeito autolimpante e grelha de encaixe em ferro fundido dúctil - carga de controle de 400 kN - 100,0 x 14,7 x 18,6 cm - fornecimento e instalação em pavimento de asfalto</t>
  </si>
  <si>
    <t>2019777</t>
  </si>
  <si>
    <t>Canal em polietileno e polipropileno com efeito autolimpante e grelha de encaixe em ferro fundido dúctil - carga de controle de 400 kN - 100,0 x 24,7 x 23,6 cm - fornecimento e instalação em pavimento de asfalto</t>
  </si>
  <si>
    <t>2019778</t>
  </si>
  <si>
    <t>Canal em polietileno e polipropileno com efeito autolimpante e grelha de encaixe em ferro fundido dúctil - carga de controle de 400 kN - 100,0 x 34,9 x 29,4 cm - fornecimento e instalação em pavimento de asfalto</t>
  </si>
  <si>
    <t>2019779</t>
  </si>
  <si>
    <t>Canal em polietileno e polipropileno com efeito autolimpante e grelha de encaixe em ferro fundido dúctil - carga de controle de 600 kN - 100,0 x 16,0 x 15,0 cm - fornecimento e instalação em pavimento de asfalto</t>
  </si>
  <si>
    <t>2019780</t>
  </si>
  <si>
    <t>Canal em polietileno e polipropileno com efeito autolimpante e grelha de encaixe em ferro fundido dúctil - carga de controle de 600 kN - 100,0 x 21,2 x 21,0 cm - fornecimento e instalação em pavimento de asfalto</t>
  </si>
  <si>
    <t>2019781</t>
  </si>
  <si>
    <t>Canal em polietileno e polipropileno com efeito autolimpante e grelha de encaixe em ferro fundido dúctil - carga de controle de 600 kN - 100,0 x 26,2 x 20,0 cm - fornecimento e instalação em pavimento de asfalto</t>
  </si>
  <si>
    <t>2019773</t>
  </si>
  <si>
    <t>Canal em polietileno e polipropileno com efeito autolimpante e grelha de encaixe em poliamida reforçada - carga de controle de 250 kN - 100,0 x 16,0 x 15,0 cm - fornecimento e instalação em pavimento de asfalto</t>
  </si>
  <si>
    <t>2019774</t>
  </si>
  <si>
    <t>Canal em polietileno e polipropileno com efeito autolimpante e grelha de encaixe em poliamida reforçada - carga de controle de 250 kN - 100,0 x 16,0 x 20,0 cm - fornecimento e instalação em pavimento de asfalto</t>
  </si>
  <si>
    <t>2019775</t>
  </si>
  <si>
    <t>Canal em polietileno e polipropileno com efeito autolimpante e grelha de encaixe em poliamida reforçada - carga de controle de 250 kN - 100,0 x 16,0 x 7,5 cm - fornecimento e instalação em pavimento de asfalto</t>
  </si>
  <si>
    <t>2019755</t>
  </si>
  <si>
    <t>Canal monobloco com corpo e grelha em concreto polímero com efeito autolimpante - carga de controle de 400 kN - 100,0 x 15,0 x 23,0 cm - fornecimento e instalação em pavimento de asfalto</t>
  </si>
  <si>
    <t>2019764</t>
  </si>
  <si>
    <t>Canal monobloco com corpo e grelha em concreto polímero com efeito autolimpante - carga de controle de 400 kN - 100,0 x 15,0 x 23,0 cm - fornecimento e instalação em pavimento de concreto</t>
  </si>
  <si>
    <t>2019756</t>
  </si>
  <si>
    <t>Canal monobloco com corpo e grelha em concreto polímero com efeito autolimpante - carga de controle de 400 kN - 100,0 x 25,0 x 32,0 cm - fornecimento e instalação em pavimento de asfalto</t>
  </si>
  <si>
    <t>2019765</t>
  </si>
  <si>
    <t>Canal monobloco com corpo e grelha em concreto polímero com efeito autolimpante - carga de controle de 400 kN - 100,0 x 25,0 x 32,0 cm - fornecimento e instalação em pavimento de concreto</t>
  </si>
  <si>
    <t>2019757</t>
  </si>
  <si>
    <t>Canal monobloco com corpo e grelha em concreto polímero com efeito autolimpante - carga de controle de 900 kN - 100,0 x 16,0 x 26,5 cm - fornecimento e instalação em pavimento de asfalto</t>
  </si>
  <si>
    <t>2019766</t>
  </si>
  <si>
    <t>Canal monobloco com corpo e grelha em concreto polímero com efeito autolimpante - carga de controle de 900 kN - 100,0 x 16,0 x 26,5 cm - fornecimento e instalação em pavimento de concreto</t>
  </si>
  <si>
    <t>2019758</t>
  </si>
  <si>
    <t>Canal monobloco com corpo e grelha em concreto polímero com efeito autolimpante - carga de controle de 900 kN - 100,0 x 21,0 x 28,0 cm - fornecimento e instalação em pavimento de asfalto</t>
  </si>
  <si>
    <t>2019767</t>
  </si>
  <si>
    <t>Canal monobloco com corpo e grelha em concreto polímero com efeito autolimpante - carga de controle de 900 kN - 100,0 x 21,0 x 28,0 cm - fornecimento e instalação em pavimento de concreto</t>
  </si>
  <si>
    <t>2019759</t>
  </si>
  <si>
    <t>Canal monobloco com corpo e grelha em concreto polímero com efeito autolimpante - carga de controle de 900 kN - 100,0 x 21,0 x 38,0 cm - fornecimento e instalação em pavimento de asfalto</t>
  </si>
  <si>
    <t>2019768</t>
  </si>
  <si>
    <t>Canal monobloco com corpo e grelha em concreto polímero com efeito autolimpante - carga de controle de 900 kN - 100,0 x 21,0 x 38,0 cm - fornecimento e instalação em pavimento de concreto</t>
  </si>
  <si>
    <t>2019760</t>
  </si>
  <si>
    <t>Canal monobloco com corpo e grelha em concreto polímero com efeito autolimpante - carga de controle de 900 kN - 100,0 x 21,0 x 48,0 cm - fornecimento e instalação em pavimento de asfalto</t>
  </si>
  <si>
    <t>2019769</t>
  </si>
  <si>
    <t>Canal monobloco com corpo e grelha em concreto polímero com efeito autolimpante - carga de controle de 900 kN - 100,0 x 21,0 x 48,0 cm - fornecimento e instalação em pavimento de concreto</t>
  </si>
  <si>
    <t>2019761</t>
  </si>
  <si>
    <t>Canal monobloco com corpo e grelha em concreto polímero com efeito autolimpante - carga de controle de 900 kN - 100,0 x 26,0 x 33,0 cm - fornecimento e instalação em pavimento de asfalto</t>
  </si>
  <si>
    <t>2019770</t>
  </si>
  <si>
    <t>Canal monobloco com corpo e grelha em concreto polímero com efeito autolimpante - carga de controle de 900 kN - 100,0 x 26,0 x 33,0 cm - fornecimento e instalação em pavimento de concreto</t>
  </si>
  <si>
    <t>2019762</t>
  </si>
  <si>
    <t>Canal monobloco com corpo e grelha em concreto polímero com efeito autolimpante - carga de controle de 900 kN - 100,0 x 26,0 x 53,0 cm - fornecimento e instalação em pavimento de asfalto</t>
  </si>
  <si>
    <t>2019771</t>
  </si>
  <si>
    <t>Canal monobloco com corpo e grelha em concreto polímero com efeito autolimpante - carga de controle de 900 kN - 100,0 x 26,0 x 53,0 cm - fornecimento e instalação em pavimento de concreto</t>
  </si>
  <si>
    <t>2019763</t>
  </si>
  <si>
    <t>Canal monobloco com corpo e grelha em concreto polímero com efeito autolimpante - carga de controle de 900 kN - 200,0 x 40,0 x 59,5 cm - fornecimento e instalação em pavimento de asfalto</t>
  </si>
  <si>
    <t>2019772</t>
  </si>
  <si>
    <t>Canal monobloco com corpo e grelha em concreto polímero com efeito autolimpante - carga de controle de 900 kN - 200,0 x 40,0 x 59,5 cm - fornecimento e instalação em pavimento de concreto</t>
  </si>
  <si>
    <t>2003811</t>
  </si>
  <si>
    <t>Canaleta de concreto - CAU 01 - seção de 20 x 20 cm - espessura de 10 cm - apoiada em toda a extensão</t>
  </si>
  <si>
    <t>2003812</t>
  </si>
  <si>
    <t>Canaleta de concreto - CAU 02 - seção de 25 x 25 cm - espessura de 10 cm - apoiada em toda a extensão</t>
  </si>
  <si>
    <t>2003813</t>
  </si>
  <si>
    <t>Canaleta de concreto - CAU 03 - seção de 30 x 30 cm - espessura de 10 cm - apoiada em toda a extensão</t>
  </si>
  <si>
    <t>2003814</t>
  </si>
  <si>
    <t>Canaleta de concreto - CAU 04 - seção de 35 x 35 cm - espessura de 10 cm - apoiada em toda a extensão</t>
  </si>
  <si>
    <t>2003815</t>
  </si>
  <si>
    <t>Canaleta de concreto - CAU 05 - seção de 40 x 40 cm - espessura de 10 cm - apoiada em toda a extensão</t>
  </si>
  <si>
    <t>2003816</t>
  </si>
  <si>
    <t>Canaleta de concreto - CAU 06 - seção de 50 x 50 cm - espessura de 10 cm - apoiada em toda a extensão</t>
  </si>
  <si>
    <t>2003817</t>
  </si>
  <si>
    <t>Canaleta de concreto - CAU 07 - seção de 60 x 60 cm - espessura de 10 cm - apoiada em toda a extensão</t>
  </si>
  <si>
    <t>2003799</t>
  </si>
  <si>
    <t>Canaleta meia cana D = 0,30 m assente sobre lastro de areia - areia e brita comerciais - fornecimento e instalação</t>
  </si>
  <si>
    <t>2003798</t>
  </si>
  <si>
    <t>Canaleta meia cana D = 0,30 m assente sobre lastro de areia - areia extraída e brita produzida - fornecimento e instalação</t>
  </si>
  <si>
    <t>2003801</t>
  </si>
  <si>
    <t>Canaleta meia cana D = 0,40 m assente sobre lastro de areia - areia e brita comerciais - fornecimento e instalação</t>
  </si>
  <si>
    <t>2003800</t>
  </si>
  <si>
    <t>Canaleta meia cana D = 0,40 m assente sobre lastro de areia - areia extraída e brita produzida - fornecimento e instalação</t>
  </si>
  <si>
    <t>2003714</t>
  </si>
  <si>
    <t>Chaminé dos poços de visita - CPV 01 - areia e brita comerciais</t>
  </si>
  <si>
    <t>2003713</t>
  </si>
  <si>
    <t>Chaminé dos poços de visita - CPV 01 - areia extraída e brita produzida</t>
  </si>
  <si>
    <t>2003716</t>
  </si>
  <si>
    <t>Chaminé dos poços de visita - CPV 02 - areia e brita comerciais</t>
  </si>
  <si>
    <t>2003715</t>
  </si>
  <si>
    <t>Chaminé dos poços de visita - CPV 02 - areia extraída e brita produzida</t>
  </si>
  <si>
    <t>2003718</t>
  </si>
  <si>
    <t>Chaminé dos poços de visita - CPV 03 - areia e brita comerciais</t>
  </si>
  <si>
    <t>2003717</t>
  </si>
  <si>
    <t>Chaminé dos poços de visita - CPV 03 - areia extraída e brita produzida</t>
  </si>
  <si>
    <t>2003720</t>
  </si>
  <si>
    <t>Chaminé dos poços de visita - CPV 04 - areia e brita comerciais</t>
  </si>
  <si>
    <t>2003719</t>
  </si>
  <si>
    <t>Chaminé dos poços de visita - CPV 04 - areia extraída e brita produzida</t>
  </si>
  <si>
    <t>2003722</t>
  </si>
  <si>
    <t>Chaminé dos poços de visita - CPV 05 - areia e brita comerciais</t>
  </si>
  <si>
    <t>2003721</t>
  </si>
  <si>
    <t>Chaminé dos poços de visita - CPV 05 - areia extraída e brita produzida</t>
  </si>
  <si>
    <t>2003724</t>
  </si>
  <si>
    <t>Chaminé dos poços de visita - CPV 06 - areia e brita comerciais</t>
  </si>
  <si>
    <t>2003723</t>
  </si>
  <si>
    <t>Chaminé dos poços de visita - CPV 06 - areia extraída e brita produzida</t>
  </si>
  <si>
    <t>2003726</t>
  </si>
  <si>
    <t>Chaminé dos poços de visita - CPV 07 - areia e brita comerciais</t>
  </si>
  <si>
    <t>2003725</t>
  </si>
  <si>
    <t>Chaminé dos poços de visita - CPV 07 - areia extraída e brita produzida</t>
  </si>
  <si>
    <t>2003859</t>
  </si>
  <si>
    <t>Colchão drenante com espalhamento e compactação mecânicos - brita produzida</t>
  </si>
  <si>
    <t>2003861</t>
  </si>
  <si>
    <t>Coluna drenante D = 20 cm - areia comercial</t>
  </si>
  <si>
    <t>2003862</t>
  </si>
  <si>
    <t>Coluna drenante D = 20 cm - areia extraída</t>
  </si>
  <si>
    <t>2003411</t>
  </si>
  <si>
    <t>Descida d'água de aterros em degraus - DAD 110-26 - areia e brita comerciais</t>
  </si>
  <si>
    <t>2003410</t>
  </si>
  <si>
    <t>Descida d'água de aterros em degraus - DAD 110-26 - areia extraída e brita produzida</t>
  </si>
  <si>
    <t>2003415</t>
  </si>
  <si>
    <t>Descida d'água de aterros em degraus - DAD 125-30 - areia e brita comerciais</t>
  </si>
  <si>
    <t>2003414</t>
  </si>
  <si>
    <t>Descida d'água de aterros em degraus - DAD 125-30 - areia extraída e brita produzida</t>
  </si>
  <si>
    <t>2003419</t>
  </si>
  <si>
    <t>Descida d'água de aterros em degraus - DAD 170-35 - areia e brita comerciais</t>
  </si>
  <si>
    <t>2003418</t>
  </si>
  <si>
    <t>Descida d'água de aterros em degraus - DAD 170-35 - areia extraída e brita produzida</t>
  </si>
  <si>
    <t>2003423</t>
  </si>
  <si>
    <t>Descida d'água de aterros em degraus - DAD 200-40 - areia e brita comerciais</t>
  </si>
  <si>
    <t>2003422</t>
  </si>
  <si>
    <t>Descida d'água de aterros em degraus - DAD 200-40 - areia extraída e brita produzida</t>
  </si>
  <si>
    <t>2003427</t>
  </si>
  <si>
    <t>Descida d'água de aterros em degraus - DAD 240-54 - areia e brita comerciais</t>
  </si>
  <si>
    <t>2003426</t>
  </si>
  <si>
    <t>Descida d'água de aterros em degraus - DAD 240-54 - areia extraída e brita produzida</t>
  </si>
  <si>
    <t>2003431</t>
  </si>
  <si>
    <t>Descida d'água de aterros em degraus - DAD 320-35 - areia e brita comerciais</t>
  </si>
  <si>
    <t>2003430</t>
  </si>
  <si>
    <t>Descida d'água de aterros em degraus - DAD 320-35 - areia extraída e brita produzida</t>
  </si>
  <si>
    <t>2003435</t>
  </si>
  <si>
    <t>Descida d'água de aterros em degraus - DAD 370-45 - areia e brita comerciais</t>
  </si>
  <si>
    <t>2003434</t>
  </si>
  <si>
    <t>Descida d'água de aterros em degraus - DAD 370-45 - areia extraída e brita produzida</t>
  </si>
  <si>
    <t>2003439</t>
  </si>
  <si>
    <t>Descida d'água de aterros em degraus - DAD 435-55 - areia e brita comerciais</t>
  </si>
  <si>
    <t>2003438</t>
  </si>
  <si>
    <t>Descida d'água de aterros em degraus - DAD 435-55 - areia extraída e brita produzida</t>
  </si>
  <si>
    <t>2003167</t>
  </si>
  <si>
    <t>Descida d'água de aterros em degraus - DAD 470-35 - areia e brita comerciais</t>
  </si>
  <si>
    <t>2003168</t>
  </si>
  <si>
    <t>Descida d'água de aterros em degraus - DAD 470-35 - areia extraída e brita produzida</t>
  </si>
  <si>
    <t>2003407</t>
  </si>
  <si>
    <t>Descida d'água de aterros em degraus - DAD 60-36 - areia e brita comerciais</t>
  </si>
  <si>
    <t>2003406</t>
  </si>
  <si>
    <t>Descida d'água de aterros em degraus - DAD 60-36 - areia extraída e brita produzida</t>
  </si>
  <si>
    <t>2003169</t>
  </si>
  <si>
    <t>Descida d'água de aterros em degraus - DAD 608-50 - areia e brita comerciais</t>
  </si>
  <si>
    <t>2003170</t>
  </si>
  <si>
    <t>Descida d'água de aterros em degraus - DAD 608-50 - areia extraída e brita produzida</t>
  </si>
  <si>
    <t>2003389</t>
  </si>
  <si>
    <t>Descida d'água de aterros tipo rápido - DAR 40-20 - areia e brita comerciais</t>
  </si>
  <si>
    <t>2003388</t>
  </si>
  <si>
    <t>Descida d'água de aterros tipo rápido - DAR 40-20 - areia extraída e brita produzida</t>
  </si>
  <si>
    <t>2003393</t>
  </si>
  <si>
    <t>Descida d'água de aterros tipo rápido - DAR 60-30 - areia e brita comerciais</t>
  </si>
  <si>
    <t>2003392</t>
  </si>
  <si>
    <t>Descida d'água de aterros tipo rápido - DAR 60-30 - areia extraída e brita produzida</t>
  </si>
  <si>
    <t>2003173</t>
  </si>
  <si>
    <t>Descida d'água de cortes em degraus - DCD 100-50 - areia e brita comerciais</t>
  </si>
  <si>
    <t>2003174</t>
  </si>
  <si>
    <t>Descida d'água de cortes em degraus - DCD 100-50 - areia extraída e brita produzida</t>
  </si>
  <si>
    <t>2003171</t>
  </si>
  <si>
    <t>Descida d'água de cortes em degraus - DCD 40-40 - areia e brita comerciais</t>
  </si>
  <si>
    <t>2003172</t>
  </si>
  <si>
    <t>Descida d'água de cortes em degraus - DCD 40-40 - areia extraída e brita produzida</t>
  </si>
  <si>
    <t>2003399</t>
  </si>
  <si>
    <t>Descida d'água de cortes em degraus - DCD 60-30 - areia e brita comerciais</t>
  </si>
  <si>
    <t>2003398</t>
  </si>
  <si>
    <t>Descida d'água de cortes em degraus - DCD 60-30 - areia extraída e brita produzida</t>
  </si>
  <si>
    <t>2003403</t>
  </si>
  <si>
    <t>Descida d'água de cortes em degraus - DCD 80-40 - areia e brita comerciais</t>
  </si>
  <si>
    <t>2003402</t>
  </si>
  <si>
    <t>Descida d'água de cortes em degraus - DCD 80-40 - areia extraída e brita produzida</t>
  </si>
  <si>
    <t>2003452</t>
  </si>
  <si>
    <t>Dissipador de energia - DEB 180-263 - areia extraída e brita e pedra de mão produzidas</t>
  </si>
  <si>
    <t>2003453</t>
  </si>
  <si>
    <t>Dissipador de energia - DEB 180-263 - areia, brita e pedra de mão comerciais</t>
  </si>
  <si>
    <t>2003454</t>
  </si>
  <si>
    <t>Dissipador de energia - DEB 240-316 - areia extraída e brita e pedra de mão produzidas</t>
  </si>
  <si>
    <t>2003455</t>
  </si>
  <si>
    <t>Dissipador de energia - DEB 240-316 - areia, brita e pedra de mão comerciais</t>
  </si>
  <si>
    <t>2003456</t>
  </si>
  <si>
    <t>Dissipador de energia - DEB 300-366 - areia extraída e brita e pedra de mão produzidas</t>
  </si>
  <si>
    <t>2003457</t>
  </si>
  <si>
    <t>Dissipador de energia - DEB 300-366 - areia, brita e pedra de mão comerciais</t>
  </si>
  <si>
    <t>2003462</t>
  </si>
  <si>
    <t>Dissipador de energia - DEB 300-511 - areia extraída e brita e pedra de mão produzidas</t>
  </si>
  <si>
    <t>2003463</t>
  </si>
  <si>
    <t>Dissipador de energia - DEB 300-511 - areia, brita e pedra de mão comerciais</t>
  </si>
  <si>
    <t>2003468</t>
  </si>
  <si>
    <t>Dissipador de energia - DEB 300-666 - areia extraída e brita e pedra de mão produzidas</t>
  </si>
  <si>
    <t>2003469</t>
  </si>
  <si>
    <t>Dissipador de energia - DEB 300-666 - areia, brita e pedra de mão comerciais</t>
  </si>
  <si>
    <t>2003458</t>
  </si>
  <si>
    <t>Dissipador de energia - DEB 360-414 - areia extraída e brita e pedra de mão produzidas</t>
  </si>
  <si>
    <t>2003459</t>
  </si>
  <si>
    <t>Dissipador de energia - DEB 360-414 - areia, brita e pedra de mão comerciais</t>
  </si>
  <si>
    <t>2003464</t>
  </si>
  <si>
    <t>Dissipador de energia - DEB 360-584 - areia extraída e brita e pedra de mão produzidas</t>
  </si>
  <si>
    <t>2003465</t>
  </si>
  <si>
    <t>Dissipador de energia - DEB 360-584 - areia, brita e pedra de mão comerciais</t>
  </si>
  <si>
    <t>2003470</t>
  </si>
  <si>
    <t>Dissipador de energia - DEB 360-754 - areia extraída e brita e pedra de mão produzidas</t>
  </si>
  <si>
    <t>2003471</t>
  </si>
  <si>
    <t>Dissipador de energia - DEB 360-754 - areia, brita e pedra de mão comerciais</t>
  </si>
  <si>
    <t>2003460</t>
  </si>
  <si>
    <t>Dissipador de energia - DEB 450-551 - areia extraída e brita e pedra de mão produzidas</t>
  </si>
  <si>
    <t>2003461</t>
  </si>
  <si>
    <t>Dissipador de energia - DEB 450-551 - areia, brita e pedra de mão comerciais</t>
  </si>
  <si>
    <t>2003466</t>
  </si>
  <si>
    <t>Dissipador de energia - DEB 450-746 - areia extraída e brita e pedra de mão produzidas</t>
  </si>
  <si>
    <t>2003467</t>
  </si>
  <si>
    <t>Dissipador de energia - DEB 450-746 - areia, brita e pedra de mão comerciais</t>
  </si>
  <si>
    <t>2003472</t>
  </si>
  <si>
    <t>Dissipador de energia - DEB 450-956 - areia extraída e brita e pedra de mão produzidas</t>
  </si>
  <si>
    <t>2003473</t>
  </si>
  <si>
    <t>Dissipador de energia - DEB 450-956 - areia, brita e pedra de mão comerciais</t>
  </si>
  <si>
    <t>2003176</t>
  </si>
  <si>
    <t>Dissipador de energia - DED 01 A - areia extraída e brita e pedra de mão produzidas</t>
  </si>
  <si>
    <t>2003175</t>
  </si>
  <si>
    <t>Dissipador de energia - DED 01 A - areia, brita e pedra de mão comerciais</t>
  </si>
  <si>
    <t>2003201</t>
  </si>
  <si>
    <t>Dissipador de energia - DED 01 B - areia e brita comerciais</t>
  </si>
  <si>
    <t>2003202</t>
  </si>
  <si>
    <t>Dissipador de energia - DED 01 B - areia extraída e brita produzida</t>
  </si>
  <si>
    <t>2003178</t>
  </si>
  <si>
    <t>Dissipador de energia - DED 02 A - areia extraída e brita e pedra de mão produzidas</t>
  </si>
  <si>
    <t>2003177</t>
  </si>
  <si>
    <t>Dissipador de energia - DED 02 A - areia, brita e pedra de mão comerciais</t>
  </si>
  <si>
    <t>2003203</t>
  </si>
  <si>
    <t>Dissipador de energia - DED 02 B - areia e brita comerciais</t>
  </si>
  <si>
    <t>2003204</t>
  </si>
  <si>
    <t>Dissipador de energia - DED 02 B - areia extraída e brita produzida</t>
  </si>
  <si>
    <t>2003180</t>
  </si>
  <si>
    <t>Dissipador de energia - DED 03 A - areia extraída e brita e pedra de mão produzidas</t>
  </si>
  <si>
    <t>2003179</t>
  </si>
  <si>
    <t>Dissipador de energia - DED 03 A - areia, brita e pedra de mão comerciais</t>
  </si>
  <si>
    <t>2003205</t>
  </si>
  <si>
    <t>Dissipador de energia - DED 03 B - areia e brita comerciais</t>
  </si>
  <si>
    <t>2003206</t>
  </si>
  <si>
    <t>Dissipador de energia - DED 03 B - areia extraída e brita produzida</t>
  </si>
  <si>
    <t>2003182</t>
  </si>
  <si>
    <t>Dissipador de energia - DED 04 A - areia extraída e brita e pedra de mão produzidas</t>
  </si>
  <si>
    <t>2003181</t>
  </si>
  <si>
    <t>Dissipador de energia - DED 04 A - areia, brita e pedra de mão comerciais</t>
  </si>
  <si>
    <t>2003207</t>
  </si>
  <si>
    <t>Dissipador de energia - DED 04 B - areia e brita comerciais</t>
  </si>
  <si>
    <t>2003208</t>
  </si>
  <si>
    <t>Dissipador de energia - DED 04 B - areia extraída e brita produzida</t>
  </si>
  <si>
    <t>2003184</t>
  </si>
  <si>
    <t>Dissipador de energia - DED 05 A - areia extraída e brita e pedra de mão produzidas</t>
  </si>
  <si>
    <t>2003183</t>
  </si>
  <si>
    <t>Dissipador de energia - DED 05 A - areia, brita e pedra de mão comerciais</t>
  </si>
  <si>
    <t>2003209</t>
  </si>
  <si>
    <t>Dissipador de energia - DED 05 B - areia e brita comerciais</t>
  </si>
  <si>
    <t>2003210</t>
  </si>
  <si>
    <t>Dissipador de energia - DED 05 B - areia extraída e brita produzida</t>
  </si>
  <si>
    <t>2003186</t>
  </si>
  <si>
    <t>Dissipador de energia - DED 06 A - areia extraída e brita e pedra de mão produzidas</t>
  </si>
  <si>
    <t>2003185</t>
  </si>
  <si>
    <t>Dissipador de energia - DED 06 A - areia, brita e pedra de mão comerciais</t>
  </si>
  <si>
    <t>2003211</t>
  </si>
  <si>
    <t>Dissipador de energia - DED 06 B - areia e brita comerciais</t>
  </si>
  <si>
    <t>2003212</t>
  </si>
  <si>
    <t>Dissipador de energia - DED 06 B - areia extraída e brita produzida</t>
  </si>
  <si>
    <t>2003188</t>
  </si>
  <si>
    <t>Dissipador de energia - DED 07 A - areia extraída e brita e pedra de mão produzidas</t>
  </si>
  <si>
    <t>2003187</t>
  </si>
  <si>
    <t>Dissipador de energia - DED 07 A - areia, brita e pedra de mão comerciais</t>
  </si>
  <si>
    <t>2003213</t>
  </si>
  <si>
    <t>Dissipador de energia - DED 07 B - areia e brita comerciais</t>
  </si>
  <si>
    <t>2003214</t>
  </si>
  <si>
    <t>Dissipador de energia - DED 07 B - areia extraída e brita produzida</t>
  </si>
  <si>
    <t>2003190</t>
  </si>
  <si>
    <t>Dissipador de energia - DED 08 A - areia extraída e brita e pedra de mão produzidas</t>
  </si>
  <si>
    <t>2003189</t>
  </si>
  <si>
    <t>Dissipador de energia - DED 08 A - areia, brita e pedra de mão comerciais</t>
  </si>
  <si>
    <t>2003215</t>
  </si>
  <si>
    <t>Dissipador de energia - DED 08 B - areia e brita comerciais</t>
  </si>
  <si>
    <t>2003216</t>
  </si>
  <si>
    <t>Dissipador de energia - DED 08 B - areia extraída e brita produzida</t>
  </si>
  <si>
    <t>2003192</t>
  </si>
  <si>
    <t>Dissipador de energia - DED 09 A - areia extraída e brita e pedra de mão produzidas</t>
  </si>
  <si>
    <t>2003191</t>
  </si>
  <si>
    <t>Dissipador de energia - DED 09 A - areia, brita e pedra de mão comerciais</t>
  </si>
  <si>
    <t>2003217</t>
  </si>
  <si>
    <t>Dissipador de energia - DED 09 B - areia e brita comerciais</t>
  </si>
  <si>
    <t>2003218</t>
  </si>
  <si>
    <t>Dissipador de energia - DED 09 B - areia extraída e brita produzida</t>
  </si>
  <si>
    <t>2003194</t>
  </si>
  <si>
    <t>Dissipador de energia - DED 10 A - areia extraída e brita e pedra de mão produzidas</t>
  </si>
  <si>
    <t>2003193</t>
  </si>
  <si>
    <t>Dissipador de energia - DED 10 A - areia, brita e pedra de mão comerciais</t>
  </si>
  <si>
    <t>2003219</t>
  </si>
  <si>
    <t>Dissipador de energia - DED 10 B - areia e brita comerciais</t>
  </si>
  <si>
    <t>2003220</t>
  </si>
  <si>
    <t>Dissipador de energia - DED 10 B - areia extraída e brita produzida</t>
  </si>
  <si>
    <t>2003196</t>
  </si>
  <si>
    <t>Dissipador de energia - DED 11 A - areia extraída e brita e pedra de mão produzidas</t>
  </si>
  <si>
    <t>2003195</t>
  </si>
  <si>
    <t>Dissipador de energia - DED 11 A - areia, brita e pedra de mão comerciais</t>
  </si>
  <si>
    <t>2003221</t>
  </si>
  <si>
    <t>Dissipador de energia - DED 11 B - areia e brita comerciais</t>
  </si>
  <si>
    <t>2003222</t>
  </si>
  <si>
    <t>Dissipador de energia - DED 11 B - areia extraída e brita produzida</t>
  </si>
  <si>
    <t>2003198</t>
  </si>
  <si>
    <t>Dissipador de energia - DED 12 A - areia extraída e brita e pedra de mão produzidas</t>
  </si>
  <si>
    <t>2003197</t>
  </si>
  <si>
    <t>Dissipador de energia - DED 12 A - areia, brita e pedra de mão comerciais</t>
  </si>
  <si>
    <t>2003223</t>
  </si>
  <si>
    <t>Dissipador de energia - DED 12 B - areia e brita comerciais</t>
  </si>
  <si>
    <t>2003224</t>
  </si>
  <si>
    <t>Dissipador de energia - DED 12 B - areia extraída e brita produzida</t>
  </si>
  <si>
    <t>2003200</t>
  </si>
  <si>
    <t>Dissipador de energia - DED 13 A - areia extraída e brita e pedra de mão produzidas</t>
  </si>
  <si>
    <t>2003199</t>
  </si>
  <si>
    <t>Dissipador de energia - DED 13 A - areia, brita e pedra de mão comerciais</t>
  </si>
  <si>
    <t>2003225</t>
  </si>
  <si>
    <t>Dissipador de energia - DED 13 B - areia e brita comerciais</t>
  </si>
  <si>
    <t>2003226</t>
  </si>
  <si>
    <t>Dissipador de energia - DED 13 B - areia extraída e brita produzida</t>
  </si>
  <si>
    <t>2003238</t>
  </si>
  <si>
    <t>Dissipador de energia - DES 100-300 - areia extraída e brita e pedra de mão produzidas</t>
  </si>
  <si>
    <t>2003237</t>
  </si>
  <si>
    <t>Dissipador de energia - DES 100-300 - areia, brita e pedra de mão comerciais</t>
  </si>
  <si>
    <t>2003236</t>
  </si>
  <si>
    <t>Dissipador de energia - DES 108-324 - areia extraída e brita e pedra de mão produzidas</t>
  </si>
  <si>
    <t>2003235</t>
  </si>
  <si>
    <t>Dissipador de energia - DES 108-324 - areia, brita e pedra de mão comerciais</t>
  </si>
  <si>
    <t>2003234</t>
  </si>
  <si>
    <t>Dissipador de energia - DES 120-360 - areia extraída e brita e pedra de mão produzidas</t>
  </si>
  <si>
    <t>2003233</t>
  </si>
  <si>
    <t>Dissipador de energia - DES 120-360 - areia, brita e pedra de mão comerciais</t>
  </si>
  <si>
    <t>2003232</t>
  </si>
  <si>
    <t>Dissipador de energia - DES 125-375 - areia extraída e brita e pedra de mão produzidas</t>
  </si>
  <si>
    <t>2003231</t>
  </si>
  <si>
    <t>Dissipador de energia - DES 125-375 - areia, brita e pedra de mão comerciais</t>
  </si>
  <si>
    <t>2003230</t>
  </si>
  <si>
    <t>Dissipador de energia - DES 150-450 - areia extraída e brita e pedra de mão produzidas</t>
  </si>
  <si>
    <t>2003229</t>
  </si>
  <si>
    <t>Dissipador de energia - DES 150-450 - areia, brita e pedra de mão comerciais</t>
  </si>
  <si>
    <t>2003228</t>
  </si>
  <si>
    <t>Dissipador de energia - DES 160-480 - areia extraída e brita e pedra de mão produzidas</t>
  </si>
  <si>
    <t>2003227</t>
  </si>
  <si>
    <t>Dissipador de energia - DES 160-480 - areia, brita e pedra de mão comerciais</t>
  </si>
  <si>
    <t>2003248</t>
  </si>
  <si>
    <t>Dissipador de energia - DES 60-180 - areia extraída e brita e pedra de mão produzidas</t>
  </si>
  <si>
    <t>2003247</t>
  </si>
  <si>
    <t>Dissipador de energia - DES 60-180 - areia, brita e pedra de mão comerciais</t>
  </si>
  <si>
    <t>2003246</t>
  </si>
  <si>
    <t>Dissipador de energia - DES 73-219 - areia extraída e brita e pedra de mão produzidas</t>
  </si>
  <si>
    <t>2003245</t>
  </si>
  <si>
    <t>Dissipador de energia - DES 73-219 - areia, brita e pedra de mão comerciais</t>
  </si>
  <si>
    <t>2003244</t>
  </si>
  <si>
    <t>Dissipador de energia - DES 80-240 - areia extraída e brita e pedra de mão produzidas</t>
  </si>
  <si>
    <t>2003243</t>
  </si>
  <si>
    <t>Dissipador de energia - DES 80-240 - areia, brita e pedra de mão comerciais</t>
  </si>
  <si>
    <t>2003242</t>
  </si>
  <si>
    <t>Dissipador de energia - DES 88-264 - areia extraída e brita e pedra de mão produzidas</t>
  </si>
  <si>
    <t>2003241</t>
  </si>
  <si>
    <t>Dissipador de energia - DES 88-264 - areia, brita e pedra de mão comerciais</t>
  </si>
  <si>
    <t>2003240</t>
  </si>
  <si>
    <t>Dissipador de energia - DES 90-270 - areia extraída e brita e pedra de mão produzidas</t>
  </si>
  <si>
    <t>2003239</t>
  </si>
  <si>
    <t>Dissipador de energia - DES 90-270 - areia, brita e pedra de mão comerciais</t>
  </si>
  <si>
    <t>2004516</t>
  </si>
  <si>
    <t>Dreno de pavimento em microvala com geocomposto drenante H = 0,40 m - inclusive corte, enchimento com areia e selo asfáltico</t>
  </si>
  <si>
    <t>2004517</t>
  </si>
  <si>
    <t>Dreno de pavimento em microvala com geocomposto drenante H = 0,60 m - inclusive corte, enchimento com areia e selo asfáltico</t>
  </si>
  <si>
    <t>2007971</t>
  </si>
  <si>
    <t>Dreno de PVC D = 100 mm para OAE - fornecimento e instalação</t>
  </si>
  <si>
    <t>2008091</t>
  </si>
  <si>
    <t>Dreno de PVC D = 150 mm para OAE - fornecimento e instalação</t>
  </si>
  <si>
    <t>2006408</t>
  </si>
  <si>
    <t>Dreno de PVC D = 75 mm para OAE - fornecimento e instalação</t>
  </si>
  <si>
    <t>2015642</t>
  </si>
  <si>
    <t>Dreno em tubo de aço galvanizado D = 100 mm em OAE - fornecimento e instalação</t>
  </si>
  <si>
    <t>2015641</t>
  </si>
  <si>
    <t>Dreno em tubo de aço galvanizado D = 80 mm em OAE - fornecimento e instalação</t>
  </si>
  <si>
    <t>2004509</t>
  </si>
  <si>
    <t>Dreno longitudinal de pavimento H = 0,40 m - com geocomposto drenante</t>
  </si>
  <si>
    <t>2004510</t>
  </si>
  <si>
    <t>Dreno longitudinal de pavimento H = 0,60 m - com geocomposto drenante</t>
  </si>
  <si>
    <t>2004511</t>
  </si>
  <si>
    <t>Dreno longitudinal de pavimento H = 1,00 m - com geocomposto drenante</t>
  </si>
  <si>
    <t>2004512</t>
  </si>
  <si>
    <t>Dreno longitudinal de pavimento H = 1,50 m - com geocomposto drenante</t>
  </si>
  <si>
    <t>2003843</t>
  </si>
  <si>
    <t>Dreno longitudinal profundo em tubo de concreto D = 0,40 m em vala de H = 1,10 m e L = 1,00 m com brita envolta em geotêxtil</t>
  </si>
  <si>
    <t>2003915</t>
  </si>
  <si>
    <t>Dreno longitudinal profundo para corte em rocha - DPR 01 - tubo de concreto perfurado e brita comercial</t>
  </si>
  <si>
    <t>2003914</t>
  </si>
  <si>
    <t>Dreno longitudinal profundo para corte em rocha - DPR 01 - tubo de concreto perfurado e brita produzida</t>
  </si>
  <si>
    <t>2003589</t>
  </si>
  <si>
    <t>Dreno longitudinal profundo para corte em rocha - DPR 01 - tubo PEAD e brita comercial</t>
  </si>
  <si>
    <t>2003588</t>
  </si>
  <si>
    <t>Dreno longitudinal profundo para corte em rocha - DPR 01 - tubo PEAD e brita produzida</t>
  </si>
  <si>
    <t>2003917</t>
  </si>
  <si>
    <t>Dreno longitudinal profundo para corte em rocha - DPR 02 - tubo de concreto perfurado e brita comercial</t>
  </si>
  <si>
    <t>2003916</t>
  </si>
  <si>
    <t>Dreno longitudinal profundo para corte em rocha - DPR 02 - tubo de concreto perfurado e brita produzida</t>
  </si>
  <si>
    <t>2003591</t>
  </si>
  <si>
    <t>Dreno longitudinal profundo para corte em rocha - DPR 02 - tubo PEAD e brita comercial</t>
  </si>
  <si>
    <t>2003590</t>
  </si>
  <si>
    <t>Dreno longitudinal profundo para corte em rocha - DPR 02 - tubo PEAD e brita produzida</t>
  </si>
  <si>
    <t>2003593</t>
  </si>
  <si>
    <t>Dreno longitudinal profundo para corte em rocha - DPR 03 - brita comercial</t>
  </si>
  <si>
    <t>2003592</t>
  </si>
  <si>
    <t>Dreno longitudinal profundo para corte em rocha - DPR 03 - brita produzida</t>
  </si>
  <si>
    <t>2003595</t>
  </si>
  <si>
    <t>Dreno longitudinal profundo para corte em rocha - DPR 04 - brita comercial</t>
  </si>
  <si>
    <t>2003594</t>
  </si>
  <si>
    <t>Dreno longitudinal profundo para corte em rocha - DPR 04 - brita produzida</t>
  </si>
  <si>
    <t>2003597</t>
  </si>
  <si>
    <t>Dreno longitudinal profundo para corte em rocha - DPR 05 - tubo de concreto poroso e areia comercial</t>
  </si>
  <si>
    <t>2003596</t>
  </si>
  <si>
    <t>Dreno longitudinal profundo para corte em rocha - DPR 05 - tubo de concreto poroso e areia extraída</t>
  </si>
  <si>
    <t>2003572</t>
  </si>
  <si>
    <t>Dreno longitudinal profundo para corte em solo - DPS 01 - tubo PEAD e areia comercial</t>
  </si>
  <si>
    <t>2003580</t>
  </si>
  <si>
    <t>Dreno longitudinal profundo para corte em solo - DPS 01 - tubo PEAD e areia extraída</t>
  </si>
  <si>
    <t>2003573</t>
  </si>
  <si>
    <t>Dreno longitudinal profundo para corte em solo - DPS 02 - tubo PEAD e areia comercial</t>
  </si>
  <si>
    <t>2003581</t>
  </si>
  <si>
    <t>Dreno longitudinal profundo para corte em solo - DPS 02 - tubo PEAD e areia extraída</t>
  </si>
  <si>
    <t>2003561</t>
  </si>
  <si>
    <t>Dreno longitudinal profundo para corte em solo - DPS 03 - tubo de concreto perfurado, areia e brita comerciais - madeira com utilização de 5 vezes</t>
  </si>
  <si>
    <t>2003560</t>
  </si>
  <si>
    <t>Dreno longitudinal profundo para corte em solo - DPS 03 - tubo de concreto perfurado, areia extraída e brita produzida - madeira com utilização de 5 vezes</t>
  </si>
  <si>
    <t>2003574</t>
  </si>
  <si>
    <t>Dreno longitudinal profundo para corte em solo - DPS 03 - tubo PEAD, areia e brita comerciais - madeira com utilização de 5 vezes</t>
  </si>
  <si>
    <t>2003582</t>
  </si>
  <si>
    <t>Dreno longitudinal profundo para corte em solo - DPS 03 - tubo PEAD, areia extraída e brita produzida - madeira com utilização de 5 vezes</t>
  </si>
  <si>
    <t>2003563</t>
  </si>
  <si>
    <t>Dreno longitudinal profundo para corte em solo - DPS 04 - tubo de concreto perfurado, areia e brita comerciais - madeira com utilização de 5 vezes</t>
  </si>
  <si>
    <t>2003562</t>
  </si>
  <si>
    <t>Dreno longitudinal profundo para corte em solo - DPS 04 - tubo de concreto perfurado, areia extraída e brita produzida - madeira com utilização de 5 vezes</t>
  </si>
  <si>
    <t>2003575</t>
  </si>
  <si>
    <t>Dreno longitudinal profundo para corte em solo - DPS 04 - tubo PEAD, areia e brita comerciais - madeira com utilização de 5 vezes</t>
  </si>
  <si>
    <t>2003583</t>
  </si>
  <si>
    <t>Dreno longitudinal profundo para corte em solo - DPS 04 - tubo PEAD, areia extraída e brita produzida - madeira com utilização de 5 vezes</t>
  </si>
  <si>
    <t>2003565</t>
  </si>
  <si>
    <t>Dreno longitudinal profundo para corte em solo - DPS 05 - dreno cego - brita comercial</t>
  </si>
  <si>
    <t>2003564</t>
  </si>
  <si>
    <t>Dreno longitudinal profundo para corte em solo - DPS 05 - dreno cego - brita produzida</t>
  </si>
  <si>
    <t>2003567</t>
  </si>
  <si>
    <t>Dreno longitudinal profundo para corte em solo - DPS 06 - dreno cego - brita comercial</t>
  </si>
  <si>
    <t>2003566</t>
  </si>
  <si>
    <t>Dreno longitudinal profundo para corte em solo - DPS 06 - dreno cego - brita produzida</t>
  </si>
  <si>
    <t>2003569</t>
  </si>
  <si>
    <t>Dreno longitudinal profundo para corte em solo - DPS 07 - tubo de concreto perfurado e brita comercial</t>
  </si>
  <si>
    <t>2003568</t>
  </si>
  <si>
    <t>Dreno longitudinal profundo para corte em solo - DPS 07 - tubo de concreto perfurado e brita produzida</t>
  </si>
  <si>
    <t>2003578</t>
  </si>
  <si>
    <t>Dreno longitudinal profundo para corte em solo - DPS 07 - tubo PEAD e brita comercial</t>
  </si>
  <si>
    <t>2003586</t>
  </si>
  <si>
    <t>Dreno longitudinal profundo para corte em solo - DPS 07 - tubo PEAD e brita produzida</t>
  </si>
  <si>
    <t>2003571</t>
  </si>
  <si>
    <t>Dreno longitudinal profundo para corte em solo - DPS 08 - tubo de concreto perfurado e brita comercial</t>
  </si>
  <si>
    <t>2003570</t>
  </si>
  <si>
    <t>Dreno longitudinal profundo para corte em solo - DPS 08 - tubo de concreto perfurado e brita produzida</t>
  </si>
  <si>
    <t>2003579</t>
  </si>
  <si>
    <t>Dreno longitudinal profundo para corte em solo - DPS 08 - tubo PEAD e brita comercial</t>
  </si>
  <si>
    <t>2003587</t>
  </si>
  <si>
    <t>Dreno longitudinal profundo para corte em solo - DPS 08 - tubo PEAD e brita produzida</t>
  </si>
  <si>
    <t>2004506</t>
  </si>
  <si>
    <t>Dreno profundo H = 1,0 m - com geocomposto drenante - inclusive escavação e reaterro</t>
  </si>
  <si>
    <t>2004507</t>
  </si>
  <si>
    <t>Dreno profundo H = 1,5 m - com geocomposto drenante - inclusive escavação e reaterro</t>
  </si>
  <si>
    <t>2003614</t>
  </si>
  <si>
    <t>Dreno sub-horizontal - DSH 01 - material de 1ª categoria</t>
  </si>
  <si>
    <t>2003865</t>
  </si>
  <si>
    <t>Dreno sub-horizontal - DSH 01 - material de 2ª categoria</t>
  </si>
  <si>
    <t>2003923</t>
  </si>
  <si>
    <t>Dreno subsuperficial - DSS 01 - tubo de concreto perfurado e areia comercial</t>
  </si>
  <si>
    <t>2003922</t>
  </si>
  <si>
    <t>Dreno subsuperficial - DSS 01 - tubo de concreto perfurado e areia extraída</t>
  </si>
  <si>
    <t>2003605</t>
  </si>
  <si>
    <t>Dreno subsuperficial - DSS 01 - tubo PEAD e areia comercial</t>
  </si>
  <si>
    <t>2003604</t>
  </si>
  <si>
    <t>Dreno subsuperficial - DSS 01 - tubo PEAD e areia extraída</t>
  </si>
  <si>
    <t>2003607</t>
  </si>
  <si>
    <t>Dreno subsuperficial - DSS 02 - brita comercial</t>
  </si>
  <si>
    <t>2003606</t>
  </si>
  <si>
    <t>Dreno subsuperficial - DSS 02 - brita produzida</t>
  </si>
  <si>
    <t>2003609</t>
  </si>
  <si>
    <t>Dreno subsuperficial - DSS 03 - brita comercial</t>
  </si>
  <si>
    <t>2003608</t>
  </si>
  <si>
    <t>Dreno subsuperficial - DSS 03 - brita produzida</t>
  </si>
  <si>
    <t>2003925</t>
  </si>
  <si>
    <t>Dreno subsuperficial - DSS 04 - tubo de concreto perfurado e brita comercial</t>
  </si>
  <si>
    <t>2003924</t>
  </si>
  <si>
    <t>Dreno subsuperficial - DSS 04 - tubo de concreto perfurado e brita produzida</t>
  </si>
  <si>
    <t>2003611</t>
  </si>
  <si>
    <t>Dreno subsuperficial - DSS 04 - tubo PEAD e brita comercial</t>
  </si>
  <si>
    <t>2003610</t>
  </si>
  <si>
    <t>Dreno subsuperficial - DSS 04 - tubo PEAD e brita produzida</t>
  </si>
  <si>
    <t>2003820</t>
  </si>
  <si>
    <t>Dreno tipo barbacã - DRB 01 - D = 75 mm em estrutura de contenção de encosta - excluso o tubo de drenagem</t>
  </si>
  <si>
    <t>2003821</t>
  </si>
  <si>
    <t>Dreno tipo barbacã - DRB 02 - D = 50 mm em estrutura de contenção de encosta - excluso o tubo de drenagem</t>
  </si>
  <si>
    <t>2003842</t>
  </si>
  <si>
    <t>Enchimento de junta de concreto com argamassa asfáltica de densidade 1.700 kg/m³ - espessura de 1 cm</t>
  </si>
  <si>
    <t>2003103</t>
  </si>
  <si>
    <t>Entrada para descida d'água - EDA 01 A - areia e brita comerciais</t>
  </si>
  <si>
    <t>2003104</t>
  </si>
  <si>
    <t>Entrada para descida d'água - EDA 01 A - areia extraída e brita produzida</t>
  </si>
  <si>
    <t>2003115</t>
  </si>
  <si>
    <t>Entrada para descida d'água - EDA 01 B - areia e brita comerciais</t>
  </si>
  <si>
    <t>2003116</t>
  </si>
  <si>
    <t>Entrada para descida d'água - EDA 01 B - areia extraída e brita produzida</t>
  </si>
  <si>
    <t>2003105</t>
  </si>
  <si>
    <t>Entrada para descida d'água - EDA 02 A - areia e brita comerciais</t>
  </si>
  <si>
    <t>2003106</t>
  </si>
  <si>
    <t>Entrada para descida d'água - EDA 02 A - areia extraída e brita produzida</t>
  </si>
  <si>
    <t>2003117</t>
  </si>
  <si>
    <t>Entrada para descida d'água - EDA 02 B - areia e brita comerciais</t>
  </si>
  <si>
    <t>2003118</t>
  </si>
  <si>
    <t>Entrada para descida d'água - EDA 02 B - areia extraída e brita produzida</t>
  </si>
  <si>
    <t>2003107</t>
  </si>
  <si>
    <t>Entrada para descida d'água - EDA 03 A - areia e brita comerciais</t>
  </si>
  <si>
    <t>2003108</t>
  </si>
  <si>
    <t>Entrada para descida d'água - EDA 03 A - areia extraída e brita produzida</t>
  </si>
  <si>
    <t>2003119</t>
  </si>
  <si>
    <t>Entrada para descida d'água - EDA 03 B - areia e brita comerciais</t>
  </si>
  <si>
    <t>2003120</t>
  </si>
  <si>
    <t>Entrada para descida d'água - EDA 03 B - areia extraída e brita produzida</t>
  </si>
  <si>
    <t>2003109</t>
  </si>
  <si>
    <t>Entrada para descida d'água - EDA 04 A - areia e brita comerciais</t>
  </si>
  <si>
    <t>2003110</t>
  </si>
  <si>
    <t>Entrada para descida d'água - EDA 04 A - areia extraída e brita produzida</t>
  </si>
  <si>
    <t>2003121</t>
  </si>
  <si>
    <t>Entrada para descida d'água - EDA 04 B - areia e brita comerciais</t>
  </si>
  <si>
    <t>2003122</t>
  </si>
  <si>
    <t>Entrada para descida d'água - EDA 04 B - areia extraída e brita produzida</t>
  </si>
  <si>
    <t>2003111</t>
  </si>
  <si>
    <t>Entrada para descida d'água - EDA 05 A - areia e brita comerciais</t>
  </si>
  <si>
    <t>2003112</t>
  </si>
  <si>
    <t>Entrada para descida d'água - EDA 05 A - areia extraída e brita produzida</t>
  </si>
  <si>
    <t>2003123</t>
  </si>
  <si>
    <t>Entrada para descida d'água - EDA 05 B - areia e brita comerciais</t>
  </si>
  <si>
    <t>2003124</t>
  </si>
  <si>
    <t>Entrada para descida d'água - EDA 05 B - areia extraída e brita produzida</t>
  </si>
  <si>
    <t>2003113</t>
  </si>
  <si>
    <t>Entrada para descida d'água - EDA 06 A - areia e brita comerciais</t>
  </si>
  <si>
    <t>2003114</t>
  </si>
  <si>
    <t>Entrada para descida d'água - EDA 06 A - areia extraída e brita produzida</t>
  </si>
  <si>
    <t>2003125</t>
  </si>
  <si>
    <t>Entrada para descida d'água - EDA 06 B - areia e brita comerciais</t>
  </si>
  <si>
    <t>2003126</t>
  </si>
  <si>
    <t>Entrada para descida d'água - EDA 06 B - areia extraída e brita produzida</t>
  </si>
  <si>
    <t>2003127</t>
  </si>
  <si>
    <t>Entrada para descida d'água - EDA 07 A - areia e brita comerciais</t>
  </si>
  <si>
    <t>2003128</t>
  </si>
  <si>
    <t>Entrada para descida d'água - EDA 07 A - areia extraída e brita produzida</t>
  </si>
  <si>
    <t>2003147</t>
  </si>
  <si>
    <t>Entrada para descida d'água - EDA 07 B - areia e brita comerciais</t>
  </si>
  <si>
    <t>2003148</t>
  </si>
  <si>
    <t>Entrada para descida d'água - EDA 07 B - areia extraída e brita produzida</t>
  </si>
  <si>
    <t>2003129</t>
  </si>
  <si>
    <t>Entrada para descida d'água - EDA 08 A - areia e brita comerciais</t>
  </si>
  <si>
    <t>2003130</t>
  </si>
  <si>
    <t>Entrada para descida d'água - EDA 08 A - areia extraída e brita produzida</t>
  </si>
  <si>
    <t>2003149</t>
  </si>
  <si>
    <t>Entrada para descida d'água - EDA 08 B - areia e brita comerciais</t>
  </si>
  <si>
    <t>2003150</t>
  </si>
  <si>
    <t>Entrada para descida d'água - EDA 08 B - areia extraída e brita produzida</t>
  </si>
  <si>
    <t>2003131</t>
  </si>
  <si>
    <t>Entrada para descida d'água - EDA 09 A - areia e brita comerciais</t>
  </si>
  <si>
    <t>2003132</t>
  </si>
  <si>
    <t>Entrada para descida d'água - EDA 09 A - areia extraída e brita produzida</t>
  </si>
  <si>
    <t>2003151</t>
  </si>
  <si>
    <t>Entrada para descida d'água - EDA 09 B - areia e brita comerciais</t>
  </si>
  <si>
    <t>2003152</t>
  </si>
  <si>
    <t>Entrada para descida d'água - EDA 09 B - areia extraída e brita produzida</t>
  </si>
  <si>
    <t>2003133</t>
  </si>
  <si>
    <t>Entrada para descida d'água - EDA 10 A - areia e brita comerciais</t>
  </si>
  <si>
    <t>2003134</t>
  </si>
  <si>
    <t>Entrada para descida d'água - EDA 10 A - areia extraída e brita produzida</t>
  </si>
  <si>
    <t>2003153</t>
  </si>
  <si>
    <t>Entrada para descida d'água - EDA 10 B - areia e brita comerciais</t>
  </si>
  <si>
    <t>2003154</t>
  </si>
  <si>
    <t>Entrada para descida d'água - EDA 10 B - areia extraída e brita produzida</t>
  </si>
  <si>
    <t>2003135</t>
  </si>
  <si>
    <t>Entrada para descida d'água - EDA 11 A - areia e brita comerciais</t>
  </si>
  <si>
    <t>2003136</t>
  </si>
  <si>
    <t>Entrada para descida d'água - EDA 11 A - areia extraída e brita produzida</t>
  </si>
  <si>
    <t>2003155</t>
  </si>
  <si>
    <t>Entrada para descida d'água - EDA 11 B - areia e brita comerciais</t>
  </si>
  <si>
    <t>2003156</t>
  </si>
  <si>
    <t>Entrada para descida d'água - EDA 11 B - areia extraída e brita produzida</t>
  </si>
  <si>
    <t>2003137</t>
  </si>
  <si>
    <t>Entrada para descida d'água - EDA 12 A - areia e brita comerciais</t>
  </si>
  <si>
    <t>2003138</t>
  </si>
  <si>
    <t>Entrada para descida d'água - EDA 12 A - areia extraída e brita produzida</t>
  </si>
  <si>
    <t>2003157</t>
  </si>
  <si>
    <t>Entrada para descida d'água - EDA 12 B - areia e brita comerciais</t>
  </si>
  <si>
    <t>2003158</t>
  </si>
  <si>
    <t>Entrada para descida d'água - EDA 12 B - areia extraída e brita produzida</t>
  </si>
  <si>
    <t>2003139</t>
  </si>
  <si>
    <t>Entrada para descida d'água - EDA 13 A - areia e brita comerciais</t>
  </si>
  <si>
    <t>2003140</t>
  </si>
  <si>
    <t>Entrada para descida d'água - EDA 13 A - areia extraída e brita produzida</t>
  </si>
  <si>
    <t>2003159</t>
  </si>
  <si>
    <t>Entrada para descida d'água - EDA 13 B - areia e brita comerciais</t>
  </si>
  <si>
    <t>2003160</t>
  </si>
  <si>
    <t>Entrada para descida d'água - EDA 13 B - areia extraída e brita produzida</t>
  </si>
  <si>
    <t>2003141</t>
  </si>
  <si>
    <t>Entrada para descida d'água - EDA 14 A - areia e brita comerciais</t>
  </si>
  <si>
    <t>2003142</t>
  </si>
  <si>
    <t>Entrada para descida d'água - EDA 14 A - areia extraída e brita produzida</t>
  </si>
  <si>
    <t>2003161</t>
  </si>
  <si>
    <t>Entrada para descida d'água - EDA 14 B - areia e brita comerciais</t>
  </si>
  <si>
    <t>2003162</t>
  </si>
  <si>
    <t>Entrada para descida d'água - EDA 14 B - areia extraída e brita produzida</t>
  </si>
  <si>
    <t>2003143</t>
  </si>
  <si>
    <t>Entrada para descida d'água - EDA 15 A - areia e brita comerciais</t>
  </si>
  <si>
    <t>2003144</t>
  </si>
  <si>
    <t>Entrada para descida d'água - EDA 15 A - areia extraída e brita produzida</t>
  </si>
  <si>
    <t>2003163</t>
  </si>
  <si>
    <t>Entrada para descida d'água - EDA 15 B - areia e brita comerciais</t>
  </si>
  <si>
    <t>2003164</t>
  </si>
  <si>
    <t>Entrada para descida d'água - EDA 15 B - areia extraída e brita produzida</t>
  </si>
  <si>
    <t>2003145</t>
  </si>
  <si>
    <t>Entrada para descida d'água - EDA 16 A - areia e brita comerciais</t>
  </si>
  <si>
    <t>2003146</t>
  </si>
  <si>
    <t>Entrada para descida d'água - EDA 16 A - areia extraída e brita produzida</t>
  </si>
  <si>
    <t>2003165</t>
  </si>
  <si>
    <t>Entrada para descida d'água - EDA 16 B - areia e brita comerciais</t>
  </si>
  <si>
    <t>2003166</t>
  </si>
  <si>
    <t>Entrada para descida d'água - EDA 16 B - areia extraída e brita produzida</t>
  </si>
  <si>
    <t>2003819</t>
  </si>
  <si>
    <t>Envelope de brita para tubos com diâmetro externo de 75 a 110 mm - L = 15 cm e H = 15 cm</t>
  </si>
  <si>
    <t>2004504</t>
  </si>
  <si>
    <t>Escavação mecânica de vala para drenagem com valetadeira em material de 1ª categoria</t>
  </si>
  <si>
    <t>2004519</t>
  </si>
  <si>
    <t>Escavação mecânica de vala trapezoidal ou triangular em material de 1ª categoria para drenagem superficial com retroescavadeira - 0,10 m² ≤ seção &lt; 0,15 m²</t>
  </si>
  <si>
    <t>2004520</t>
  </si>
  <si>
    <t>Escavação mecânica de vala trapezoidal ou triangular em material de 1ª categoria para drenagem superficial com retroescavadeira - 0,15 m² ≤ seção &lt; 0,20 m²</t>
  </si>
  <si>
    <t>2004521</t>
  </si>
  <si>
    <t>Escavação mecânica de vala trapezoidal ou triangular em material de 1ª categoria para drenagem superficial com retroescavadeira - 0,20 m² ≤ seção &lt; 0,30 m²</t>
  </si>
  <si>
    <t>2004522</t>
  </si>
  <si>
    <t>Escavação mecânica de vala trapezoidal ou triangular em material de 1ª categoria para drenagem superficial com retroescavadeira - 0,30 m² ≤ seção &lt; 0,50 m²</t>
  </si>
  <si>
    <t>2004518</t>
  </si>
  <si>
    <t>Escavação mecânica de vala trapezoidal ou triangular em material de 1ª categoria para drenagem superficial com retroescavadeira - seção &lt; 0,10 m²</t>
  </si>
  <si>
    <t>2003864</t>
  </si>
  <si>
    <t>Esgotamento de água com bomba submersa</t>
  </si>
  <si>
    <t>h</t>
  </si>
  <si>
    <t>2003863</t>
  </si>
  <si>
    <t>Esgotamento de dreno horizontal profundo a vácuo</t>
  </si>
  <si>
    <t>2004508</t>
  </si>
  <si>
    <t>Geodreno vertical para tratamento de solos moles</t>
  </si>
  <si>
    <t>2003316</t>
  </si>
  <si>
    <t>Grelha de concreto 54 x 100 cm para boca-de-lobo - areia e brita comerciais - sobrecarga do trem tipo TB 45</t>
  </si>
  <si>
    <t>2003317</t>
  </si>
  <si>
    <t>Grelha de concreto 54 x 100 cm para boca-de-lobo - areia extraída e brita produzida - sobrecarga do trem tipo TB 45</t>
  </si>
  <si>
    <t>2003767</t>
  </si>
  <si>
    <t>Lastro de areia comercial - espalhamento manual</t>
  </si>
  <si>
    <t>2003844</t>
  </si>
  <si>
    <t>Lastro de areia comercial - espalhamento mecânico</t>
  </si>
  <si>
    <t>2003576</t>
  </si>
  <si>
    <t>Lastro de areia extraída - espalhamento manual</t>
  </si>
  <si>
    <t>2003858</t>
  </si>
  <si>
    <t>Lastro de areia extraída - espalhamento mecânico</t>
  </si>
  <si>
    <t>2003850</t>
  </si>
  <si>
    <t>Lastro de brita comercial compactado com soquete vibratório - espalhamento manual</t>
  </si>
  <si>
    <t>2003849</t>
  </si>
  <si>
    <t>Lastro de brita produzida compactado com soquete vibratório - espalhamento manual</t>
  </si>
  <si>
    <t>2003868</t>
  </si>
  <si>
    <t>Lastro de pedra de mão ou rachão - espalhamento manual</t>
  </si>
  <si>
    <t>2003369</t>
  </si>
  <si>
    <t>Meio-fio de concreto - MFC 01 - areia e brita comerciais - fôrma de madeira</t>
  </si>
  <si>
    <t>2003368</t>
  </si>
  <si>
    <t>Meio-fio de concreto - MFC 01 - areia extraída e brita produzida - fôrma de madeira</t>
  </si>
  <si>
    <t>2003939</t>
  </si>
  <si>
    <t>Meio-fio de concreto - MFC 01 moldado no local com extrusora e concreto usinado - areia e brita comerciais</t>
  </si>
  <si>
    <t>2003940</t>
  </si>
  <si>
    <t>Meio-fio de concreto - MFC 01 moldado no local com extrusora e concreto usinado - areia extraída e brita produzida</t>
  </si>
  <si>
    <t>2003371</t>
  </si>
  <si>
    <t>Meio-fio de concreto - MFC 02 - areia e brita comerciais - fôrma de madeira</t>
  </si>
  <si>
    <t>2003370</t>
  </si>
  <si>
    <t>Meio-fio de concreto - MFC 02 - areia extraída e brita produzida - fôrma de madeira</t>
  </si>
  <si>
    <t>2003941</t>
  </si>
  <si>
    <t>Meio-fio de concreto - MFC 02 moldado no local com extrusora e concreto usinado - areia e brita comerciais</t>
  </si>
  <si>
    <t>2003942</t>
  </si>
  <si>
    <t>Meio-fio de concreto - MFC 02 moldado no local com extrusora e concreto usinado - areia extraída e brita produzida</t>
  </si>
  <si>
    <t>2003373</t>
  </si>
  <si>
    <t>Meio-fio de concreto - MFC 03 - areia e brita comerciais - fôrma de madeira</t>
  </si>
  <si>
    <t>2003372</t>
  </si>
  <si>
    <t>Meio-fio de concreto - MFC 03 - areia extraída e brita produzida - fôrma de madeira</t>
  </si>
  <si>
    <t>2003943</t>
  </si>
  <si>
    <t>Meio-fio de concreto - MFC 03 moldado no local com extrusora e concreto usinado - areia e brita comerciais</t>
  </si>
  <si>
    <t>2003944</t>
  </si>
  <si>
    <t>Meio-fio de concreto - MFC 03 moldado no local com extrusora e concreto usinado - areia extraída e brita produzida</t>
  </si>
  <si>
    <t>2003375</t>
  </si>
  <si>
    <t>Meio-fio de concreto - MFC 04 - areia e brita comerciais - fôrma de madeira</t>
  </si>
  <si>
    <t>2003374</t>
  </si>
  <si>
    <t>Meio-fio de concreto - MFC 04 - areia extraída e brita produzida - fôrma de madeira</t>
  </si>
  <si>
    <t>2003945</t>
  </si>
  <si>
    <t>Meio-fio de concreto - MFC 04 moldado no local com extrusora e concreto usinado - areia e brita comerciais</t>
  </si>
  <si>
    <t>2003946</t>
  </si>
  <si>
    <t>Meio-fio de concreto - MFC 04 moldado no local com extrusora e concreto usinado - areia extraída e brita produzida</t>
  </si>
  <si>
    <t>2003377</t>
  </si>
  <si>
    <t>Meio-fio de concreto - MFC 05 - areia e brita comerciais - fôrma de madeira</t>
  </si>
  <si>
    <t>2003376</t>
  </si>
  <si>
    <t>Meio-fio de concreto - MFC 05 - areia extraída e brita produzida - fôrma de madeira</t>
  </si>
  <si>
    <t>2003947</t>
  </si>
  <si>
    <t>Meio-fio de concreto - MFC 05 moldado no local com extrusora e concreto usinado - areia e brita comerciais</t>
  </si>
  <si>
    <t>2003948</t>
  </si>
  <si>
    <t>Meio-fio de concreto - MFC 05 moldado no local com extrusora e concreto usinado - areia extraída e brita produzida</t>
  </si>
  <si>
    <t>2003379</t>
  </si>
  <si>
    <t>Meio-fio de concreto - MFC 06 - areia e brita comerciais - fôrma de madeira</t>
  </si>
  <si>
    <t>2003378</t>
  </si>
  <si>
    <t>Meio-fio de concreto - MFC 06 - areia extraída e brita produzida - fôrma de madeira</t>
  </si>
  <si>
    <t>2003949</t>
  </si>
  <si>
    <t>Meio-fio de concreto - MFC 06 moldado no local com extrusora e concreto usinado - areia e brita comerciais</t>
  </si>
  <si>
    <t>2003950</t>
  </si>
  <si>
    <t>Meio-fio de concreto - MFC 06 moldado no local com extrusora e concreto usinado - areia extraída e brita produzida</t>
  </si>
  <si>
    <t>2003381</t>
  </si>
  <si>
    <t>Meio-fio de concreto - MFC 07 - areia e brita comerciais - fôrma de madeira</t>
  </si>
  <si>
    <t>2003380</t>
  </si>
  <si>
    <t>Meio-fio de concreto - MFC 07 - areia extraída e brita produzida - fôrma de madeira</t>
  </si>
  <si>
    <t>2003951</t>
  </si>
  <si>
    <t>Meio-fio de concreto - MFC 07 moldado no local com extrusora e concreto usinado - areia e brita comerciais</t>
  </si>
  <si>
    <t>2003952</t>
  </si>
  <si>
    <t>Meio-fio de concreto - MFC 07 moldado no local com extrusora e concreto usinado - areia extraída e brita produzida</t>
  </si>
  <si>
    <t>2003383</t>
  </si>
  <si>
    <t>Meio-fio de concreto - MFC 08 - areia e brita comerciais - fôrma de madeira</t>
  </si>
  <si>
    <t>2003382</t>
  </si>
  <si>
    <t>Meio-fio de concreto - MFC 08 - areia extraída e brita produzida - fôrma de madeira</t>
  </si>
  <si>
    <t>2003953</t>
  </si>
  <si>
    <t>Meio-fio de concreto - MFC 08 moldado no local com extrusora e concreto usinado - areia e brita comerciais</t>
  </si>
  <si>
    <t>2003954</t>
  </si>
  <si>
    <t>Meio-fio de concreto - MFC 08 moldado no local com extrusora e concreto usinado - areia extraída e brita produzida</t>
  </si>
  <si>
    <t>2004514</t>
  </si>
  <si>
    <t>Microvala para dreno de pavimento com geocomposto drenante H = 0,4 m</t>
  </si>
  <si>
    <t>2004515</t>
  </si>
  <si>
    <t>Microvala para dreno de pavimento com geocomposto drenante H = 0,6 m</t>
  </si>
  <si>
    <t>2005759</t>
  </si>
  <si>
    <t>Perfuração para dreno sub-horizontal em material de 1ª categoria com D = 75 mm (linha NW)</t>
  </si>
  <si>
    <t>2005764</t>
  </si>
  <si>
    <t>Perfuração para dreno sub-horizontal em material de 2ª categoria com D = 75 mm (linha NW)</t>
  </si>
  <si>
    <t>2003678</t>
  </si>
  <si>
    <t>Poço de visita - PVI 01 - areia e brita comerciais</t>
  </si>
  <si>
    <t>2003677</t>
  </si>
  <si>
    <t>Poço de visita - PVI 01 - areia extraída e brita produzida</t>
  </si>
  <si>
    <t>2003680</t>
  </si>
  <si>
    <t>Poço de visita - PVI 02 - areia e brita comerciais</t>
  </si>
  <si>
    <t>2003679</t>
  </si>
  <si>
    <t>Poço de visita - PVI 02 - areia extraída e brita produzida</t>
  </si>
  <si>
    <t>2003682</t>
  </si>
  <si>
    <t>Poço de visita - PVI 03 - areia e brita comerciais</t>
  </si>
  <si>
    <t>2003681</t>
  </si>
  <si>
    <t>Poço de visita - PVI 03 - areia extraída e brita produzida</t>
  </si>
  <si>
    <t>2003684</t>
  </si>
  <si>
    <t>Poço de visita - PVI 04 - areia e brita comerciais</t>
  </si>
  <si>
    <t>2003683</t>
  </si>
  <si>
    <t>Poço de visita - PVI 04 - areia extraída e brita produzida</t>
  </si>
  <si>
    <t>2003686</t>
  </si>
  <si>
    <t>Poço de visita - PVI 05 - areia e brita comerciais</t>
  </si>
  <si>
    <t>2003685</t>
  </si>
  <si>
    <t>Poço de visita - PVI 05 - areia extraída e brita produzida</t>
  </si>
  <si>
    <t>2003688</t>
  </si>
  <si>
    <t>Poço de visita - PVI 06 - areia e brita comerciais</t>
  </si>
  <si>
    <t>2003687</t>
  </si>
  <si>
    <t>Poço de visita - PVI 06 - areia extraída e brita produzida</t>
  </si>
  <si>
    <t>2003690</t>
  </si>
  <si>
    <t>Poço de visita - PVI 07 - areia e brita comerciais</t>
  </si>
  <si>
    <t>2003689</t>
  </si>
  <si>
    <t>Poço de visita - PVI 07 - areia extraída e brita produzida</t>
  </si>
  <si>
    <t>2003692</t>
  </si>
  <si>
    <t>Poço de visita - PVI 08 - areia e brita comerciais</t>
  </si>
  <si>
    <t>2003691</t>
  </si>
  <si>
    <t>Poço de visita - PVI 08 - areia extraída e brita produzida</t>
  </si>
  <si>
    <t>2003694</t>
  </si>
  <si>
    <t>Poço de visita - PVI 09 - areia e brita comerciais</t>
  </si>
  <si>
    <t>2003693</t>
  </si>
  <si>
    <t>Poço de visita - PVI 09 - areia extraída e brita produzida</t>
  </si>
  <si>
    <t>2003696</t>
  </si>
  <si>
    <t>Poço de visita - PVI 10 - areia e brita comerciais</t>
  </si>
  <si>
    <t>2003695</t>
  </si>
  <si>
    <t>Poço de visita - PVI 10 - areia extraída e brita produzida</t>
  </si>
  <si>
    <t>2003698</t>
  </si>
  <si>
    <t>Poço de visita - PVI 11 - areia e brita comerciais</t>
  </si>
  <si>
    <t>2003697</t>
  </si>
  <si>
    <t>Poço de visita - PVI 11 - areia extraída e brita produzida</t>
  </si>
  <si>
    <t>2003700</t>
  </si>
  <si>
    <t>Poço de visita - PVI 12 - areia e brita comerciais</t>
  </si>
  <si>
    <t>2003699</t>
  </si>
  <si>
    <t>Poço de visita - PVI 12 - areia extraída e brita produzida</t>
  </si>
  <si>
    <t>2003702</t>
  </si>
  <si>
    <t>Poço de visita - PVI 13 - areia e brita comerciais</t>
  </si>
  <si>
    <t>2003701</t>
  </si>
  <si>
    <t>Poço de visita - PVI 13 - areia extraída e brita produzida</t>
  </si>
  <si>
    <t>2003704</t>
  </si>
  <si>
    <t>Poço de visita - PVI 14 - areia e brita comerciais</t>
  </si>
  <si>
    <t>2003703</t>
  </si>
  <si>
    <t>Poço de visita - PVI 14 - areia extraída e brita produzida</t>
  </si>
  <si>
    <t>2003706</t>
  </si>
  <si>
    <t>Poço de visita - PVI 15 - areia e brita comerciais</t>
  </si>
  <si>
    <t>2003705</t>
  </si>
  <si>
    <t>Poço de visita - PVI 15 - areia extraída e brita produzida</t>
  </si>
  <si>
    <t>2003708</t>
  </si>
  <si>
    <t>Poço de visita - PVI 16 - areia e brita comerciais</t>
  </si>
  <si>
    <t>2003707</t>
  </si>
  <si>
    <t>Poço de visita - PVI 16 - areia extraída e brita produzida</t>
  </si>
  <si>
    <t>2003710</t>
  </si>
  <si>
    <t>Poço de visita - PVI 17 - areia e brita comerciais</t>
  </si>
  <si>
    <t>2003709</t>
  </si>
  <si>
    <t>Poço de visita - PVI 17 - areia extraída e brita produzida</t>
  </si>
  <si>
    <t>2003712</t>
  </si>
  <si>
    <t>Poço de visita - PVI 18 - areia e brita comerciais</t>
  </si>
  <si>
    <t>2003711</t>
  </si>
  <si>
    <t>Poço de visita - PVI 18 - areia extraída e brita produzida</t>
  </si>
  <si>
    <t>2004505</t>
  </si>
  <si>
    <t>Reaterro e compactação em vala de dreno com geocomposto</t>
  </si>
  <si>
    <t>2003353</t>
  </si>
  <si>
    <t>Sarjeta trapezoidal de canteiro central de concreto - SZCC 100-25 - areia e brita comerciais</t>
  </si>
  <si>
    <t>2003352</t>
  </si>
  <si>
    <t>Sarjeta trapezoidal de canteiro central de concreto - SZCC 100-25 - areia extraída e brita produzida</t>
  </si>
  <si>
    <t>2003979</t>
  </si>
  <si>
    <t>Sarjeta trapezoidal de canteiro central de concreto - SZCC 100-25 moldada no local com extrusora e concreto usinado - areia e brita comerciais</t>
  </si>
  <si>
    <t>2003980</t>
  </si>
  <si>
    <t>Sarjeta trapezoidal de canteiro central de concreto - SZCC 100-25 moldada no local com extrusora e concreto usinado - areia extraída e brita produzida</t>
  </si>
  <si>
    <t>2003355</t>
  </si>
  <si>
    <t>Sarjeta trapezoidal de canteiro central de concreto - SZCC 140-35 - areia e brita comerciais</t>
  </si>
  <si>
    <t>2003354</t>
  </si>
  <si>
    <t>Sarjeta trapezoidal de canteiro central de concreto - SZCC 140-35 - areia extraída e brita produzida</t>
  </si>
  <si>
    <t>2003981</t>
  </si>
  <si>
    <t>Sarjeta trapezoidal de canteiro central de concreto - SZCC 140-35 moldada no local com extrusora e concreto usinado - areia e brita comerciais</t>
  </si>
  <si>
    <t>2003982</t>
  </si>
  <si>
    <t>Sarjeta trapezoidal de canteiro central de concreto - SZCC 140-35 moldada no local com extrusora e concreto usinado - areia extraída e brita produzida</t>
  </si>
  <si>
    <t>2003345</t>
  </si>
  <si>
    <t>Sarjeta trapezoidal de concreto - SZC 60-20 - escavação mecânica - areia e brita comerciais</t>
  </si>
  <si>
    <t>2003344</t>
  </si>
  <si>
    <t>Sarjeta trapezoidal de concreto - SZC 60-20 - escavação mecânica - areia extraída e brita produzida</t>
  </si>
  <si>
    <t>2003973</t>
  </si>
  <si>
    <t>Sarjeta trapezoidal de concreto - SZC 60-20 moldada no local com extrusora e concreto usinado - escavação mecânica - areia e brita comerciais</t>
  </si>
  <si>
    <t>2003974</t>
  </si>
  <si>
    <t>Sarjeta trapezoidal de concreto - SZC 60-20 moldada no local com extrusora e concreto usinado - escavação mecânica - areia extraída e brita produzida</t>
  </si>
  <si>
    <t>2003343</t>
  </si>
  <si>
    <t>Sarjeta trapezoidal de concreto - SZC 90-30 - escavação mecânica - areia e brita comerciais</t>
  </si>
  <si>
    <t>2003342</t>
  </si>
  <si>
    <t>Sarjeta trapezoidal de concreto - SZC 90-30 - escavação mecânica - areia extraída e brita produzida</t>
  </si>
  <si>
    <t>2003971</t>
  </si>
  <si>
    <t>Sarjeta trapezoidal de concreto - SZC 90-30 moldada no local com extrusora e concreto usinado - escavação mecânica - areia e brita comerciais</t>
  </si>
  <si>
    <t>2003972</t>
  </si>
  <si>
    <t>Sarjeta trapezoidal de concreto - SZC 90-30 moldada no local com extrusora e concreto usinado - escavação mecânica - areia extraída e brita produzida</t>
  </si>
  <si>
    <t>2003347</t>
  </si>
  <si>
    <t>Sarjeta trapezoidal de grama - SZG 60-20 - escavação mecânica</t>
  </si>
  <si>
    <t>2003346</t>
  </si>
  <si>
    <t>Sarjeta trapezoidal de grama - SZG 90-30 - escavação mecânica</t>
  </si>
  <si>
    <t>2003933</t>
  </si>
  <si>
    <t>Sarjeta trapezoidal sem revestimento - SZT 60-20 - escavação mecânica</t>
  </si>
  <si>
    <t>2003932</t>
  </si>
  <si>
    <t>Sarjeta trapezoidal sem revestimento - SZT 90-30 - escavação mecânica</t>
  </si>
  <si>
    <t>2003349</t>
  </si>
  <si>
    <t>Sarjeta triangular de canteiro central de concreto - STCC 100-25 - areia e brita comerciais</t>
  </si>
  <si>
    <t>2003348</t>
  </si>
  <si>
    <t>Sarjeta triangular de canteiro central de concreto - STCC 100-25 - areia extraída e brita produzida</t>
  </si>
  <si>
    <t>2003975</t>
  </si>
  <si>
    <t>Sarjeta triangular de canteiro central de concreto - STCC 100-25 moldada no local com extrusora e concreto usinado - areia e brita comerciais</t>
  </si>
  <si>
    <t>2003976</t>
  </si>
  <si>
    <t>Sarjeta triangular de canteiro central de concreto - STCC 100-25 moldada no local com extrusora e concreto usinado - areia extraída e brita produzida</t>
  </si>
  <si>
    <t>2003351</t>
  </si>
  <si>
    <t>Sarjeta triangular de canteiro central de concreto - STCC 140-35 - areia e brita comerciais</t>
  </si>
  <si>
    <t>2003350</t>
  </si>
  <si>
    <t>Sarjeta triangular de canteiro central de concreto - STCC 140-35 - areia extraída e brita produzida</t>
  </si>
  <si>
    <t>2003977</t>
  </si>
  <si>
    <t>Sarjeta triangular de canteiro central de concreto - STCC 140-35 moldada no local com extrusora e concreto usinado - areia e brita comerciais</t>
  </si>
  <si>
    <t>2003978</t>
  </si>
  <si>
    <t>Sarjeta triangular de canteiro central de concreto - STCC 140-35 moldada no local com extrusora e concreto usinado - areia extraída e brita produzida</t>
  </si>
  <si>
    <t>2003291</t>
  </si>
  <si>
    <t>Sarjeta triangular de canteiro central de grama - STCG 100-25 - escavação mecânica</t>
  </si>
  <si>
    <t>2003292</t>
  </si>
  <si>
    <t>Sarjeta triangular de canteiro central de grama - STCG 140-35 - escavação mecânica</t>
  </si>
  <si>
    <t>2003293</t>
  </si>
  <si>
    <t>Sarjeta triangular de canteiro central de grama - STCG 200-25 - escavação mecânica</t>
  </si>
  <si>
    <t>2003294</t>
  </si>
  <si>
    <t>Sarjeta triangular de canteiro central de grama - STCG 300-37,5 - escavação mecânica</t>
  </si>
  <si>
    <t>2003257</t>
  </si>
  <si>
    <t>Sarjeta triangular de concreto - STC 100-20 - escavação mecânica - areia e brita comerciais</t>
  </si>
  <si>
    <t>2003258</t>
  </si>
  <si>
    <t>Sarjeta triangular de concreto - STC 100-20 - escavação mecânica - areia extraída e brita produzida</t>
  </si>
  <si>
    <t>2003259</t>
  </si>
  <si>
    <t>Sarjeta triangular de concreto - STC 100-20 moldada no local com extrusora e concreto usinado - escavação mecânica - areia e brita comerciais</t>
  </si>
  <si>
    <t>2003260</t>
  </si>
  <si>
    <t>Sarjeta triangular de concreto - STC 100-20 moldada no local com extrusora e concreto usinado - escavação mecânica - areia extraída e brita produzida</t>
  </si>
  <si>
    <t>2003281</t>
  </si>
  <si>
    <t>Sarjeta triangular de concreto - STC 100-21 - escavação mecânica - areia e brita comerciais</t>
  </si>
  <si>
    <t>2003282</t>
  </si>
  <si>
    <t>Sarjeta triangular de concreto - STC 100-21 - escavação mecânica - areia extraída e brita produzida</t>
  </si>
  <si>
    <t>2003283</t>
  </si>
  <si>
    <t>Sarjeta triangular de concreto - STC 100-21 moldada no local com extrusora e concreto usinado - escavação mecânica - areia e brita comerciais</t>
  </si>
  <si>
    <t>2003284</t>
  </si>
  <si>
    <t>Sarjeta triangular de concreto - STC 100-21 moldada no local com extrusora e concreto usinado - escavação mecânica - areia extraída e brita produzida</t>
  </si>
  <si>
    <t>2003327</t>
  </si>
  <si>
    <t>Sarjeta triangular de concreto - STC 108-25 - escavação mecânica - areia e brita comerciais</t>
  </si>
  <si>
    <t>2003326</t>
  </si>
  <si>
    <t>Sarjeta triangular de concreto - STC 108-25 - escavação mecânica - areia extraída e brita produzida</t>
  </si>
  <si>
    <t>2003963</t>
  </si>
  <si>
    <t>Sarjeta triangular de concreto - STC 108-25 moldada no local com extrusora e concreto usinado - escavação mecânica - areia e brita comerciais</t>
  </si>
  <si>
    <t>2003964</t>
  </si>
  <si>
    <t>Sarjeta triangular de concreto - STC 108-25 moldada no local com extrusora e concreto usinado - escavação mecânica - areia extraída e brita produzida</t>
  </si>
  <si>
    <t>2003319</t>
  </si>
  <si>
    <t>Sarjeta triangular de concreto - STC 125-25 - escavação mecânica - areia e brita comerciais</t>
  </si>
  <si>
    <t>2003318</t>
  </si>
  <si>
    <t>Sarjeta triangular de concreto - STC 125-25 - escavação mecânica - areia extraída e brita produzida</t>
  </si>
  <si>
    <t>2003955</t>
  </si>
  <si>
    <t>Sarjeta triangular de concreto - STC 125-25 moldada no local com extrusora e concreto usinado - escavação mecânica - areia e brita comerciais</t>
  </si>
  <si>
    <t>2003956</t>
  </si>
  <si>
    <t>Sarjeta triangular de concreto - STC 125-25 moldada no local com extrusora e concreto usinado - escavação mecânica - areia extraída e brita produzida</t>
  </si>
  <si>
    <t>2003277</t>
  </si>
  <si>
    <t>Sarjeta triangular de concreto - STC 125-27 - escavação mecânica - areia e brita comerciais</t>
  </si>
  <si>
    <t>2003278</t>
  </si>
  <si>
    <t>Sarjeta triangular de concreto - STC 125-27 - escavação mecânica - areia extraída e brita produzida</t>
  </si>
  <si>
    <t>2003279</t>
  </si>
  <si>
    <t>Sarjeta triangular de concreto - STC 125-27 moldada no local com extrusora e concreto usinado - escavação mecânica - areia e brita comerciais</t>
  </si>
  <si>
    <t>2003280</t>
  </si>
  <si>
    <t>Sarjeta triangular de concreto - STC 125-27 moldada no local com extrusora e concreto usinado - escavação mecânica - areia extraída e brita produzida</t>
  </si>
  <si>
    <t>2003253</t>
  </si>
  <si>
    <t>Sarjeta triangular de concreto - STC 150-30 - escavação mecânica - areia e brita comerciais</t>
  </si>
  <si>
    <t>2003254</t>
  </si>
  <si>
    <t>Sarjeta triangular de concreto - STC 150-30 - escavação mecânica - areia extraída e brita produzida</t>
  </si>
  <si>
    <t>2003255</t>
  </si>
  <si>
    <t>Sarjeta triangular de concreto - STC 150-30 moldada no local com extrusora e concreto usinado - escavação mecânica - areia e brita comerciais</t>
  </si>
  <si>
    <t>2003256</t>
  </si>
  <si>
    <t>Sarjeta triangular de concreto - STC 150-30 moldada no local com extrusora e concreto usinado - escavação mecânica - areia extraída e brita produzida</t>
  </si>
  <si>
    <t>2003273</t>
  </si>
  <si>
    <t>Sarjeta triangular de concreto - STC 150-32 - escavação mecânica - areia e brita comerciais</t>
  </si>
  <si>
    <t>2003274</t>
  </si>
  <si>
    <t>Sarjeta triangular de concreto - STC 150-32 - escavação mecânica - areia extraída e brita produzida</t>
  </si>
  <si>
    <t>2003275</t>
  </si>
  <si>
    <t>Sarjeta triangular de concreto - STC 150-32 moldada no local com extrusora e concreto usinado - escavação mecânica - areia e brita comerciais</t>
  </si>
  <si>
    <t>2003276</t>
  </si>
  <si>
    <t>Sarjeta triangular de concreto - STC 150-32 moldada no local com extrusora e concreto usinado - escavação mecânica - areia extraída e brita produzida</t>
  </si>
  <si>
    <t>2003269</t>
  </si>
  <si>
    <t>Sarjeta triangular de concreto - STC 73-15 - escavação mecânica - areia e brita comerciais</t>
  </si>
  <si>
    <t>2003270</t>
  </si>
  <si>
    <t>Sarjeta triangular de concreto - STC 73-15 - escavação mecânica - areia extraída e brita produzida</t>
  </si>
  <si>
    <t>2003271</t>
  </si>
  <si>
    <t>Sarjeta triangular de concreto - STC 73-15 moldada no local com extrusora e concreto usinado - escavação mecânica - areia e brita comerciais</t>
  </si>
  <si>
    <t>2003272</t>
  </si>
  <si>
    <t>Sarjeta triangular de concreto - STC 73-15 moldada no local com extrusora e concreto usinado - escavação mecânica - areia extraída e brita produzida</t>
  </si>
  <si>
    <t>2003261</t>
  </si>
  <si>
    <t>Sarjeta triangular de concreto - STC 80-15 - escavação mecânica - areia e brita comerciais</t>
  </si>
  <si>
    <t>2003262</t>
  </si>
  <si>
    <t>Sarjeta triangular de concreto - STC 80-15 - escavação mecânica - areia extraída e brita produzida</t>
  </si>
  <si>
    <t>2003263</t>
  </si>
  <si>
    <t>Sarjeta triangular de concreto - STC 80-15 moldada no local com extrusora e concreto usinado - escavação mecânica - areia e brita comerciais</t>
  </si>
  <si>
    <t>2003264</t>
  </si>
  <si>
    <t>Sarjeta triangular de concreto - STC 80-15 moldada no local com extrusora e concreto usinado - escavação mecânica - areia extraída e brita produzida</t>
  </si>
  <si>
    <t>2003285</t>
  </si>
  <si>
    <t>Sarjeta triangular de concreto - STC 80-17 - escavação mecânica - areia e brita comerciais</t>
  </si>
  <si>
    <t>2003286</t>
  </si>
  <si>
    <t>Sarjeta triangular de concreto - STC 80-17 - escavação mecânica - areia extraída e brita produzida</t>
  </si>
  <si>
    <t>2003287</t>
  </si>
  <si>
    <t>Sarjeta triangular de concreto - STC 80-17 moldada no local com extrusora e concreto usinado - escavação mecânica - areia e brita comerciais</t>
  </si>
  <si>
    <t>2003288</t>
  </si>
  <si>
    <t>Sarjeta triangular de concreto - STC 80-17 moldada no local com extrusora e concreto usinado - escavação mecânica - areia extraída e brita produzida</t>
  </si>
  <si>
    <t>2003265</t>
  </si>
  <si>
    <t>Sarjeta triangular de concreto - STC 88-20 - escavação mecânica - areia e brita comerciais</t>
  </si>
  <si>
    <t>2003266</t>
  </si>
  <si>
    <t>Sarjeta triangular de concreto - STC 88-20 - escavação mecânica - areia extraída e brita produzida</t>
  </si>
  <si>
    <t>2003267</t>
  </si>
  <si>
    <t>Sarjeta triangular de concreto - STC 88-20 moldada no local com extrusora e concreto usinado - escavação mecânica - areia e brita comerciais</t>
  </si>
  <si>
    <t>2003268</t>
  </si>
  <si>
    <t>Sarjeta triangular de concreto - STC 88-20 moldada no local com extrusora e concreto usinado - escavação mecânica - areia extraída e brita produzida</t>
  </si>
  <si>
    <t>2003289</t>
  </si>
  <si>
    <t>Sarjeta triangular de grama - STG 100-20 - escavação mecânica</t>
  </si>
  <si>
    <t>2003338</t>
  </si>
  <si>
    <t>Sarjeta triangular de grama - STG 125-25 - escavação mecânica</t>
  </si>
  <si>
    <t>2003290</t>
  </si>
  <si>
    <t>Sarjeta triangular de grama - STG 80-15 - escavação mecânica</t>
  </si>
  <si>
    <t>2003300</t>
  </si>
  <si>
    <t>Sarjeta triangular sem revestimento - STT 100-20 - escavação mecânica</t>
  </si>
  <si>
    <t>2003299</t>
  </si>
  <si>
    <t>Sarjeta triangular sem revestimento - STT 125-25 - escavação mecânica</t>
  </si>
  <si>
    <t>2003301</t>
  </si>
  <si>
    <t>Sarjeta triangular sem revestimento - STT 80-15 - escavação mecânica</t>
  </si>
  <si>
    <t>2004513</t>
  </si>
  <si>
    <t>Selo asfáltico de microvala para dreno de pavimento com geocomposto</t>
  </si>
  <si>
    <t>2003365</t>
  </si>
  <si>
    <t>Transposição de segmentos de sarjeta - TSS 120 - areia e brita comerciais</t>
  </si>
  <si>
    <t>2003364</t>
  </si>
  <si>
    <t>Transposição de segmentos de sarjeta - TSS 120 - areia extraída e brita produzida</t>
  </si>
  <si>
    <t>2003097</t>
  </si>
  <si>
    <t>Transposição de segmentos de sarjeta - TSS 130 - areia e brita comerciais</t>
  </si>
  <si>
    <t>2003098</t>
  </si>
  <si>
    <t>Transposição de segmentos de sarjeta - TSS 130 - areia extraída e brita produzida</t>
  </si>
  <si>
    <t>2003363</t>
  </si>
  <si>
    <t>Transposição de segmentos de sarjeta - TSS 140 - areia e brita comerciais</t>
  </si>
  <si>
    <t>2003362</t>
  </si>
  <si>
    <t>Transposição de segmentos de sarjeta - TSS 140 - areia extraída e brita produzida</t>
  </si>
  <si>
    <t>2003099</t>
  </si>
  <si>
    <t>Transposição de segmentos de sarjeta - TSS 150 - areia e brita comerciais</t>
  </si>
  <si>
    <t>2003100</t>
  </si>
  <si>
    <t>Transposição de segmentos de sarjeta - TSS 150 - areia extraída e brita produzida</t>
  </si>
  <si>
    <t>2003361</t>
  </si>
  <si>
    <t>Transposição de segmentos de sarjeta - TSS 170 - areia e brita comerciais</t>
  </si>
  <si>
    <t>2003360</t>
  </si>
  <si>
    <t>Transposição de segmentos de sarjeta - TSS 170 - areia extraída e brita produzida</t>
  </si>
  <si>
    <t>2003101</t>
  </si>
  <si>
    <t>Transposição de segmentos de sarjeta - TSS 200 - areia e brita comerciais</t>
  </si>
  <si>
    <t>2003102</t>
  </si>
  <si>
    <t>Transposição de segmentos de sarjeta - TSS 200 - areia extraída e brita produzida</t>
  </si>
  <si>
    <t>2003869</t>
  </si>
  <si>
    <t>Tubo de concreto PA1 comercial para drenagem - D = 0,50 m - fornecimento e instalação</t>
  </si>
  <si>
    <t>2003822</t>
  </si>
  <si>
    <t>Tubo de concreto PA1 comercial para drenagem - D = 0,60 m - fornecimento e instalação</t>
  </si>
  <si>
    <t>2003826</t>
  </si>
  <si>
    <t>Tubo de concreto PA1 comercial para drenagem - D = 0,80 m - fornecimento e instalação</t>
  </si>
  <si>
    <t>2003830</t>
  </si>
  <si>
    <t>Tubo de concreto PA1 comercial para drenagem - D = 1,00 m - fornecimento e instalação</t>
  </si>
  <si>
    <t>2003834</t>
  </si>
  <si>
    <t>Tubo de concreto PA1 comercial para drenagem - D = 1,20 m - fornecimento e instalação</t>
  </si>
  <si>
    <t>2003838</t>
  </si>
  <si>
    <t>Tubo de concreto PA1 comercial para drenagem - D = 1,50 m - fornecimento e instalação</t>
  </si>
  <si>
    <t>2003768</t>
  </si>
  <si>
    <t>Tubo de concreto PA1 produzido na obra para drenagem - D = 0,60 m - areia e brita comerciais - fornecimento e instalação</t>
  </si>
  <si>
    <t>2003873</t>
  </si>
  <si>
    <t>Tubo de concreto PA1 produzido na obra para drenagem - D = 0,60 m - areia extraída e brita produzida - fornecimento e instalação</t>
  </si>
  <si>
    <t>2003772</t>
  </si>
  <si>
    <t>Tubo de concreto PA1 produzido na obra para drenagem - D = 0,80 m - areia e brita comerciais - fornecimento e instalação</t>
  </si>
  <si>
    <t>2003877</t>
  </si>
  <si>
    <t>Tubo de concreto PA1 produzido na obra para drenagem - D = 0,80 m - areia extraída e brita produzida - fornecimento e instalação</t>
  </si>
  <si>
    <t>2003776</t>
  </si>
  <si>
    <t>Tubo de concreto PA1 produzido na obra para drenagem - D = 1,00 m - areia e brita comerciais - fornecimento e instalação</t>
  </si>
  <si>
    <t>2003881</t>
  </si>
  <si>
    <t>Tubo de concreto PA1 produzido na obra para drenagem - D = 1,00 m - areia extraída e brita produzida - fornecimento e instalação</t>
  </si>
  <si>
    <t>2003780</t>
  </si>
  <si>
    <t>Tubo de concreto PA1 produzido na obra para drenagem - D = 1,20 m - areia e brita comerciais - fornecimento e instalação</t>
  </si>
  <si>
    <t>2003885</t>
  </si>
  <si>
    <t>Tubo de concreto PA1 produzido na obra para drenagem - D = 1,20 m - areia extraída e brita produzida - fornecimento e instalação</t>
  </si>
  <si>
    <t>2003784</t>
  </si>
  <si>
    <t>Tubo de concreto PA1 produzido na obra para drenagem - D = 1,50 m - areia e brita comerciais - fornecimento e instalação</t>
  </si>
  <si>
    <t>2003889</t>
  </si>
  <si>
    <t>Tubo de concreto PA1 produzido na obra para drenagem - D = 1,50 m - areia extraída e brita produzida - fornecimento e instalação</t>
  </si>
  <si>
    <t>2003870</t>
  </si>
  <si>
    <t>Tubo de concreto PA2 comercial para drenagem - D = 0,50 m - fornecimento e instalação</t>
  </si>
  <si>
    <t>2003823</t>
  </si>
  <si>
    <t>Tubo de concreto PA2 comercial para drenagem - D = 0,60 m - fornecimento e instalação</t>
  </si>
  <si>
    <t>2003827</t>
  </si>
  <si>
    <t>Tubo de concreto PA2 comercial para drenagem - D = 0,80 m - fornecimento e instalação</t>
  </si>
  <si>
    <t>2003831</t>
  </si>
  <si>
    <t>Tubo de concreto PA2 comercial para drenagem - D = 1,00 m - fornecimento e instalação</t>
  </si>
  <si>
    <t>2003835</t>
  </si>
  <si>
    <t>Tubo de concreto PA2 comercial para drenagem - D = 1,20 m - fornecimento e instalação</t>
  </si>
  <si>
    <t>2003839</t>
  </si>
  <si>
    <t>Tubo de concreto PA2 comercial para drenagem - D = 1,50 m - fornecimento e instalação</t>
  </si>
  <si>
    <t>2003769</t>
  </si>
  <si>
    <t>Tubo de concreto PA2 produzido na obra para drenagem - D = 0,60 m - areia e brita comerciais - fornecimento e instalação</t>
  </si>
  <si>
    <t>2003874</t>
  </si>
  <si>
    <t>Tubo de concreto PA2 produzido na obra para drenagem - D = 0,60 m - areia extraída e brita produzida - fornecimento e instalação</t>
  </si>
  <si>
    <t>2003773</t>
  </si>
  <si>
    <t>Tubo de concreto PA2 produzido na obra para drenagem - D = 0,80 m - areia e brita comerciais - fornecimento e instalação</t>
  </si>
  <si>
    <t>2003878</t>
  </si>
  <si>
    <t>Tubo de concreto PA2 produzido na obra para drenagem - D = 0,80 m - areia extraída e brita produzida - fornecimento e instalação</t>
  </si>
  <si>
    <t>2003777</t>
  </si>
  <si>
    <t>Tubo de concreto PA2 produzido na obra para drenagem - D = 1,00 m - areia e brita comerciais - fornecimento e instalação</t>
  </si>
  <si>
    <t>2003882</t>
  </si>
  <si>
    <t>Tubo de concreto PA2 produzido na obra para drenagem - D = 1,00 m - areia extraída e brita produzida - fornecimento e instalação</t>
  </si>
  <si>
    <t>2003781</t>
  </si>
  <si>
    <t>Tubo de concreto PA2 produzido na obra para drenagem - D = 1,20 m - areia e brita comerciais - fornecimento e instalação</t>
  </si>
  <si>
    <t>2003886</t>
  </si>
  <si>
    <t>Tubo de concreto PA2 produzido na obra para drenagem - D = 1,20 m - areia extraída e brita produzida - fornecimento e instalação</t>
  </si>
  <si>
    <t>2003785</t>
  </si>
  <si>
    <t>Tubo de concreto PA2 produzido na obra para drenagem - D = 1,50 m - areia e brita comerciais - fornecimento e instalação</t>
  </si>
  <si>
    <t>2003890</t>
  </si>
  <si>
    <t>Tubo de concreto PA2 produzido na obra para drenagem - D = 1,50 m - areia extraída e brita produzida - fornecimento e instalação</t>
  </si>
  <si>
    <t>2003871</t>
  </si>
  <si>
    <t>Tubo de concreto PA3 comercial para drenagem - D = 0,50 m - fornecimento e instalação</t>
  </si>
  <si>
    <t>2003824</t>
  </si>
  <si>
    <t>Tubo de concreto PA3 comercial para drenagem - D = 0,60 m - fornecimento e instalação</t>
  </si>
  <si>
    <t>2003828</t>
  </si>
  <si>
    <t>Tubo de concreto PA3 comercial para drenagem - D = 0,80 m - fornecimento e instalação</t>
  </si>
  <si>
    <t>2003832</t>
  </si>
  <si>
    <t>Tubo de concreto PA3 comercial para drenagem - D = 1,00 m - fornecimento e instalação</t>
  </si>
  <si>
    <t>2003836</t>
  </si>
  <si>
    <t>Tubo de concreto PA3 comercial para drenagem - D = 1,20 m - fornecimento e instalação</t>
  </si>
  <si>
    <t>2003840</t>
  </si>
  <si>
    <t>Tubo de concreto PA3 comercial para drenagem - D = 1,50 m - fornecimento e instalação</t>
  </si>
  <si>
    <t>2003770</t>
  </si>
  <si>
    <t>Tubo de concreto PA3 produzido na obra para drenagem - D = 0,60 m - areia e brita comerciais - fornecimento e instalação</t>
  </si>
  <si>
    <t>2003875</t>
  </si>
  <si>
    <t>Tubo de concreto PA3 produzido na obra para drenagem - D = 0,60 m - areia extraída e brita produzida - fornecimento e instalação</t>
  </si>
  <si>
    <t>2003774</t>
  </si>
  <si>
    <t>Tubo de concreto PA3 produzido na obra para drenagem - D = 0,80 m - areia e brita comerciais - fornecimento e instalação</t>
  </si>
  <si>
    <t>2003879</t>
  </si>
  <si>
    <t>Tubo de concreto PA3 produzido na obra para drenagem - D = 0,80 m - areia extraída e brita produzida - fornecimento e instalação</t>
  </si>
  <si>
    <t>2003778</t>
  </si>
  <si>
    <t>Tubo de concreto PA3 produzido na obra para drenagem - D = 1,00 m - areia e brita comerciais - fornecimento e instalação</t>
  </si>
  <si>
    <t>2003883</t>
  </si>
  <si>
    <t>Tubo de concreto PA3 produzido na obra para drenagem - D = 1,00 m - areia extraída e brita produzida - fornecimento e instalação</t>
  </si>
  <si>
    <t>2003782</t>
  </si>
  <si>
    <t>Tubo de concreto PA3 produzido na obra para drenagem - D = 1,20 m - areia e brita comerciais - fornecimento e instalação</t>
  </si>
  <si>
    <t>2003887</t>
  </si>
  <si>
    <t>Tubo de concreto PA3 produzido na obra para drenagem - D = 1,20 m - areia extraída e brita produzida - fornecimento e instalação</t>
  </si>
  <si>
    <t>2003786</t>
  </si>
  <si>
    <t>Tubo de concreto PA3 produzido na obra para drenagem - D = 1,50 m - areia e brita comerciais - fornecimento e instalação</t>
  </si>
  <si>
    <t>2003891</t>
  </si>
  <si>
    <t>Tubo de concreto PA3 produzido na obra para drenagem - D = 1,50 m - areia extraída e brita produzida - fornecimento e instalação</t>
  </si>
  <si>
    <t>2003872</t>
  </si>
  <si>
    <t>Tubo de concreto PA4 comercial para drenagem - D = 0,50 m - fornecimento e instalação</t>
  </si>
  <si>
    <t>2003825</t>
  </si>
  <si>
    <t>Tubo de concreto PA4 comercial para drenagem - D = 0,60 m - fornecimento e instalação</t>
  </si>
  <si>
    <t>2003829</t>
  </si>
  <si>
    <t>Tubo de concreto PA4 comercial para drenagem - D = 0,80 m - fornecimento e instalação</t>
  </si>
  <si>
    <t>2003833</t>
  </si>
  <si>
    <t>Tubo de concreto PA4 comercial para drenagem - D = 1,00 m - fornecimento e instalação</t>
  </si>
  <si>
    <t>2003837</t>
  </si>
  <si>
    <t>Tubo de concreto PA4 comercial para drenagem - D = 1,20 m - fornecimento e instalação</t>
  </si>
  <si>
    <t>2003841</t>
  </si>
  <si>
    <t>Tubo de concreto PA4 comercial para drenagem - D = 1,50 m - fornecimento e instalação</t>
  </si>
  <si>
    <t>2003771</t>
  </si>
  <si>
    <t>Tubo de concreto PA4 produzido na obra para drenagem - D = 0,60 m - areia e brita comerciais - fornecimento e instalação</t>
  </si>
  <si>
    <t>2003876</t>
  </si>
  <si>
    <t>Tubo de concreto PA4 produzido na obra para drenagem - D = 0,60 m - areia extraída e brita produzida - fornecimento e instalação</t>
  </si>
  <si>
    <t>2003775</t>
  </si>
  <si>
    <t>Tubo de concreto PA4 produzido na obra para drenagem - D = 0,80 m - areia e brita comerciais - fornecimento e instalação</t>
  </si>
  <si>
    <t>2003880</t>
  </si>
  <si>
    <t>Tubo de concreto PA4 produzido na obra para drenagem - D = 0,80 m - areia extraída e brita produzida - fornecimento e instalação</t>
  </si>
  <si>
    <t>2003779</t>
  </si>
  <si>
    <t>Tubo de concreto PA4 produzido na obra para drenagem - D = 1,00 m - areia e brita comerciais - fornecimento e instalação</t>
  </si>
  <si>
    <t>2003884</t>
  </si>
  <si>
    <t>Tubo de concreto PA4 produzido na obra para drenagem - D = 1,00 m - areia extraída e brita produzida - fornecimento e instalação</t>
  </si>
  <si>
    <t>2003783</t>
  </si>
  <si>
    <t>Tubo de concreto PA4 produzido na obra para drenagem - D = 1,20 m - areia e brita comerciais - fornecimento e instalação</t>
  </si>
  <si>
    <t>2003888</t>
  </si>
  <si>
    <t>Tubo de concreto PA4 produzido na obra para drenagem - D = 1,20 m - areia extraída e brita produzida - fornecimento e instalação</t>
  </si>
  <si>
    <t>2003787</t>
  </si>
  <si>
    <t>Tubo de concreto PA4 produzido na obra para drenagem - D = 1,50 m - areia e brita comerciais - fornecimento e instalação</t>
  </si>
  <si>
    <t>2003892</t>
  </si>
  <si>
    <t>Tubo de concreto PA4 produzido na obra para drenagem - D = 1,50 m - areia extraída e brita produzida - fornecimento e instalação</t>
  </si>
  <si>
    <t>2003851</t>
  </si>
  <si>
    <t>Tubo de concreto perfurado produzido na obra para drenagem - D = 0,40 m - fornecimento e instalação</t>
  </si>
  <si>
    <t>2003935</t>
  </si>
  <si>
    <t>Tubo de PVC para dreno tipo barbacã - D = 50 mm - fornecimento e instalação</t>
  </si>
  <si>
    <t>2003934</t>
  </si>
  <si>
    <t>Tubo de PVC para dreno tipo barbacã - D = 75 mm - fornecimento e instalação</t>
  </si>
  <si>
    <t>2003990</t>
  </si>
  <si>
    <t>Tubo PEAD para drenagem - D = 1.000 mm - fornecimento e instalação</t>
  </si>
  <si>
    <t>2003991</t>
  </si>
  <si>
    <t>Tubo PEAD para drenagem - D = 1.050 mm - fornecimento e instalação</t>
  </si>
  <si>
    <t>2003992</t>
  </si>
  <si>
    <t>Tubo PEAD para drenagem - D = 1.200 mm - fornecimento e instalação</t>
  </si>
  <si>
    <t>2003993</t>
  </si>
  <si>
    <t>Tubo PEAD para drenagem - D = 1.500 mm - fornecimento e instalação</t>
  </si>
  <si>
    <t>2003983</t>
  </si>
  <si>
    <t>Tubo PEAD para drenagem - D = 400 mm - fornecimento e instalação</t>
  </si>
  <si>
    <t>2003984</t>
  </si>
  <si>
    <t>Tubo PEAD para drenagem - D = 450 mm - fornecimento e instalação</t>
  </si>
  <si>
    <t>2003985</t>
  </si>
  <si>
    <t>Tubo PEAD para drenagem - D = 500 mm - fornecimento e instalação</t>
  </si>
  <si>
    <t>2003986</t>
  </si>
  <si>
    <t>Tubo PEAD para drenagem - D = 600 mm - fornecimento e instalação</t>
  </si>
  <si>
    <t>2003987</t>
  </si>
  <si>
    <t>Tubo PEAD para drenagem - D = 750 mm - fornecimento e instalação</t>
  </si>
  <si>
    <t>2003988</t>
  </si>
  <si>
    <t>Tubo PEAD para drenagem - D = 800 mm - fornecimento e instalação</t>
  </si>
  <si>
    <t>2003989</t>
  </si>
  <si>
    <t>Tubo PEAD para drenagem - D = 900 mm - fornecimento e instalação</t>
  </si>
  <si>
    <t>2003298</t>
  </si>
  <si>
    <t>Valeta de proteção de aterro sem revestimento - VPAT 120-30 - escavação mecânica</t>
  </si>
  <si>
    <t>2003297</t>
  </si>
  <si>
    <t>Valeta de proteção de aterro sem revestimento - VPAT 160-30 - escavação mecânica</t>
  </si>
  <si>
    <t>2003315</t>
  </si>
  <si>
    <t>Valeta de proteção de aterros com revestimento de concreto - VPAC 120-30 - escavação mecânica - areia e brita comerciais</t>
  </si>
  <si>
    <t>2003314</t>
  </si>
  <si>
    <t>Valeta de proteção de aterros com revestimento de concreto - VPAC 120-30 - escavação mecânica - areia extraída e brita produzida</t>
  </si>
  <si>
    <t>2003313</t>
  </si>
  <si>
    <t>Valeta de proteção de aterros com revestimento de concreto - VPAC 160-30 - escavação mecânica - areia e brita comerciais</t>
  </si>
  <si>
    <t>2003312</t>
  </si>
  <si>
    <t>Valeta de proteção de aterros com revestimento de concreto - VPAC 160-30 - escavação mecânica - areia extraída e brita produzida</t>
  </si>
  <si>
    <t>2003311</t>
  </si>
  <si>
    <t>Valeta de proteção de aterros com revestimento vegetal - VPAG 120-30 - escavação mecânica</t>
  </si>
  <si>
    <t>2003310</t>
  </si>
  <si>
    <t>Valeta de proteção de aterros com revestimento vegetal - VPAG 160-30 - escavação mecânica</t>
  </si>
  <si>
    <t>2003296</t>
  </si>
  <si>
    <t>Valeta de proteção de corte sem revestimento - VPCT 120-30 - escavação mecânica</t>
  </si>
  <si>
    <t>2003295</t>
  </si>
  <si>
    <t>Valeta de proteção de corte sem revestimento - VPCT 160-30 - escavação mecânica</t>
  </si>
  <si>
    <t>2003309</t>
  </si>
  <si>
    <t>Valeta de proteção de cortes com revestimento de concreto - VPCC 120-30 - escavação mecânica - areia e brita comerciais</t>
  </si>
  <si>
    <t>2003308</t>
  </si>
  <si>
    <t>Valeta de proteção de cortes com revestimento de concreto - VPCC 120-30 - escavação mecânica - areia extraída e brita produzida</t>
  </si>
  <si>
    <t>2003307</t>
  </si>
  <si>
    <t>Valeta de proteção de cortes com revestimento de concreto - VPCC 160-30 - escavação mecânica - areia e brita comerciais</t>
  </si>
  <si>
    <t>2003306</t>
  </si>
  <si>
    <t>Valeta de proteção de cortes com revestimento de concreto - VPCC 160-30 - escavação mecânica - areia extraída e brita produzida</t>
  </si>
  <si>
    <t>2003305</t>
  </si>
  <si>
    <t>Valeta de proteção de cortes com revestimento vegetal - VPCG 120-30 - escavação mecânica</t>
  </si>
  <si>
    <t>2003304</t>
  </si>
  <si>
    <t>Valeta de proteção de cortes com revestimento vegetal - VPCG 160-30 - escavação mecânica</t>
  </si>
  <si>
    <t>2105846</t>
  </si>
  <si>
    <t>Escoramento com estacas de perfis metálicos W 250 x 38,5 kg/m, espaçadas em 1,5 m, intercaladas com prancha de madeira com espessura de 5 cm e ficha de 0 a 0,2 H - sem reaproveitamento - fornecimento e instalação</t>
  </si>
  <si>
    <t>2105929</t>
  </si>
  <si>
    <t>Escoramento com estacas de perfis metálicos W 250 x 38,5 kg/m, espaçadas em 1,5 m, intercaladas com prancha de madeira com espessura de 5 cm e ficha de 0,20 a 0,4 H - sem reaproveitamento - fornecimento e instalação</t>
  </si>
  <si>
    <t>2105933</t>
  </si>
  <si>
    <t>Escoramento com estacas de perfis metálicos W 250 x 38,5 kg/m, espaçadas em 1,5 m, intercaladas com prancha de madeira com espessura de 5 cm e ficha de 0,40 a 0,6 H - sem reaproveitamento - fornecimento e instalação</t>
  </si>
  <si>
    <t>2106293</t>
  </si>
  <si>
    <t>Escoramento com perfis metálicos W 150 x 18,0 kg/m a cada metro e chapas de aço - estroncas a cada 2 m não incluídas - profundidade de até 10 m - aço com utilização de 20 vezes - fornecimento, instalação e retirada</t>
  </si>
  <si>
    <t>2108165</t>
  </si>
  <si>
    <t>Escoramento com pontaletes D = 10 cm - utilização de 1 vez - confecção, instalação e retirada</t>
  </si>
  <si>
    <t>2108166</t>
  </si>
  <si>
    <t>Escoramento com pontaletes D = 10 cm - utilização de 2 vezes - confecção, instalação e retirada</t>
  </si>
  <si>
    <t>2108167</t>
  </si>
  <si>
    <t>Escoramento com pontaletes D = 10 cm - utilização de 3 vezes - confecção, instalação e retirada</t>
  </si>
  <si>
    <t>2108168</t>
  </si>
  <si>
    <t>Escoramento com pontaletes D = 10 cm - utilização de 5 vezes - confecção, instalação e retirada</t>
  </si>
  <si>
    <t>2108169</t>
  </si>
  <si>
    <t>Escoramento com pontaletes D = 15 cm - utilização de 1 vez - confecção e instalação</t>
  </si>
  <si>
    <t>2108170</t>
  </si>
  <si>
    <t>Escoramento com pontaletes D = 15 cm - utilização de 2 vezes - confecção, instalação e retirada</t>
  </si>
  <si>
    <t>2108171</t>
  </si>
  <si>
    <t>Escoramento com pontaletes D = 15 cm - utilização de 3 vezes - confecção, instalação e retirada</t>
  </si>
  <si>
    <t>2108172</t>
  </si>
  <si>
    <t>Escoramento com pontaletes D = 15 cm - utilização de 5 vezes - confecção, instalação e retirada</t>
  </si>
  <si>
    <t>2106292</t>
  </si>
  <si>
    <t>Escoramento contínuo de valas com tábuas de 2,5 x 30 cm e longarinas de 6 x 16 cm - estroncas a cada metro não incluídas - profundidade de até 4 m - madeira com utilização de 3 vezes - confecção, instalação e retirada</t>
  </si>
  <si>
    <t>2106291</t>
  </si>
  <si>
    <t>Escoramento contínuo de valas com tábuas de 2,5 x 30 cm e longarinas de 6 x 16 cm - estroncas a cada metro não incluídas - profundidade de até 4 m - madeira sem reaproveitamento - confecção e instalação</t>
  </si>
  <si>
    <t>2106235</t>
  </si>
  <si>
    <t>Escoramento metálico com quadro tubular contraventado - capacidade de carga até 3,8 t/m² - quadro de 1,0 x 1,0 x 1,25 m - utilização de 50 vezes - fornecimento, instalação e retirada</t>
  </si>
  <si>
    <t>2106232</t>
  </si>
  <si>
    <t>Escoramento metálico tubular galvanizado para formas com capacidade de 2.100 a 750 kg por unidade - regulável de 3,0 a 4,5 m - utilização de 20 vezes - fornecimento, instalação e retirada</t>
  </si>
  <si>
    <t>2106233</t>
  </si>
  <si>
    <t>Escoramento metálico tubular galvanizado para formas com capacidade de 3.200 a 1.600 kg por unidade - regulável de 1,8 a 3,0 m - utilização de 20 vezes - fornecimento, instalação e retirada</t>
  </si>
  <si>
    <t>2105605</t>
  </si>
  <si>
    <t>Escoramento para corpo de bueiros celulares - utilização de 3 vezes - confecção, instalação e retirada</t>
  </si>
  <si>
    <t>2106298</t>
  </si>
  <si>
    <t>Estroncas em perfil metálico W 150 x 18,0 kg/m - utilização de 20 vezes</t>
  </si>
  <si>
    <t>2106295</t>
  </si>
  <si>
    <t>Estroncas para valas com D = 15 cm - madeira com utilização de 3 vezes</t>
  </si>
  <si>
    <t>2106294</t>
  </si>
  <si>
    <t>Estroncas para valas com D = 15 cm - madeira sem reaproveitamento</t>
  </si>
  <si>
    <t>2106297</t>
  </si>
  <si>
    <t>Estroncas para valas com D = 20 cm - madeira com utilização de 3 vezes</t>
  </si>
  <si>
    <t>2106296</t>
  </si>
  <si>
    <t>Estroncas para valas com D = 20 cm - madeira sem reaproveitamento</t>
  </si>
  <si>
    <t>2306731</t>
  </si>
  <si>
    <t>Apoio náutico para a colocação da armação em camisa metálica</t>
  </si>
  <si>
    <t>2306728</t>
  </si>
  <si>
    <t>Apoio náutico para a escavação com perfuratriz tipo Wirth em rocha com média dureza e média abrasão - resistência à compressão menor que 80 MPa - D = 600 a 1.800 mm</t>
  </si>
  <si>
    <t>2306729</t>
  </si>
  <si>
    <t>Apoio náutico para a escavação com perfuratriz tipo Wirth em rocha de alta dureza e alta abrasão - resistência à compressão acima de 80 MPa - D = 600 a 1.800 mm</t>
  </si>
  <si>
    <t>2306727</t>
  </si>
  <si>
    <t>Apoio náutico para a escavação com perfuratriz tipo Wirth em solo D = 600 a 1.800 mm</t>
  </si>
  <si>
    <t>2306730</t>
  </si>
  <si>
    <t>Apoio náutico para a execução da concretagem de camisas metálicas</t>
  </si>
  <si>
    <t>2306726</t>
  </si>
  <si>
    <t>Apoio náutico para a execução da cravação de camisa metálica D = 600 a 1.800 mm</t>
  </si>
  <si>
    <t>2306076</t>
  </si>
  <si>
    <t>Armação de estaca escavada ou estaca barrete em aço CA-50 com apoio de guindaste - fornecimento, preparo e colocação</t>
  </si>
  <si>
    <t>2306247</t>
  </si>
  <si>
    <t>Arrasamento de estacas de concreto com seção de até 900 cm²</t>
  </si>
  <si>
    <t>2306248</t>
  </si>
  <si>
    <t>Arrasamento de estacas de concreto com seção superior à 900 cm²</t>
  </si>
  <si>
    <t>2306279</t>
  </si>
  <si>
    <t>Berço para pré-moldagem de estacas protendidas com capacidade de 19 m³, inclusive formas metálicas - utilização de 100 vezes</t>
  </si>
  <si>
    <t>2306651</t>
  </si>
  <si>
    <t>Camisa metálica com espessura de 12,5 mm D = 1.400 mm - cravada com martelo vibratório - sem escavação - cravação</t>
  </si>
  <si>
    <t>2306678</t>
  </si>
  <si>
    <t>Camisa metálica com espessura de 12,5 mm D = 1.400 mm - para passagem de lâmina d'água - posicionamento</t>
  </si>
  <si>
    <t>2306652</t>
  </si>
  <si>
    <t>Camisa metálica com espessura de 12,5 mm D = 1.500 mm - cravada com martelo vibratório - sem escavação - cravação</t>
  </si>
  <si>
    <t>2306679</t>
  </si>
  <si>
    <t>Camisa metálica com espessura de 12,5 mm D = 1.500 mm - para passagem de lâmina d'água - posicionamento</t>
  </si>
  <si>
    <t>2306653</t>
  </si>
  <si>
    <t>Camisa metálica com espessura de 12,5 mm D = 1.600 mm - cravada com martelo vibratório - sem escavação - cravação</t>
  </si>
  <si>
    <t>2306680</t>
  </si>
  <si>
    <t>Camisa metálica com espessura de 12,5 mm D = 1.600 mm - para passagem de lâmina d'água - posicionamento</t>
  </si>
  <si>
    <t>2306654</t>
  </si>
  <si>
    <t>Camisa metálica com espessura de 12,5 mm D = 1.700 mm - cravada com martelo vibratório - sem escavação - cravação</t>
  </si>
  <si>
    <t>2306681</t>
  </si>
  <si>
    <t>Camisa metálica com espessura de 12,5 mm D = 1.700 mm - para passagem de lâmina d'água - posicionamento</t>
  </si>
  <si>
    <t>2306655</t>
  </si>
  <si>
    <t>Camisa metálica com espessura de 12,5 mm D = 1.800 mm - cravada com martelo vibratório - sem escavação - cravação</t>
  </si>
  <si>
    <t>2306682</t>
  </si>
  <si>
    <t>Camisa metálica com espessura de 12,5 mm D = 1.800 mm - para passagem de lâmina d'água - posicionamento</t>
  </si>
  <si>
    <t>2306656</t>
  </si>
  <si>
    <t>Camisa metálica com espessura de 16 mm D = 1.500 mm - cravada com martelo vibratório - sem escavação - cravação</t>
  </si>
  <si>
    <t>2306683</t>
  </si>
  <si>
    <t>Camisa metálica com espessura de 16 mm D = 1.500 mm - para passagem de lâmina d'água - posicionamento</t>
  </si>
  <si>
    <t>2306657</t>
  </si>
  <si>
    <t>Camisa metálica com espessura de 16 mm D = 1.600 mm - cravada com martelo vibratório - sem escavação - cravação</t>
  </si>
  <si>
    <t>2306684</t>
  </si>
  <si>
    <t>Camisa metálica com espessura de 16 mm D = 1.600 mm - para passagem de lâmina d'água - posicionamento</t>
  </si>
  <si>
    <t>2306658</t>
  </si>
  <si>
    <t>Camisa metálica com espessura de 16 mm D = 1.700 mm - cravada com martelo vibratório - sem escavação - cravação</t>
  </si>
  <si>
    <t>2306685</t>
  </si>
  <si>
    <t>Camisa metálica com espessura de 16 mm D = 1.700 mm - para passagem de lâmina d'água - posicionamento</t>
  </si>
  <si>
    <t>2306659</t>
  </si>
  <si>
    <t>Camisa metálica com espessura de 16 mm D = 1.800 mm - cravada com martelo vibratório - sem escavação - cravação</t>
  </si>
  <si>
    <t>2306686</t>
  </si>
  <si>
    <t>Camisa metálica com espessura de 16 mm D = 1.800 mm - para passagem de lâmina d'água - posicionamento</t>
  </si>
  <si>
    <t>2306637</t>
  </si>
  <si>
    <t>Camisa metálica com espessura de 6,3 mm D = 1.000 mm - cravada com martelo vibratório - sem escavação - cravação</t>
  </si>
  <si>
    <t>2306664</t>
  </si>
  <si>
    <t>Camisa metálica com espessura de 6,3 mm D = 1.000 mm - para passagem de lâmina d'água - posicionamento</t>
  </si>
  <si>
    <t>2306732</t>
  </si>
  <si>
    <t>Camisa metálica com espessura de 6,3 mm D = 400 mm - cravada com martelo vibratório - sem escavação - cravação</t>
  </si>
  <si>
    <t>2306733</t>
  </si>
  <si>
    <t>Camisa metálica com espessura de 6,3 mm D = 400 mm - para passagem de lâmina d'água - posicionamento</t>
  </si>
  <si>
    <t>2306734</t>
  </si>
  <si>
    <t>Camisa metálica com espessura de 6,3 mm D = 500 mm - cravada com martelo vibratório - sem escavação - cravação</t>
  </si>
  <si>
    <t>2306735</t>
  </si>
  <si>
    <t>Camisa metálica com espessura de 6,3 mm D = 500 mm - para passagem de lâmina d'água - posicionamento</t>
  </si>
  <si>
    <t>2306633</t>
  </si>
  <si>
    <t>Camisa metálica com espessura de 6,3 mm D = 600 mm - cravada com martelo vibratório - sem escavação - cravação</t>
  </si>
  <si>
    <t>2306660</t>
  </si>
  <si>
    <t>Camisa metálica com espessura de 6,3 mm D = 600 mm - para passagem de lâmina d'água - posicionamento</t>
  </si>
  <si>
    <t>2306634</t>
  </si>
  <si>
    <t>Camisa metálica com espessura de 6,3 mm D = 700 mm - cravada com martelo vibratório - sem escavação - cravação</t>
  </si>
  <si>
    <t>2306661</t>
  </si>
  <si>
    <t>Camisa metálica com espessura de 6,3 mm D = 700 mm - para passagem de lâmina d'água - posicionamento</t>
  </si>
  <si>
    <t>2306635</t>
  </si>
  <si>
    <t>Camisa metálica com espessura de 6,3 mm D = 800 mm - cravada com martelo vibratório - sem escavação - cravação</t>
  </si>
  <si>
    <t>2306662</t>
  </si>
  <si>
    <t>Camisa metálica com espessura de 6,3 mm D = 800 mm - para passagem de lâmina d'água - posicionamento</t>
  </si>
  <si>
    <t>2306636</t>
  </si>
  <si>
    <t>Camisa metálica com espessura de 6,3 mm D = 900 mm - cravada com martelo vibratório - sem escavação - cravação</t>
  </si>
  <si>
    <t>2306663</t>
  </si>
  <si>
    <t>Camisa metálica com espessura de 6,3 mm D = 900 mm - para passagem de lâmina d'água - posicionamento</t>
  </si>
  <si>
    <t>2306641</t>
  </si>
  <si>
    <t>Camisa metálica com espessura de 8 mm D = 1.000 mm - cravada com martelo vibratório - sem escavação - cravação</t>
  </si>
  <si>
    <t>2306668</t>
  </si>
  <si>
    <t>Camisa metálica com espessura de 8 mm D = 1.000 mm - para passagem de lâmina d'água - posicionamento</t>
  </si>
  <si>
    <t>2306642</t>
  </si>
  <si>
    <t>Camisa metálica com espessura de 8 mm D = 1.100 mm - cravada com martelo vibratório - sem escavação - cravação</t>
  </si>
  <si>
    <t>2306669</t>
  </si>
  <si>
    <t>Camisa metálica com espessura de 8 mm D = 1.100 mm - para passagem de lâmina d'água - posicionamento</t>
  </si>
  <si>
    <t>2306643</t>
  </si>
  <si>
    <t>Camisa metálica com espessura de 8 mm D = 1.200 mm - cravada com martelo vibratório - sem escavação - cravação</t>
  </si>
  <si>
    <t>2306670</t>
  </si>
  <si>
    <t>Camisa metálica com espessura de 8 mm D = 1.200 mm - para passagem de lâmina d'água - posicionamento</t>
  </si>
  <si>
    <t>2306638</t>
  </si>
  <si>
    <t>Camisa metálica com espessura de 8 mm D = 700 mm - cravada com martelo vibratório - sem escavação - cravação</t>
  </si>
  <si>
    <t>2306665</t>
  </si>
  <si>
    <t>Camisa metálica com espessura de 8 mm D = 700 mm - para passagem de lâmina d'água - posicionamento</t>
  </si>
  <si>
    <t>2306639</t>
  </si>
  <si>
    <t>Camisa metálica com espessura de 8 mm D = 800 mm - cravada com martelo vibratório - sem escavação - cravação</t>
  </si>
  <si>
    <t>2306666</t>
  </si>
  <si>
    <t>Camisa metálica com espessura de 8 mm D = 800 mm - para passagem de lâmina d'água - posicionamento</t>
  </si>
  <si>
    <t>2306640</t>
  </si>
  <si>
    <t>Camisa metálica com espessura de 8 mm D = 900 mm - cravada com martelo vibratório - sem escavação - cravação</t>
  </si>
  <si>
    <t>2306667</t>
  </si>
  <si>
    <t>Camisa metálica com espessura de 8 mm D = 900 mm - para passagem de lâmina d'água - posicionamento</t>
  </si>
  <si>
    <t>2306645</t>
  </si>
  <si>
    <t>Camisa metálica com espessura de 9,5 mm D = 1.000 mm - cravada com martelo vibratório - sem escavação - cravação</t>
  </si>
  <si>
    <t>2306672</t>
  </si>
  <si>
    <t>Camisa metálica com espessura de 9,5 mm D = 1.000 mm - para passagem de lâmina d'água - posicionamento</t>
  </si>
  <si>
    <t>2306646</t>
  </si>
  <si>
    <t>Camisa metálica com espessura de 9,5 mm D = 1.100 mm - cravada com martelo vibratório - sem escavação - cravação</t>
  </si>
  <si>
    <t>2306673</t>
  </si>
  <si>
    <t>Camisa metálica com espessura de 9,5 mm D = 1.100 mm - para passagem de lâmina d'água - posicionamento</t>
  </si>
  <si>
    <t>2306647</t>
  </si>
  <si>
    <t>Camisa metálica com espessura de 9,5 mm D = 1.200 mm - cravada com martelo vibratório - sem escavação - cravação</t>
  </si>
  <si>
    <t>2306674</t>
  </si>
  <si>
    <t>Camisa metálica com espessura de 9,5 mm D = 1.200 mm - para passagem de lâmina d'água - posicionamento</t>
  </si>
  <si>
    <t>2306648</t>
  </si>
  <si>
    <t>Camisa metálica com espessura de 9,5 mm D = 1.300 mm - cravada com martelo vibratório - sem escavação - cravação</t>
  </si>
  <si>
    <t>2306675</t>
  </si>
  <si>
    <t>Camisa metálica com espessura de 9,5 mm D = 1.300 mm - para passagem de lâmina d'água - posicionamento</t>
  </si>
  <si>
    <t>2306649</t>
  </si>
  <si>
    <t>Camisa metálica com espessura de 9,5 mm D = 1.400 mm - cravada com martelo vibratório - sem escavação - cravação</t>
  </si>
  <si>
    <t>2306676</t>
  </si>
  <si>
    <t>Camisa metálica com espessura de 9,5 mm D = 1.400 mm - para passagem de lâmina d'água - posicionamento</t>
  </si>
  <si>
    <t>2306650</t>
  </si>
  <si>
    <t>Camisa metálica com espessura de 9,5 mm D = 1.500 mm - cravada com martelo vibratório - sem escavação - cravação</t>
  </si>
  <si>
    <t>2306677</t>
  </si>
  <si>
    <t>Camisa metálica com espessura de 9,5 mm D = 1.500 mm - para passagem de lâmina d'água - posicionamento</t>
  </si>
  <si>
    <t>2306644</t>
  </si>
  <si>
    <t>Camisa metálica com espessura de 9,5 mm D = 900 mm - cravada com martelo vibratório - sem escavação - cravação</t>
  </si>
  <si>
    <t>2306671</t>
  </si>
  <si>
    <t>Camisa metálica com espessura de 9,5 mm D = 900 mm - para passagem de lâmina d'água - posicionamento</t>
  </si>
  <si>
    <t>2306141</t>
  </si>
  <si>
    <t>Coluna de brita D = 50 cm executada com perfuratriz tipo bottom feed - brita comercial - confecção e cravação</t>
  </si>
  <si>
    <t>2306145</t>
  </si>
  <si>
    <t>Coluna de brita D = 50 cm executada com perfuratriz tipo bottom feed - brita produzida - confecção e cravação</t>
  </si>
  <si>
    <t>2306142</t>
  </si>
  <si>
    <t>Coluna de brita D = 60 cm executada com perfuratriz tipo bottom feed - brita comercial - confecção e cravação</t>
  </si>
  <si>
    <t>2306146</t>
  </si>
  <si>
    <t>Coluna de brita D = 60 cm executada com perfuratriz tipo bottom feed - brita produzida - confecção e cravação</t>
  </si>
  <si>
    <t>2306143</t>
  </si>
  <si>
    <t>Coluna de brita D = 70 cm executada com perfuratriz tipo bottom feed - brita comercial - confecção e cravação</t>
  </si>
  <si>
    <t>2306147</t>
  </si>
  <si>
    <t>Coluna de brita D = 70 cm executada com perfuratriz tipo bottom feed - brita produzida - confecção e cravação</t>
  </si>
  <si>
    <t>2306144</t>
  </si>
  <si>
    <t>Coluna de brita D = 80 cm executada com perfuratriz tipo bottom feed - brita comercial - confecção e cravação</t>
  </si>
  <si>
    <t>2306148</t>
  </si>
  <si>
    <t>Coluna de brita D = 80 cm executada com perfuratriz tipo bottom feed - brita produzida - confecção e cravação</t>
  </si>
  <si>
    <t>2306624</t>
  </si>
  <si>
    <t>Confecção de camisa metálica em aço ASTM A36 com espessura de 12,5 mm - D = 1.400 mm</t>
  </si>
  <si>
    <t>2306625</t>
  </si>
  <si>
    <t>Confecção de camisa metálica em aço ASTM A36 com espessura de 12,5 mm - D = 1.500 mm</t>
  </si>
  <si>
    <t>2306626</t>
  </si>
  <si>
    <t>Confecção de camisa metálica em aço ASTM A36 com espessura de 12,5 mm - D = 1.600 mm</t>
  </si>
  <si>
    <t>2306627</t>
  </si>
  <si>
    <t>Confecção de camisa metálica em aço ASTM A36 com espessura de 12,5 mm - D = 1.700 mm</t>
  </si>
  <si>
    <t>2306628</t>
  </si>
  <si>
    <t>Confecção de camisa metálica em aço ASTM A36 com espessura de 12,5 mm - D = 1.800 mm</t>
  </si>
  <si>
    <t>2306629</t>
  </si>
  <si>
    <t>Confecção de camisa metálica em aço ASTM A36 com espessura de 16 mm - D = 1.500 mm</t>
  </si>
  <si>
    <t>2306630</t>
  </si>
  <si>
    <t>Confecção de camisa metálica em aço ASTM A36 com espessura de 16 mm - D = 1.600 mm</t>
  </si>
  <si>
    <t>2306631</t>
  </si>
  <si>
    <t>Confecção de camisa metálica em aço ASTM A36 com espessura de 16 mm - D = 1.700 mm</t>
  </si>
  <si>
    <t>2306632</t>
  </si>
  <si>
    <t>Confecção de camisa metálica em aço ASTM A36 com espessura de 16 mm - D = 1.800 mm</t>
  </si>
  <si>
    <t>2306610</t>
  </si>
  <si>
    <t>Confecção de camisa metálica em aço ASTM A36 com espessura de 6,3 mm - D = 1.000 mm</t>
  </si>
  <si>
    <t>2306604</t>
  </si>
  <si>
    <t>Confecção de camisa metálica em aço ASTM A36 com espessura de 6,3 mm - D = 400 mm</t>
  </si>
  <si>
    <t>2306605</t>
  </si>
  <si>
    <t>Confecção de camisa metálica em aço ASTM A36 com espessura de 6,3 mm - D = 500 mm</t>
  </si>
  <si>
    <t>2306606</t>
  </si>
  <si>
    <t>Confecção de camisa metálica em aço ASTM A36 com espessura de 6,3 mm - D = 600 mm</t>
  </si>
  <si>
    <t>2306607</t>
  </si>
  <si>
    <t>Confecção de camisa metálica em aço ASTM A36 com espessura de 6,3 mm - D = 700 mm</t>
  </si>
  <si>
    <t>2306608</t>
  </si>
  <si>
    <t>Confecção de camisa metálica em aço ASTM A36 com espessura de 6,3 mm - D = 800 mm</t>
  </si>
  <si>
    <t>2306609</t>
  </si>
  <si>
    <t>Confecção de camisa metálica em aço ASTM A36 com espessura de 6,3 mm - D = 900 mm</t>
  </si>
  <si>
    <t>2306614</t>
  </si>
  <si>
    <t>Confecção de camisa metálica em aço ASTM A36 com espessura de 8 mm - D = 1.000 mm</t>
  </si>
  <si>
    <t>2306615</t>
  </si>
  <si>
    <t>Confecção de camisa metálica em aço ASTM A36 com espessura de 8 mm - D = 1.100 mm</t>
  </si>
  <si>
    <t>2306616</t>
  </si>
  <si>
    <t>Confecção de camisa metálica em aço ASTM A36 com espessura de 8 mm - D = 1.200 mm</t>
  </si>
  <si>
    <t>2306611</t>
  </si>
  <si>
    <t>Confecção de camisa metálica em aço ASTM A36 com espessura de 8 mm - D = 700 mm</t>
  </si>
  <si>
    <t>2306612</t>
  </si>
  <si>
    <t>Confecção de camisa metálica em aço ASTM A36 com espessura de 8 mm - D = 800 mm</t>
  </si>
  <si>
    <t>2306613</t>
  </si>
  <si>
    <t>Confecção de camisa metálica em aço ASTM A36 com espessura de 8 mm - D = 900 mm</t>
  </si>
  <si>
    <t>2306618</t>
  </si>
  <si>
    <t>Confecção de camisa metálica em aço ASTM A36 com espessura de 9,5 mm - D = 1.000 mm</t>
  </si>
  <si>
    <t>2306619</t>
  </si>
  <si>
    <t>Confecção de camisa metálica em aço ASTM A36 com espessura de 9,5 mm - D = 1.100 mm</t>
  </si>
  <si>
    <t>2306620</t>
  </si>
  <si>
    <t>Confecção de camisa metálica em aço ASTM A36 com espessura de 9,5 mm - D = 1.200 mm</t>
  </si>
  <si>
    <t>2306621</t>
  </si>
  <si>
    <t>Confecção de camisa metálica em aço ASTM A36 com espessura de 9,5 mm - D = 1.300 mm</t>
  </si>
  <si>
    <t>2306622</t>
  </si>
  <si>
    <t>Confecção de camisa metálica em aço ASTM A36 com espessura de 9,5 mm - D = 1.400 mm</t>
  </si>
  <si>
    <t>2306623</t>
  </si>
  <si>
    <t>Confecção de camisa metálica em aço ASTM A36 com espessura de 9,5 mm - D = 1.500 mm</t>
  </si>
  <si>
    <t>2306617</t>
  </si>
  <si>
    <t>Confecção de camisa metálica em aço ASTM A36 com espessura de 9,5 mm - D = 900 mm</t>
  </si>
  <si>
    <t>2306014</t>
  </si>
  <si>
    <t>Contraventamento de grupo de estacas submersas em aço ASTM A36 - confecção e instalação</t>
  </si>
  <si>
    <t>2306700</t>
  </si>
  <si>
    <t>Escavação com perfuratriz tipo Wirth em rocha com média dureza e média abrasão - resistência à compressão menor que 80 MPa - D = 1.000 mm</t>
  </si>
  <si>
    <t>2306703</t>
  </si>
  <si>
    <t>Escavação com perfuratriz tipo Wirth em rocha com média dureza e média abrasão - resistência à compressão menor que 80 MPa - D = 1.100 mm</t>
  </si>
  <si>
    <t>2306706</t>
  </si>
  <si>
    <t>Escavação com perfuratriz tipo Wirth em rocha com média dureza e média abrasão - resistência à compressão menor que 80 MPa - D = 1.200 mm</t>
  </si>
  <si>
    <t>2306709</t>
  </si>
  <si>
    <t>Escavação com perfuratriz tipo Wirth em rocha com média dureza e média abrasão - resistência à compressão menor que 80 MPa - D = 1.300 mm</t>
  </si>
  <si>
    <t>2306712</t>
  </si>
  <si>
    <t>Escavação com perfuratriz tipo Wirth em rocha com média dureza e média abrasão - resistência à compressão menor que 80 MPa - D = 1.400 mm</t>
  </si>
  <si>
    <t>2306715</t>
  </si>
  <si>
    <t>Escavação com perfuratriz tipo Wirth em rocha com média dureza e média abrasão - resistência à compressão menor que 80 MPa - D = 1.500 mm</t>
  </si>
  <si>
    <t>2306718</t>
  </si>
  <si>
    <t>Escavação com perfuratriz tipo Wirth em rocha com média dureza e média abrasão - resistência à compressão menor que 80 MPa - D = 1.600 mm</t>
  </si>
  <si>
    <t>2306721</t>
  </si>
  <si>
    <t>Escavação com perfuratriz tipo Wirth em rocha com média dureza e média abrasão - resistência à compressão menor que 80 MPa - D = 1.700 mm</t>
  </si>
  <si>
    <t>2306724</t>
  </si>
  <si>
    <t>Escavação com perfuratriz tipo Wirth em rocha com média dureza e média abrasão - resistência à compressão menor que 80 MPa - D = 1.800 mm</t>
  </si>
  <si>
    <t>2306688</t>
  </si>
  <si>
    <t>Escavação com perfuratriz tipo Wirth em rocha com média dureza e média abrasão - resistência à compressão menor que 80 MPa - D = 600 mm</t>
  </si>
  <si>
    <t>2306691</t>
  </si>
  <si>
    <t>Escavação com perfuratriz tipo Wirth em rocha com média dureza e média abrasão - resistência à compressão menor que 80 MPa - D = 700 mm</t>
  </si>
  <si>
    <t>2306694</t>
  </si>
  <si>
    <t>Escavação com perfuratriz tipo Wirth em rocha com média dureza e média abrasão - resistência à compressão menor que 80 MPa - D = 800 mm</t>
  </si>
  <si>
    <t>2306697</t>
  </si>
  <si>
    <t>Escavação com perfuratriz tipo Wirth em rocha com média dureza e média abrasão - resistência à compressão menor que 80 MPa - D = 900 mm</t>
  </si>
  <si>
    <t>2306701</t>
  </si>
  <si>
    <t>Escavação com perfuratriz tipo Wirth em rocha de alta dureza e alta abrasão - resistência à compressão acima de 80 MPa - D = 1.000 mm</t>
  </si>
  <si>
    <t>2306704</t>
  </si>
  <si>
    <t>Escavação com perfuratriz tipo Wirth em rocha de alta dureza e alta abrasão - resistência à compressão acima de 80 MPa - D = 1.100 mm</t>
  </si>
  <si>
    <t>2306707</t>
  </si>
  <si>
    <t>Escavação com perfuratriz tipo Wirth em rocha de alta dureza e alta abrasão - resistência à compressão acima de 80 MPa - D = 1.200 mm</t>
  </si>
  <si>
    <t>2306710</t>
  </si>
  <si>
    <t>Escavação com perfuratriz tipo Wirth em rocha de alta dureza e alta abrasão - resistência à compressão acima de 80 MPa - D = 1.300 mm</t>
  </si>
  <si>
    <t>2306713</t>
  </si>
  <si>
    <t>Escavação com perfuratriz tipo Wirth em rocha de alta dureza e alta abrasão - resistência à compressão acima de 80 MPa - D = 1.400 mm</t>
  </si>
  <si>
    <t>2306716</t>
  </si>
  <si>
    <t>Escavação com perfuratriz tipo Wirth em rocha de alta dureza e alta abrasão - resistência à compressão acima de 80 MPa - D = 1.500 mm</t>
  </si>
  <si>
    <t>2306719</t>
  </si>
  <si>
    <t>Escavação com perfuratriz tipo Wirth em rocha de alta dureza e alta abrasão - resistência à compressão acima de 80 MPa - D = 1.600 mm</t>
  </si>
  <si>
    <t>2306722</t>
  </si>
  <si>
    <t>Escavação com perfuratriz tipo Wirth em rocha de alta dureza e alta abrasão - resistência à compressão acima de 80 MPa - D = 1.700 mm</t>
  </si>
  <si>
    <t>2306725</t>
  </si>
  <si>
    <t>Escavação com perfuratriz tipo Wirth em rocha de alta dureza e alta abrasão - resistência à compressão acima de 80 MPa - D = 1.800 mm</t>
  </si>
  <si>
    <t>2306689</t>
  </si>
  <si>
    <t>Escavação com perfuratriz tipo Wirth em rocha de alta dureza e alta abrasão - resistência à compressão acima de 80 MPa - D = 600 mm</t>
  </si>
  <si>
    <t>2306692</t>
  </si>
  <si>
    <t>Escavação com perfuratriz tipo Wirth em rocha de alta dureza e alta abrasão - resistência à compressão acima de 80 MPa - D = 700 mm</t>
  </si>
  <si>
    <t>2306695</t>
  </si>
  <si>
    <t>Escavação com perfuratriz tipo Wirth em rocha de alta dureza e alta abrasão - resistência à compressão acima de 80 MPa - D = 800 mm</t>
  </si>
  <si>
    <t>2306698</t>
  </si>
  <si>
    <t>Escavação com perfuratriz tipo Wirth em rocha de alta dureza e alta abrasão - resistência à compressão acima de 80 MPa - D = 900 mm</t>
  </si>
  <si>
    <t>2306699</t>
  </si>
  <si>
    <t>Escavação com perfuratriz tipo Wirth em solo - D = 1.000 mm</t>
  </si>
  <si>
    <t>2306702</t>
  </si>
  <si>
    <t>Escavação com perfuratriz tipo Wirth em solo - D = 1.100 mm</t>
  </si>
  <si>
    <t>2306705</t>
  </si>
  <si>
    <t>Escavação com perfuratriz tipo Wirth em solo - D = 1.200 mm</t>
  </si>
  <si>
    <t>2306708</t>
  </si>
  <si>
    <t>Escavação com perfuratriz tipo Wirth em solo - D = 1.300 mm</t>
  </si>
  <si>
    <t>2306711</t>
  </si>
  <si>
    <t>Escavação com perfuratriz tipo Wirth em solo - D = 1.400 mm</t>
  </si>
  <si>
    <t>2306714</t>
  </si>
  <si>
    <t>Escavação com perfuratriz tipo Wirth em solo - D = 1.500 mm</t>
  </si>
  <si>
    <t>2306717</t>
  </si>
  <si>
    <t>Escavação com perfuratriz tipo Wirth em solo - D = 1.600 mm</t>
  </si>
  <si>
    <t>2306720</t>
  </si>
  <si>
    <t>Escavação com perfuratriz tipo Wirth em solo - D = 1.700 mm</t>
  </si>
  <si>
    <t>2306723</t>
  </si>
  <si>
    <t>Escavação com perfuratriz tipo Wirth em solo - D = 1.800 mm</t>
  </si>
  <si>
    <t>2306687</t>
  </si>
  <si>
    <t>Escavação com perfuratriz tipo Wirth em solo - D = 600 mm</t>
  </si>
  <si>
    <t>2306690</t>
  </si>
  <si>
    <t>Escavação com perfuratriz tipo Wirth em solo - D = 700 mm</t>
  </si>
  <si>
    <t>2306693</t>
  </si>
  <si>
    <t>Escavação com perfuratriz tipo Wirth em solo - D = 800 mm</t>
  </si>
  <si>
    <t>2306696</t>
  </si>
  <si>
    <t>Escavação com perfuratriz tipo Wirth em solo - D = 900 mm</t>
  </si>
  <si>
    <t>2306239</t>
  </si>
  <si>
    <t>Estaca barrete escavada com uso de fluido estabilizante - confecção</t>
  </si>
  <si>
    <t>2306090</t>
  </si>
  <si>
    <t>Estaca broca manual D = 25 cm - confecção</t>
  </si>
  <si>
    <t>2306091</t>
  </si>
  <si>
    <t>Estaca broca manual D = 30 cm - confecção</t>
  </si>
  <si>
    <t>2306072</t>
  </si>
  <si>
    <t>Estaca circular tipo estacão escavada com uso de fluido estabilizante - confecção</t>
  </si>
  <si>
    <t>2306133</t>
  </si>
  <si>
    <t>Estaca duplo perfil metálico W 250 x 17,9 - com emenda - fornecimento e cravação</t>
  </si>
  <si>
    <t>2306114</t>
  </si>
  <si>
    <t>Estaca duplo trilho TR 25 - com emenda - fornecimento e cravação</t>
  </si>
  <si>
    <t>2306115</t>
  </si>
  <si>
    <t>Estaca duplo trilho TR 37 - com emenda - fornecimento e cravação</t>
  </si>
  <si>
    <t>2306116</t>
  </si>
  <si>
    <t>Estaca duplo trilho TR 45 - com emenda - fornecimento e cravação</t>
  </si>
  <si>
    <t>2306118</t>
  </si>
  <si>
    <t>Estaca duplo trilho TR 57 - com emenda - fornecimento e cravação</t>
  </si>
  <si>
    <t>2306122</t>
  </si>
  <si>
    <t>Estaca duplo trilho TR 68 - com emenda - fornecimento e cravação</t>
  </si>
  <si>
    <t>2306078</t>
  </si>
  <si>
    <t>Estaca Franki com fuste apiloado D = 35 cm - confecção</t>
  </si>
  <si>
    <t>2306080</t>
  </si>
  <si>
    <t>Estaca Franki com fuste apiloado D = 40 cm - confecção</t>
  </si>
  <si>
    <t>2306082</t>
  </si>
  <si>
    <t>Estaca Franki com fuste apiloado D = 45 cm - confecção</t>
  </si>
  <si>
    <t>2306084</t>
  </si>
  <si>
    <t>Estaca Franki com fuste apiloado D = 52 cm - confecção</t>
  </si>
  <si>
    <t>2306086</t>
  </si>
  <si>
    <t>Estaca Franki com fuste apiloado D = 60 cm - confecção</t>
  </si>
  <si>
    <t>2309088</t>
  </si>
  <si>
    <t>Estaca Franki com fuste apiloado D = 70 cm - confecção</t>
  </si>
  <si>
    <t>2306074</t>
  </si>
  <si>
    <t>Estaca hélice contínua - confecção</t>
  </si>
  <si>
    <t>2306095</t>
  </si>
  <si>
    <t>Estaca hélice de deslocamento - confecção</t>
  </si>
  <si>
    <t>2306132</t>
  </si>
  <si>
    <t>Estaca perfil metálico W 150 x 22,5 (H) - fornecimento e cravação</t>
  </si>
  <si>
    <t>2306015</t>
  </si>
  <si>
    <t>Estaca prancha metálica - fornecimento e cravação até 12 metros</t>
  </si>
  <si>
    <t>2306019</t>
  </si>
  <si>
    <t>Estaca prancha metálica com apoio de flutuante - fornecimento e cravação de 12 metros</t>
  </si>
  <si>
    <t>2306018</t>
  </si>
  <si>
    <t>Estaca prancha metálica com apoio de flutuante e utilização de 10 vezes - fornecimento, cravação até 12 metros</t>
  </si>
  <si>
    <t>2306016</t>
  </si>
  <si>
    <t>Estaca prancha metálica com utilização de 10 vezes - fornecimento, cravação até 12 metros</t>
  </si>
  <si>
    <t>2305999</t>
  </si>
  <si>
    <t>Estaca pré-moldada de concreto armado centrifugado com compressão admissível de 100 t - sem emenda - fornecimento e cravação</t>
  </si>
  <si>
    <t>2306000</t>
  </si>
  <si>
    <t>Estaca pré-moldada de concreto armado centrifugado com compressão admissível de 125 t - sem emenda - fornecimento e cravação</t>
  </si>
  <si>
    <t>2306001</t>
  </si>
  <si>
    <t>Estaca pré-moldada de concreto armado centrifugado com compressão admissível de 170 t - sem emenda - fornecimento e cravação</t>
  </si>
  <si>
    <t>2306002</t>
  </si>
  <si>
    <t>Estaca pré-moldada de concreto armado centrifugado com compressão admissível de 230 t - sem emenda - fornecimento e cravação</t>
  </si>
  <si>
    <t>2306003</t>
  </si>
  <si>
    <t>Estaca pré-moldada de concreto armado centrifugado com compressão admissível de 300 t - sem emenda - fornecimento e cravação</t>
  </si>
  <si>
    <t>2305997</t>
  </si>
  <si>
    <t>Estaca pré-moldada de concreto armado centrifugado com compressão admissível de 55 t - sem emenda - fornecimento e cravação</t>
  </si>
  <si>
    <t>2305998</t>
  </si>
  <si>
    <t>Estaca pré-moldada de concreto armado centrifugado com compressão admissível de 80 t - sem emenda - fornecimento e cravação</t>
  </si>
  <si>
    <t>2306101</t>
  </si>
  <si>
    <t>Estaca pré-moldada de concreto protendido 15 x 15 cm - produzida - sem emenda - cravação</t>
  </si>
  <si>
    <t>2306102</t>
  </si>
  <si>
    <t>Estaca pré-moldada de concreto protendido 17 x 17 cm - produzida - sem emenda - cravação</t>
  </si>
  <si>
    <t>2306103</t>
  </si>
  <si>
    <t>Estaca pré-moldada de concreto protendido 20 x 20 cm - produzida - sem emenda - cravação</t>
  </si>
  <si>
    <t>2306104</t>
  </si>
  <si>
    <t>Estaca pré-moldada de concreto protendido 21 x 21 cm - produzida - sem emenda - cravação</t>
  </si>
  <si>
    <t>2306105</t>
  </si>
  <si>
    <t>Estaca pré-moldada de concreto protendido 23 x 23 cm - produzida - sem emenda - cravação</t>
  </si>
  <si>
    <t>2306106</t>
  </si>
  <si>
    <t>Estaca pré-moldada de concreto protendido 25 x 25 cm - produzida - sem emenda - cravação</t>
  </si>
  <si>
    <t>2306107</t>
  </si>
  <si>
    <t>Estaca pré-moldada de concreto protendido 26 x 26 cm - produzida - sem emenda - cravação</t>
  </si>
  <si>
    <t>2306269</t>
  </si>
  <si>
    <t>Estaca pré-moldada de concreto protendido 30 x 30 cm - produzida - sem emenda - cravação</t>
  </si>
  <si>
    <t>2306270</t>
  </si>
  <si>
    <t>Estaca pré-moldada de concreto protendido 33 x 33 cm - produzida - sem emenda - cravação</t>
  </si>
  <si>
    <t>2306271</t>
  </si>
  <si>
    <t>Estaca pré-moldada de concreto protendido 35 x 35 cm - produzida - sem emenda - cravação</t>
  </si>
  <si>
    <t>2306272</t>
  </si>
  <si>
    <t>Estaca pré-moldada de concreto protendido 38 x 38 cm - produzida - sem emenda - cravação</t>
  </si>
  <si>
    <t>2306273</t>
  </si>
  <si>
    <t>Estaca pré-moldada de concreto protendido 40 x 40 cm - produzida - sem emenda - cravação</t>
  </si>
  <si>
    <t>2306274</t>
  </si>
  <si>
    <t>Estaca pré-moldada de concreto protendido 42 x 42 cm - produzida - sem emenda - cravação</t>
  </si>
  <si>
    <t>2306275</t>
  </si>
  <si>
    <t>Estaca pré-moldada de concreto protendido 45 x 45 cm - produzida - sem emenda - cravação</t>
  </si>
  <si>
    <t>2306100</t>
  </si>
  <si>
    <t>Estaca pré-moldada de concreto protendido com compressão admissível de 100 t - comercial - sem emenda - fornecimento e cravação</t>
  </si>
  <si>
    <t>2306004</t>
  </si>
  <si>
    <t>Estaca pré-moldada de concreto protendido com compressão admissível de 25 t - comercial - sem emenda - fornecimento e cravação</t>
  </si>
  <si>
    <t>2306097</t>
  </si>
  <si>
    <t>Estaca pré-moldada de concreto protendido com compressão admissível de 35 t - comercial - sem emenda - fornecimento e cravação</t>
  </si>
  <si>
    <t>2306098</t>
  </si>
  <si>
    <t>Estaca pré-moldada de concreto protendido com compressão admissível de 60 t - comercial - sem emenda - fornecimento e cravação</t>
  </si>
  <si>
    <t>2306007</t>
  </si>
  <si>
    <t>Estaca pré-moldada de concreto protendido com compressão admissível de 75 t - comercial - sem emenda - fornecimento e cravação</t>
  </si>
  <si>
    <t>2306067</t>
  </si>
  <si>
    <t>Estaca raiz perfurada na rocha com D = 16 cm - confecção</t>
  </si>
  <si>
    <t>2306068</t>
  </si>
  <si>
    <t>Estaca raiz perfurada na rocha com D = 20 cm - confecção</t>
  </si>
  <si>
    <t>2306069</t>
  </si>
  <si>
    <t>Estaca raiz perfurada na rocha com D = 25 cm - confecção</t>
  </si>
  <si>
    <t>2306070</t>
  </si>
  <si>
    <t>Estaca raiz perfurada na rocha com D = 31 cm - confecção</t>
  </si>
  <si>
    <t>2306071</t>
  </si>
  <si>
    <t>Estaca raiz perfurada na rocha com D = 40 cm - confecção</t>
  </si>
  <si>
    <t>2306181</t>
  </si>
  <si>
    <t>Estaca raiz perfurada na rocha com D = 45 cm - confecção</t>
  </si>
  <si>
    <t>2306062</t>
  </si>
  <si>
    <t>Estaca raiz perfurada no solo com D = 16 cm - confecção</t>
  </si>
  <si>
    <t>2306063</t>
  </si>
  <si>
    <t>Estaca raiz perfurada no solo com D = 20 cm - confecção</t>
  </si>
  <si>
    <t>2306064</t>
  </si>
  <si>
    <t>Estaca raiz perfurada no solo com D = 25 cm - confecção</t>
  </si>
  <si>
    <t>2306065</t>
  </si>
  <si>
    <t>Estaca raiz perfurada no solo com D = 31 cm - confecção</t>
  </si>
  <si>
    <t>2306066</t>
  </si>
  <si>
    <t>Estaca raiz perfurada no solo com D = 40 cm - confecção</t>
  </si>
  <si>
    <t>2306180</t>
  </si>
  <si>
    <t>Estaca raiz perfurada no solo com D = 45 cm - confecção</t>
  </si>
  <si>
    <t>2306009</t>
  </si>
  <si>
    <t>Estaca Strauss D = 25 cm - confecção</t>
  </si>
  <si>
    <t>2306010</t>
  </si>
  <si>
    <t>Estaca Strauss D = 32 cm - confecção</t>
  </si>
  <si>
    <t>2306011</t>
  </si>
  <si>
    <t>Estaca Strauss D = 38 cm - confecção</t>
  </si>
  <si>
    <t>2306012</t>
  </si>
  <si>
    <t>Estaca Strauss D = 45 cm - confecção</t>
  </si>
  <si>
    <t>2306108</t>
  </si>
  <si>
    <t>Estaca trilho TR 25 - fornecimento e cravação</t>
  </si>
  <si>
    <t>2306110</t>
  </si>
  <si>
    <t>Estaca trilho TR 37 - fornecimento e cravação</t>
  </si>
  <si>
    <t>2306111</t>
  </si>
  <si>
    <t>Estaca trilho TR 45 - fornecimento e cravação</t>
  </si>
  <si>
    <t>2306112</t>
  </si>
  <si>
    <t>Estaca trilho TR 57 - fornecimento e cravação</t>
  </si>
  <si>
    <t>2306113</t>
  </si>
  <si>
    <t>Estaca trilho TR 68 - fornecimento e cravação</t>
  </si>
  <si>
    <t>2306123</t>
  </si>
  <si>
    <t>Estaca triplo trilho TR 25 - com emenda - fornecimento e cravação</t>
  </si>
  <si>
    <t>2306124</t>
  </si>
  <si>
    <t>Estaca triplo trilho TR 37 - com emenda - fornecimento e cravação</t>
  </si>
  <si>
    <t>2306125</t>
  </si>
  <si>
    <t>Estaca triplo trilho TR 45 - com emenda - fornecimento e cravação</t>
  </si>
  <si>
    <t>2306126</t>
  </si>
  <si>
    <t>Estaca triplo trilho TR 57 - com emenda - fornecimento e cravação</t>
  </si>
  <si>
    <t>2306127</t>
  </si>
  <si>
    <t>Estaca triplo trilho TR 68 - com emenda - fornecimento e cravação</t>
  </si>
  <si>
    <t>2306300</t>
  </si>
  <si>
    <t>Fabricação de estaca pré-moldada de concreto protendida seção 15 x 15 cm</t>
  </si>
  <si>
    <t>2306301</t>
  </si>
  <si>
    <t>Fabricação de estaca pré-moldada de concreto protendida seção 17 x 17 cm</t>
  </si>
  <si>
    <t>2306302</t>
  </si>
  <si>
    <t>Fabricação de estaca pré-moldada de concreto protendida seção 20 x 20 cm</t>
  </si>
  <si>
    <t>2306303</t>
  </si>
  <si>
    <t>Fabricação de estaca pré-moldada de concreto protendida seção 21 x 21 cm</t>
  </si>
  <si>
    <t>2306304</t>
  </si>
  <si>
    <t>Fabricação de estaca pré-moldada de concreto protendida seção 23 x 23 cm</t>
  </si>
  <si>
    <t>2306305</t>
  </si>
  <si>
    <t>Fabricação de estaca pré-moldada de concreto protendida seção 25 x 25 cm</t>
  </si>
  <si>
    <t>2306306</t>
  </si>
  <si>
    <t>Fabricação de estaca pré-moldada de concreto protendida seção 26 x 26 cm</t>
  </si>
  <si>
    <t>2306307</t>
  </si>
  <si>
    <t>Fabricação de estaca pré-moldada de concreto protendida seção 30 x 30 cm</t>
  </si>
  <si>
    <t>2306308</t>
  </si>
  <si>
    <t>Fabricação de estaca pré-moldada de concreto protendida seção 33 x 33 cm</t>
  </si>
  <si>
    <t>2306309</t>
  </si>
  <si>
    <t>Fabricação de estaca pré-moldada de concreto protendida seção 35 x 35 cm</t>
  </si>
  <si>
    <t>2306310</t>
  </si>
  <si>
    <t>Fabricação de estaca pré-moldada de concreto protendida seção 38 x 38 cm</t>
  </si>
  <si>
    <t>2306311</t>
  </si>
  <si>
    <t>Fabricação de estaca pré-moldada de concreto protendida seção 40 x 40 cm</t>
  </si>
  <si>
    <t>2306312</t>
  </si>
  <si>
    <t>Fabricação de estaca pré-moldada de concreto protendida seção 42 x 42 cm</t>
  </si>
  <si>
    <t>2306313</t>
  </si>
  <si>
    <t>Fabricação de estaca pré-moldada de concreto protendida seção 45 x 45 cm</t>
  </si>
  <si>
    <t>2306013</t>
  </si>
  <si>
    <t>Gabarito de cravação de estacas submersas em aço ASTM A36 - confecção e instalação</t>
  </si>
  <si>
    <t>2306243</t>
  </si>
  <si>
    <t>Muro guia para estaca barrete com duas cortinas de 10 x 110 cm</t>
  </si>
  <si>
    <t>2408149</t>
  </si>
  <si>
    <t>Estrutura em perfil de aço ASTM A36 corte, solda e montagem - fornecimento e instalação</t>
  </si>
  <si>
    <t>2407972</t>
  </si>
  <si>
    <t>Fornecimento e aplicação de adesivo estrutural à base de resina epóxi</t>
  </si>
  <si>
    <t>2407973</t>
  </si>
  <si>
    <t>Hidrojateamento em superfície de aço grau WJ-2</t>
  </si>
  <si>
    <t>2408075</t>
  </si>
  <si>
    <t>Jateamento abrasivo em chapa de aço por esteira contínua</t>
  </si>
  <si>
    <t>2408069</t>
  </si>
  <si>
    <t>Jateamento de chapa de aço com o uso de granalhas de aço grau Sa 2</t>
  </si>
  <si>
    <t>2419790</t>
  </si>
  <si>
    <t>Jateamento de chapa de aço com o uso de granalhas de aço grau Sa 2 1/2</t>
  </si>
  <si>
    <t>2407976</t>
  </si>
  <si>
    <t>Jateamento de chapa de aço com o uso de granalhas de aço grau Sa 2 1/2 - em espaço confinado</t>
  </si>
  <si>
    <t>2408068</t>
  </si>
  <si>
    <t>Jateamento de chapa de aço com o uso de granalhas de aço grau Sa 3</t>
  </si>
  <si>
    <t>2419705</t>
  </si>
  <si>
    <t>Pintura com epóxi de dois componentes com pistola a ar comprimido, uma demão, espessura de 120 µm</t>
  </si>
  <si>
    <t>2419704</t>
  </si>
  <si>
    <t>Pintura com primer epóxi de dois componentes com pistola a ar comprimido, uma demão, espessura de 70 µm</t>
  </si>
  <si>
    <t>2407981</t>
  </si>
  <si>
    <t>Pintura com selante epóxi vinílico com pistola airless, uma demão, espessura de 80 µm</t>
  </si>
  <si>
    <t>2407982</t>
  </si>
  <si>
    <t>Pintura com tinta anti-incrustante com pistola airless, uma demão, espessura de 125 µm</t>
  </si>
  <si>
    <t>2419703</t>
  </si>
  <si>
    <t>Pintura com tinta anticorrosiva à base de epóxi poliamida de dois componentes com pistola a ar comprimido, uma demão, espessura de 150 µm</t>
  </si>
  <si>
    <t>2408080</t>
  </si>
  <si>
    <t>Pintura de acabamento com esmalte epóxi com pistola a ar comprimido, uma demão, espessura de 40 µm</t>
  </si>
  <si>
    <t>2408078</t>
  </si>
  <si>
    <t>Pintura de acabamento com esmalte sintético com pistola a ar comprimido, uma demão, espessura de 30 µm</t>
  </si>
  <si>
    <t>2407979</t>
  </si>
  <si>
    <t>Pintura de acabamento com tinta de poliuretano acrílico de dois componentes com pistola airless, uma demão, espessura de 70 µm</t>
  </si>
  <si>
    <t>2407980</t>
  </si>
  <si>
    <t>Pintura de acabamento com tinta de poliuretano acrílico de dois componentes com pistola airless, uma demão, espessura de 70 µm - em espaço confinado</t>
  </si>
  <si>
    <t>2408077</t>
  </si>
  <si>
    <t>Pintura de fundo com tinta alquídica com pistola a ar comprimido, uma demão, espessura de 30 µm</t>
  </si>
  <si>
    <t>2407983</t>
  </si>
  <si>
    <t>Pintura de fundo com tinta anticorrosiva à base de epóxi poliamida de dois componentes com pistola airless, uma demão, espessura de 100 µm - em espaço confinado</t>
  </si>
  <si>
    <t>2407977</t>
  </si>
  <si>
    <t>Pintura de fundo com tinta anticorrosiva à base de epóxi poliamida de dois componentes com pistola airless, uma demão, espessura de 160 µm</t>
  </si>
  <si>
    <t>2407978</t>
  </si>
  <si>
    <t>Pintura de fundo com tinta anticorrosiva à base de epóxi poliamida de dois componentes com pistola airless, uma demão, espessura de 160 µm - em espaço confinado</t>
  </si>
  <si>
    <t>2408079</t>
  </si>
  <si>
    <t>Pintura de fundo com tinta epóxi com pistola a ar comprimido, uma demão, espessura de 120 µm</t>
  </si>
  <si>
    <t>2408076</t>
  </si>
  <si>
    <t>Pintura shop primer em chapa de aço por esteira contínua</t>
  </si>
  <si>
    <t>2408057</t>
  </si>
  <si>
    <t>Solda elétrica de perfis metálicos e chapas de aço com eletrodo E60XX</t>
  </si>
  <si>
    <t>2408058</t>
  </si>
  <si>
    <t>Solda elétrica de perfis metálicos e chapas de aço com eletrodo E70XX</t>
  </si>
  <si>
    <t>2407974</t>
  </si>
  <si>
    <t>Tratamento de superfície de aço com ferramenta mecânica grau SP-11</t>
  </si>
  <si>
    <t>2407975</t>
  </si>
  <si>
    <t>Tratamento de superfície de aço com ferramenta mecânica grau SP-11 - em espaço confinado</t>
  </si>
  <si>
    <t>2419789</t>
  </si>
  <si>
    <t>Tratamento em chapa de aço por esteira contínua</t>
  </si>
  <si>
    <t>2607183</t>
  </si>
  <si>
    <t>Alinhamento manual da grade do AMV para qualquer abertura e qualquer bitola</t>
  </si>
  <si>
    <t>2607226</t>
  </si>
  <si>
    <t>Assentamento dos materiais metálicos do AMV 1:10, TR 45, bitola larga</t>
  </si>
  <si>
    <t>2607209</t>
  </si>
  <si>
    <t>Assentamento dos materiais metálicos do AMV 1:10, TR 45, bitola métrica</t>
  </si>
  <si>
    <t>2607161</t>
  </si>
  <si>
    <t>Assentamento dos materiais metálicos do AMV 1:10, TR 45, bitola mista</t>
  </si>
  <si>
    <t>2607148</t>
  </si>
  <si>
    <t>Assentamento dos materiais metálicos do AMV 1:10, TR 57, bitola larga</t>
  </si>
  <si>
    <t>2607213</t>
  </si>
  <si>
    <t>Assentamento dos materiais metálicos do AMV 1:10, TR 57, bitola métrica</t>
  </si>
  <si>
    <t>2607165</t>
  </si>
  <si>
    <t>Assentamento dos materiais metálicos do AMV 1:10, TR 57, bitola mista</t>
  </si>
  <si>
    <t>2607152</t>
  </si>
  <si>
    <t>Assentamento dos materiais metálicos do AMV 1:10, TR 68, bitola larga</t>
  </si>
  <si>
    <t>2607217</t>
  </si>
  <si>
    <t>Assentamento dos materiais metálicos do AMV 1:10, TR 68, bitola métrica</t>
  </si>
  <si>
    <t>2607169</t>
  </si>
  <si>
    <t>Assentamento dos materiais metálicos do AMV 1:10, TR 68, bitola mista</t>
  </si>
  <si>
    <t>2607156</t>
  </si>
  <si>
    <t>Assentamento dos materiais metálicos do AMV 1:10, UIC 60, bitola larga</t>
  </si>
  <si>
    <t>2607221</t>
  </si>
  <si>
    <t>Assentamento dos materiais metálicos do AMV 1:10, UIC 60, bitola métrica</t>
  </si>
  <si>
    <t>2607173</t>
  </si>
  <si>
    <t>Assentamento dos materiais metálicos do AMV 1:10, UIC 60, bitola mista</t>
  </si>
  <si>
    <t>2607227</t>
  </si>
  <si>
    <t>Assentamento dos materiais metálicos do AMV 1:12, TR 45, bitola larga</t>
  </si>
  <si>
    <t>2607210</t>
  </si>
  <si>
    <t>Assentamento dos materiais metálicos do AMV 1:12, TR 45, bitola métrica</t>
  </si>
  <si>
    <t>2607162</t>
  </si>
  <si>
    <t>Assentamento dos materiais metálicos do AMV 1:12, TR 45, bitola mista</t>
  </si>
  <si>
    <t>2607149</t>
  </si>
  <si>
    <t>Assentamento dos materiais metálicos do AMV 1:12, TR 57, bitola larga</t>
  </si>
  <si>
    <t>2607214</t>
  </si>
  <si>
    <t>Assentamento dos materiais metálicos do AMV 1:12, TR 57, bitola métrica</t>
  </si>
  <si>
    <t>2607166</t>
  </si>
  <si>
    <t>Assentamento dos materiais metálicos do AMV 1:12, TR 57, bitola mista</t>
  </si>
  <si>
    <t>2607153</t>
  </si>
  <si>
    <t>Assentamento dos materiais metálicos do AMV 1:12, TR 68, bitola larga</t>
  </si>
  <si>
    <t>2607218</t>
  </si>
  <si>
    <t>Assentamento dos materiais metálicos do AMV 1:12, TR 68, bitola métrica</t>
  </si>
  <si>
    <t>2607170</t>
  </si>
  <si>
    <t>Assentamento dos materiais metálicos do AMV 1:12, TR 68, bitola mista</t>
  </si>
  <si>
    <t>2607157</t>
  </si>
  <si>
    <t>Assentamento dos materiais metálicos do AMV 1:12, UIC 60, bitola larga</t>
  </si>
  <si>
    <t>2607222</t>
  </si>
  <si>
    <t>Assentamento dos materiais metálicos do AMV 1:12, UIC 60, bitola métrica</t>
  </si>
  <si>
    <t>2607174</t>
  </si>
  <si>
    <t>Assentamento dos materiais metálicos do AMV 1:12, UIC 60, bitola mista</t>
  </si>
  <si>
    <t>2607228</t>
  </si>
  <si>
    <t>Assentamento dos materiais metálicos do AMV 1:14, TR 45, bitola larga</t>
  </si>
  <si>
    <t>2607211</t>
  </si>
  <si>
    <t>Assentamento dos materiais metálicos do AMV 1:14, TR 45, bitola métrica</t>
  </si>
  <si>
    <t>2607163</t>
  </si>
  <si>
    <t>Assentamento dos materiais metálicos do AMV 1:14, TR 45, bitola mista</t>
  </si>
  <si>
    <t>2607150</t>
  </si>
  <si>
    <t>Assentamento dos materiais metálicos do AMV 1:14, TR 57, bitola larga</t>
  </si>
  <si>
    <t>2607215</t>
  </si>
  <si>
    <t>Assentamento dos materiais metálicos do AMV 1:14, TR 57, bitola métrica</t>
  </si>
  <si>
    <t>2607167</t>
  </si>
  <si>
    <t>Assentamento dos materiais metálicos do AMV 1:14, TR 57, bitola mista</t>
  </si>
  <si>
    <t>2607154</t>
  </si>
  <si>
    <t>Assentamento dos materiais metálicos do AMV 1:14, TR 68, bitola larga</t>
  </si>
  <si>
    <t>2607219</t>
  </si>
  <si>
    <t>Assentamento dos materiais metálicos do AMV 1:14, TR 68, bitola métrica</t>
  </si>
  <si>
    <t>2607171</t>
  </si>
  <si>
    <t>Assentamento dos materiais metálicos do AMV 1:14, TR 68, bitola mista</t>
  </si>
  <si>
    <t>2607158</t>
  </si>
  <si>
    <t>Assentamento dos materiais metálicos do AMV 1:14, UIC 60, bitola larga</t>
  </si>
  <si>
    <t>2607223</t>
  </si>
  <si>
    <t>Assentamento dos materiais metálicos do AMV 1:14, UIC 60, bitola métrica</t>
  </si>
  <si>
    <t>2607175</t>
  </si>
  <si>
    <t>Assentamento dos materiais metálicos do AMV 1:14, UIC 60, bitola mista</t>
  </si>
  <si>
    <t>2607151</t>
  </si>
  <si>
    <t>Assentamento dos materiais metálicos do AMV 1:20, TR 57, bitola larga</t>
  </si>
  <si>
    <t>2607216</t>
  </si>
  <si>
    <t>Assentamento dos materiais metálicos do AMV 1:20, TR 57, bitola métrica</t>
  </si>
  <si>
    <t>2607168</t>
  </si>
  <si>
    <t>Assentamento dos materiais metálicos do AMV 1:20, TR 57, bitola mista</t>
  </si>
  <si>
    <t>2607155</t>
  </si>
  <si>
    <t>Assentamento dos materiais metálicos do AMV 1:20, TR 68, bitola larga</t>
  </si>
  <si>
    <t>2607220</t>
  </si>
  <si>
    <t>Assentamento dos materiais metálicos do AMV 1:20, TR 68, bitola métrica</t>
  </si>
  <si>
    <t>2607172</t>
  </si>
  <si>
    <t>Assentamento dos materiais metálicos do AMV 1:20, TR 68, bitola mista</t>
  </si>
  <si>
    <t>2607159</t>
  </si>
  <si>
    <t>Assentamento dos materiais metálicos do AMV 1:20, UIC 60, bitola larga</t>
  </si>
  <si>
    <t>2607224</t>
  </si>
  <si>
    <t>Assentamento dos materiais metálicos do AMV 1:20, UIC 60, bitola métrica</t>
  </si>
  <si>
    <t>2607176</t>
  </si>
  <si>
    <t>Assentamento dos materiais metálicos do AMV 1:20, UIC 60, bitola mista</t>
  </si>
  <si>
    <t>2607225</t>
  </si>
  <si>
    <t>Assentamento dos materiais metálicos do AMV 1:8, TR 45, bitola larga</t>
  </si>
  <si>
    <t>2607208</t>
  </si>
  <si>
    <t>Assentamento dos materiais metálicos do AMV 1:8, TR 45, bitola métrica</t>
  </si>
  <si>
    <t>2607160</t>
  </si>
  <si>
    <t>Assentamento dos materiais metálicos do AMV 1:8, TR 45, bitola mista</t>
  </si>
  <si>
    <t>2607229</t>
  </si>
  <si>
    <t>Assentamento dos materiais metálicos do AMV 1:8, TR 57, bitola larga</t>
  </si>
  <si>
    <t>2607212</t>
  </si>
  <si>
    <t>Assentamento dos materiais metálicos do AMV 1:8, TR 57, bitola métrica</t>
  </si>
  <si>
    <t>2607164</t>
  </si>
  <si>
    <t>Assentamento dos materiais metálicos do AMV 1:8, TR 57, bitola mista</t>
  </si>
  <si>
    <t>2607207</t>
  </si>
  <si>
    <t>Lançamento manual de lastro em AMV com descarga da brita por caminhão</t>
  </si>
  <si>
    <t>2607206</t>
  </si>
  <si>
    <t>Lançamento mecânico de lastro em AMV com descarga da brita por caminhão e espalhamento com carregadeira de pneus</t>
  </si>
  <si>
    <t>2607344</t>
  </si>
  <si>
    <t>Nivelamento de AMV com socaria com grupo vibrador e levante de até 10 cm, abertura 1:10, bitola larga, dormente de madeira ou concreto</t>
  </si>
  <si>
    <t>2607339</t>
  </si>
  <si>
    <t>Nivelamento de AMV com socaria com grupo vibrador e levante de até 10 cm, abertura 1:10, bitola métrica, dormente de madeira ou concreto</t>
  </si>
  <si>
    <t>2607349</t>
  </si>
  <si>
    <t>Nivelamento de AMV com socaria com grupo vibrador e levante de até 10 cm, abertura 1:10, bitola mista, dormente de madeira ou concreto</t>
  </si>
  <si>
    <t>2607345</t>
  </si>
  <si>
    <t>Nivelamento de AMV com socaria com grupo vibrador e levante de até 10 cm, abertura 1:12, bitola larga, dormente de madeira ou concreto</t>
  </si>
  <si>
    <t>2607340</t>
  </si>
  <si>
    <t>Nivelamento de AMV com socaria com grupo vibrador e levante de até 10 cm, abertura 1:12, bitola métrica, dormente de madeira ou concreto</t>
  </si>
  <si>
    <t>2607350</t>
  </si>
  <si>
    <t>Nivelamento de AMV com socaria com grupo vibrador e levante de até 10 cm, abertura 1:12, bitola mista, dormente de madeira ou concreto</t>
  </si>
  <si>
    <t>2607346</t>
  </si>
  <si>
    <t>Nivelamento de AMV com socaria com grupo vibrador e levante de até 10 cm, abertura 1:14, bitola larga, dormente de madeira ou concreto</t>
  </si>
  <si>
    <t>2607341</t>
  </si>
  <si>
    <t>Nivelamento de AMV com socaria com grupo vibrador e levante de até 10 cm, abertura 1:14, bitola métrica, dormente de madeira ou concreto</t>
  </si>
  <si>
    <t>2607351</t>
  </si>
  <si>
    <t>Nivelamento de AMV com socaria com grupo vibrador e levante de até 10 cm, abertura 1:14, bitola mista, dormente de madeira ou concreto</t>
  </si>
  <si>
    <t>2607347</t>
  </si>
  <si>
    <t>Nivelamento de AMV com socaria com grupo vibrador e levante de até 10 cm, abertura 1:20, bitola larga, dormente de madeira ou concreto</t>
  </si>
  <si>
    <t>2607342</t>
  </si>
  <si>
    <t>Nivelamento de AMV com socaria com grupo vibrador e levante de até 10 cm, abertura 1:20, bitola métrica, dormente de madeira ou concreto</t>
  </si>
  <si>
    <t>2607352</t>
  </si>
  <si>
    <t>Nivelamento de AMV com socaria com grupo vibrador e levante de até 10 cm, abertura 1:20, bitola mista, dormente de madeira ou concreto</t>
  </si>
  <si>
    <t>2607343</t>
  </si>
  <si>
    <t>Nivelamento de AMV com socaria com grupo vibrador e levante de até 10 cm, abertura 1:8, bitola larga, dormente de madeira</t>
  </si>
  <si>
    <t>2607338</t>
  </si>
  <si>
    <t>Nivelamento de AMV com socaria com grupo vibrador e levante de até 10 cm, abertura 1:8, bitola métrica, dormente de madeira</t>
  </si>
  <si>
    <t>2607348</t>
  </si>
  <si>
    <t>Nivelamento de AMV com socaria com grupo vibrador e levante de até 10 cm, abertura 1:8, bitola mista, dormente de madeira</t>
  </si>
  <si>
    <t>2607329</t>
  </si>
  <si>
    <t>Nivelamento de AMV com socaria manual e levante de até 10 cm, abertura 1:10, bitola larga, dormente de madeira ou concreto</t>
  </si>
  <si>
    <t>2607324</t>
  </si>
  <si>
    <t>Nivelamento de AMV com socaria manual e levante de até 10 cm, abertura 1:10, bitola métrica, dormente de madeira ou concreto</t>
  </si>
  <si>
    <t>2607334</t>
  </si>
  <si>
    <t>Nivelamento de AMV com socaria manual e levante de até 10 cm, abertura 1:10, bitola mista, dormente de madeira ou concreto</t>
  </si>
  <si>
    <t>2607330</t>
  </si>
  <si>
    <t>Nivelamento de AMV com socaria manual e levante de até 10 cm, abertura 1:12, bitola larga, dormente de madeira ou concreto</t>
  </si>
  <si>
    <t>2607325</t>
  </si>
  <si>
    <t>Nivelamento de AMV com socaria manual e levante de até 10 cm, abertura 1:12, bitola métrica, dormente de madeira ou concreto</t>
  </si>
  <si>
    <t>2607335</t>
  </si>
  <si>
    <t>Nivelamento de AMV com socaria manual e levante de até 10 cm, abertura 1:12, bitola mista, dormente de madeira ou concreto</t>
  </si>
  <si>
    <t>2607331</t>
  </si>
  <si>
    <t>Nivelamento de AMV com socaria manual e levante de até 10 cm, abertura 1:14, bitola larga, dormente de madeira ou concreto</t>
  </si>
  <si>
    <t>2607326</t>
  </si>
  <si>
    <t>Nivelamento de AMV com socaria manual e levante de até 10 cm, abertura 1:14, bitola métrica, dormente de madeira ou concreto</t>
  </si>
  <si>
    <t>2607336</t>
  </si>
  <si>
    <t>Nivelamento de AMV com socaria manual e levante de até 10 cm, abertura 1:14, bitola mista, dormente de madeira ou concreto</t>
  </si>
  <si>
    <t>2607332</t>
  </si>
  <si>
    <t>Nivelamento de AMV com socaria manual e levante de até 10 cm, abertura 1:20, bitola larga, dormente de madeira ou concreto</t>
  </si>
  <si>
    <t>2607327</t>
  </si>
  <si>
    <t>Nivelamento de AMV com socaria manual e levante de até 10 cm, abertura 1:20, bitola métrica, dormente de madeira ou concreto</t>
  </si>
  <si>
    <t>2607337</t>
  </si>
  <si>
    <t>Nivelamento de AMV com socaria manual e levante de até 10 cm, abertura 1:20, bitola mista, dormente de madeira ou concreto</t>
  </si>
  <si>
    <t>2607328</t>
  </si>
  <si>
    <t>Nivelamento de AMV com socaria manual e levante de até 10 cm, abertura 1:8, bitola larga, dormente de madeira</t>
  </si>
  <si>
    <t>2607323</t>
  </si>
  <si>
    <t>Nivelamento de AMV com socaria manual e levante de até 10 cm, abertura 1:8, bitola métrica, dormente de madeira</t>
  </si>
  <si>
    <t>2607333</t>
  </si>
  <si>
    <t>Nivelamento de AMV com socaria manual e levante de até 10 cm, abertura 1:8, bitola mista, dormente de madeira</t>
  </si>
  <si>
    <t>2607106</t>
  </si>
  <si>
    <t>Posicionamento de jogo de dormentes de concreto para AMV 1:10, bitola larga</t>
  </si>
  <si>
    <t>jg</t>
  </si>
  <si>
    <t>2607102</t>
  </si>
  <si>
    <t>Posicionamento de jogo de dormentes de concreto para AMV 1:10, bitola métrica</t>
  </si>
  <si>
    <t>2607261</t>
  </si>
  <si>
    <t>Posicionamento de jogo de dormentes de concreto para AMV 1:10, bitola mista</t>
  </si>
  <si>
    <t>2607107</t>
  </si>
  <si>
    <t>Posicionamento de jogo de dormentes de concreto para AMV 1:12, bitola larga</t>
  </si>
  <si>
    <t>2607103</t>
  </si>
  <si>
    <t>Posicionamento de jogo de dormentes de concreto para AMV 1:12, bitola métrica</t>
  </si>
  <si>
    <t>2607262</t>
  </si>
  <si>
    <t>Posicionamento de jogo de dormentes de concreto para AMV 1:12, bitola mista</t>
  </si>
  <si>
    <t>2607108</t>
  </si>
  <si>
    <t>Posicionamento de jogo de dormentes de concreto para AMV 1:14, bitola larga</t>
  </si>
  <si>
    <t>2607104</t>
  </si>
  <si>
    <t>Posicionamento de jogo de dormentes de concreto para AMV 1:14, bitola métrica</t>
  </si>
  <si>
    <t>2607263</t>
  </si>
  <si>
    <t>Posicionamento de jogo de dormentes de concreto para AMV 1:14, bitola mista</t>
  </si>
  <si>
    <t>2607109</t>
  </si>
  <si>
    <t>Posicionamento de jogo de dormentes de concreto para AMV 1:20, bitola larga</t>
  </si>
  <si>
    <t>2607105</t>
  </si>
  <si>
    <t>Posicionamento de jogo de dormentes de concreto para AMV 1:20, bitola métrica</t>
  </si>
  <si>
    <t>2607264</t>
  </si>
  <si>
    <t>Posicionamento de jogo de dormentes de concreto para AMV 1:20, bitola mista</t>
  </si>
  <si>
    <t>2607093</t>
  </si>
  <si>
    <t>Posicionamento de jogo de dormentes de madeira para AMV 1:10, bitola larga</t>
  </si>
  <si>
    <t>2607088</t>
  </si>
  <si>
    <t>Posicionamento de jogo de dormentes de madeira para AMV 1:10, bitola métrica</t>
  </si>
  <si>
    <t>2607098</t>
  </si>
  <si>
    <t>Posicionamento de jogo de dormentes de madeira para AMV 1:10, bitola mista</t>
  </si>
  <si>
    <t>2607094</t>
  </si>
  <si>
    <t>Posicionamento de jogo de dormentes de madeira para AMV 1:12, bitola larga</t>
  </si>
  <si>
    <t>2607089</t>
  </si>
  <si>
    <t>Posicionamento de jogo de dormentes de madeira para AMV 1:12, bitola métrica</t>
  </si>
  <si>
    <t>2607099</t>
  </si>
  <si>
    <t>Posicionamento de jogo de dormentes de madeira para AMV 1:12, bitola mista</t>
  </si>
  <si>
    <t>2607095</t>
  </si>
  <si>
    <t>Posicionamento de jogo de dormentes de madeira para AMV 1:14, bitola larga</t>
  </si>
  <si>
    <t>2607090</t>
  </si>
  <si>
    <t>Posicionamento de jogo de dormentes de madeira para AMV 1:14, bitola métrica</t>
  </si>
  <si>
    <t>2607260</t>
  </si>
  <si>
    <t>Posicionamento de jogo de dormentes de madeira para AMV 1:14, bitola mista</t>
  </si>
  <si>
    <t>2607096</t>
  </si>
  <si>
    <t>Posicionamento de jogo de dormentes de madeira para AMV 1:20, bitola larga</t>
  </si>
  <si>
    <t>2607091</t>
  </si>
  <si>
    <t>Posicionamento de jogo de dormentes de madeira para AMV 1:20, bitola métrica</t>
  </si>
  <si>
    <t>2607101</t>
  </si>
  <si>
    <t>Posicionamento de jogo de dormentes de madeira para AMV 1:20, bitola mista</t>
  </si>
  <si>
    <t>2607092</t>
  </si>
  <si>
    <t>Posicionamento de jogo de dormentes de madeira para AMV 1:8, bitola larga</t>
  </si>
  <si>
    <t>2607087</t>
  </si>
  <si>
    <t>Posicionamento de jogo de dormentes de madeira para AMV 1:8, bitola métrica</t>
  </si>
  <si>
    <t>2607097</t>
  </si>
  <si>
    <t>Posicionamento de jogo de dormentes de madeira para AMV 1:8, bitola mista</t>
  </si>
  <si>
    <t>2607198</t>
  </si>
  <si>
    <t>Regularização manual do lastro do AMV para qualquer abertura e qualquer bitola</t>
  </si>
  <si>
    <t>2809170</t>
  </si>
  <si>
    <t>Demolição de AMV 1:10 TR 37, em bitola métrica, dormente de madeira, com separação e empilhamento</t>
  </si>
  <si>
    <t>2809183</t>
  </si>
  <si>
    <t>Demolição de AMV 1:10 TR 45, em bitola larga, dormente de madeira, com separação e empilhamento</t>
  </si>
  <si>
    <t>2809174</t>
  </si>
  <si>
    <t>Demolição de AMV 1:10 TR 45, em bitola métrica, dormente de madeira, com separação e empilhamento</t>
  </si>
  <si>
    <t>2809196</t>
  </si>
  <si>
    <t>Demolição de AMV 1:10 TR 45, em bitola mista, dormente de madeira, com separação e empilhamento</t>
  </si>
  <si>
    <t>2809187</t>
  </si>
  <si>
    <t>Demolição de AMV 1:10 TR 57, em bitola larga, dormente de madeira, com separação e empilhamento</t>
  </si>
  <si>
    <t>2809178</t>
  </si>
  <si>
    <t>Demolição de AMV 1:10 TR 57, em bitola métrica, dormente de madeira, com separação e empilhamento</t>
  </si>
  <si>
    <t>2809200</t>
  </si>
  <si>
    <t>Demolição de AMV 1:10 TR 57, em bitola mista, dormente de madeira, com separação e empilhamento</t>
  </si>
  <si>
    <t>2809191</t>
  </si>
  <si>
    <t>Demolição de AMV 1:10 TR 68, em bitola larga, dormente de madeira, com separação e empilhamento</t>
  </si>
  <si>
    <t>2809204</t>
  </si>
  <si>
    <t>Demolição de AMV 1:10 TR 68, em bitola mista, dormente de madeira, com separação e empilhamento</t>
  </si>
  <si>
    <t>2809171</t>
  </si>
  <si>
    <t>Demolição de AMV 1:12 TR 37, em bitola métrica, dormente de madeira, com separação e empilhamento</t>
  </si>
  <si>
    <t>2809184</t>
  </si>
  <si>
    <t>Demolição de AMV 1:12 TR 45, em bitola larga, dormente de madeira, com separação e empilhamento</t>
  </si>
  <si>
    <t>2809175</t>
  </si>
  <si>
    <t>Demolição de AMV 1:12 TR 45, em bitola métrica, dormente de madeira, com separação e empilhamento</t>
  </si>
  <si>
    <t>2809197</t>
  </si>
  <si>
    <t>Demolição de AMV 1:12 TR 45, em bitola mista, dormente de madeira, com separação e empilhamento</t>
  </si>
  <si>
    <t>2809188</t>
  </si>
  <si>
    <t>Demolição de AMV 1:12 TR 57, em bitola larga, dormente de madeira, com separação e empilhamento</t>
  </si>
  <si>
    <t>2809179</t>
  </si>
  <si>
    <t>Demolição de AMV 1:12 TR 57, em bitola métrica, dormente de madeira, com separação e empilhamento</t>
  </si>
  <si>
    <t>2809201</t>
  </si>
  <si>
    <t>Demolição de AMV 1:12 TR 57, em bitola mista, dormente de madeira, com separação e empilhamento</t>
  </si>
  <si>
    <t>2809192</t>
  </si>
  <si>
    <t>Demolição de AMV 1:12 TR 68, em bitola larga, dormente de madeira, com separação e empilhamento</t>
  </si>
  <si>
    <t>2809205</t>
  </si>
  <si>
    <t>Demolição de AMV 1:12 TR 68, em bitola mista, dormente de madeira, com separação e empilhamento</t>
  </si>
  <si>
    <t>2809172</t>
  </si>
  <si>
    <t>Demolição de AMV 1:14 TR 37, em bitola métrica, dormente de madeira, com separação e empilhamento</t>
  </si>
  <si>
    <t>2809185</t>
  </si>
  <si>
    <t>Demolição de AMV 1:14 TR 45, em bitola larga, dormente de madeira, com separação e empilhamento</t>
  </si>
  <si>
    <t>2809176</t>
  </si>
  <si>
    <t>Demolição de AMV 1:14 TR 45, em bitola métrica, dormente de madeira, com separação e empilhamento</t>
  </si>
  <si>
    <t>2809198</t>
  </si>
  <si>
    <t>Demolição de AMV 1:14 TR 45, em bitola mista, dormente de madeira, com separação e empilhamento</t>
  </si>
  <si>
    <t>2809189</t>
  </si>
  <si>
    <t>Demolição de AMV 1:14 TR 57, em bitola larga, dormente de madeira, com separação e empilhamento</t>
  </si>
  <si>
    <t>2809180</t>
  </si>
  <si>
    <t>Demolição de AMV 1:14 TR 57, em bitola métrica, dormente de madeira, com separação e empilhamento</t>
  </si>
  <si>
    <t>2809202</t>
  </si>
  <si>
    <t>Demolição de AMV 1:14 TR 57, em bitola mista, dormente de madeira, com separação e empilhamento</t>
  </si>
  <si>
    <t>2809193</t>
  </si>
  <si>
    <t>Demolição de AMV 1:14 TR 68, em bitola larga, dormente de madeira, com separação e empilhamento</t>
  </si>
  <si>
    <t>2809206</t>
  </si>
  <si>
    <t>Demolição de AMV 1:14 TR 68, em bitola mista, dormente de madeira, com separação e empilhamento</t>
  </si>
  <si>
    <t>2809190</t>
  </si>
  <si>
    <t>Demolição de AMV 1:20 TR 57, em bitola larga, dormente de madeira, com separação e empilhamento</t>
  </si>
  <si>
    <t>2809181</t>
  </si>
  <si>
    <t>Demolição de AMV 1:20 TR 57, em bitola métrica, dormente de madeira, com separação e empilhamento</t>
  </si>
  <si>
    <t>2809203</t>
  </si>
  <si>
    <t>Demolição de AMV 1:20 TR 57, em bitola mista, dormente de madeira, com separação e empilhamento</t>
  </si>
  <si>
    <t>2809194</t>
  </si>
  <si>
    <t>Demolição de AMV 1:20 TR 68, em bitola larga, dormente de madeira, com separação e empilhamento</t>
  </si>
  <si>
    <t>2809207</t>
  </si>
  <si>
    <t>Demolição de AMV 1:20 TR 68, em bitola mista, dormente de madeira, com separação e empilhamento</t>
  </si>
  <si>
    <t>2809169</t>
  </si>
  <si>
    <t>Demolição de AMV 1:8 TR 37, em bitola métrica, dormente de madeira, com separação e empilhamento</t>
  </si>
  <si>
    <t>2809182</t>
  </si>
  <si>
    <t>Demolição de AMV 1:8 TR 45, em bitola larga, dormente de madeira, com separação e empilhamento</t>
  </si>
  <si>
    <t>2809173</t>
  </si>
  <si>
    <t>Demolição de AMV 1:8 TR 45, em bitola métrica, dormente de madeira, com separação e empilhamento</t>
  </si>
  <si>
    <t>2809195</t>
  </si>
  <si>
    <t>Demolição de AMV 1:8 TR 45, em bitola mista, dormente de madeira, com separação e empilhamento</t>
  </si>
  <si>
    <t>2809186</t>
  </si>
  <si>
    <t>Demolição de AMV 1:8 TR 57, em bitola larga, dormente de madeira, com separação e empilhamento</t>
  </si>
  <si>
    <t>2809177</t>
  </si>
  <si>
    <t>Demolição de AMV 1:8 TR 57, em bitola métrica, dormente de madeira, com separação e empilhamento</t>
  </si>
  <si>
    <t>2809199</t>
  </si>
  <si>
    <t>Demolição de AMV 1:8 TR 57, em bitola mista, dormente de madeira, com separação e empilhamento</t>
  </si>
  <si>
    <t>2809219</t>
  </si>
  <si>
    <t>Demolição de via, bitola larga, 1.667 dormentes de madeira/km, trilho TR 45, barra com 12 m de comprimento, com separação e empilhamento</t>
  </si>
  <si>
    <t>2809220</t>
  </si>
  <si>
    <t>Demolição de via, bitola larga, 1.667 dormentes de madeira/km, trilho TR 57, barra com 12 m de comprimento, com separação e empilhamento</t>
  </si>
  <si>
    <t>2809221</t>
  </si>
  <si>
    <t>Demolição de via, bitola larga, 1.667 dormentes de madeira/km, trilho TR 68, barra com 12 m de comprimento, com separação e empilhamento</t>
  </si>
  <si>
    <t>2809163</t>
  </si>
  <si>
    <t>Demolição de via, bitola larga, 1.750 dormentes de madeira/km, trilho TR 45, barra com 12 m de comprimento, com separação e empilhamento</t>
  </si>
  <si>
    <t>2809164</t>
  </si>
  <si>
    <t>Demolição de via, bitola larga, 1.750 dormentes de madeira/km, trilho TR 57, barra com 12 m de comprimento, com separação e empilhamento</t>
  </si>
  <si>
    <t>2809165</t>
  </si>
  <si>
    <t>Demolição de via, bitola larga, 1.750 dormentes de madeira/km, trilho TR 68, barra com 12 m de comprimento, com separação e empilhamento</t>
  </si>
  <si>
    <t>2809216</t>
  </si>
  <si>
    <t>Demolição de via, bitola métrica, 1.667 dormentes de madeira/km, trilho TR 37, barra com 12 m de comprimento, com separação e empilhamento</t>
  </si>
  <si>
    <t>2809217</t>
  </si>
  <si>
    <t>Demolição de via, bitola métrica, 1.667 dormentes de madeira/km, trilho TR 45, barra com 12 m de comprimento, com separação e empilhamento</t>
  </si>
  <si>
    <t>2809218</t>
  </si>
  <si>
    <t>Demolição de via, bitola métrica, 1.667 dormentes de madeira/km, trilho TR 57, barra com 12 m de comprimento, com separação e empilhamento</t>
  </si>
  <si>
    <t>2809160</t>
  </si>
  <si>
    <t>Demolição de via, bitola métrica, 1.750 dormentes de madeira/km, trilho TR 37, barra com 12 m de comprimento, com separação e empilhamento</t>
  </si>
  <si>
    <t>2809161</t>
  </si>
  <si>
    <t>Demolição de via, bitola métrica, 1.750 dormentes de madeira/km, trilho TR 45, barra com 12 m de comprimento, com separação e empilhamento</t>
  </si>
  <si>
    <t>2809162</t>
  </si>
  <si>
    <t>Demolição de via, bitola métrica, 1.750 dormentes de madeira/km, trilho TR 57, barra com 12 m de comprimento, com separação e empilhamento</t>
  </si>
  <si>
    <t>2809222</t>
  </si>
  <si>
    <t>Demolição de via, bitola mista, 1.667 dormentes de madeira/km, trilho TR 45, barra com 12 m de comprimento, com separação e empilhamento</t>
  </si>
  <si>
    <t>2809223</t>
  </si>
  <si>
    <t>Demolição de via, bitola mista, 1.667 dormentes de madeira/km, trilho TR 57, barra com 12 m de comprimento, com separação e empilhamento</t>
  </si>
  <si>
    <t>2809224</t>
  </si>
  <si>
    <t>Demolição de via, bitola mista, 1.667 dormentes de madeira/km, trilho TR 68, barra com 12 m de comprimento, com separação e empilhamento</t>
  </si>
  <si>
    <t>2809166</t>
  </si>
  <si>
    <t>Demolição de via, bitola mista, 1.750 dormentes de madeira/km, trilho TR 45, barra com 12 m de comprimento, com separação e empilhamento</t>
  </si>
  <si>
    <t>2809167</t>
  </si>
  <si>
    <t>Demolição de via, bitola mista, 1.750 dormentes de madeira/km, trilho TR 57, barra com 12 m de comprimento, com separação e empilhamento</t>
  </si>
  <si>
    <t>2809168</t>
  </si>
  <si>
    <t>Demolição de via, bitola mista, 1.750 dormentes de madeira/km, trilho TR 68, barra com 12 m de comprimento, com separação e empilhamento</t>
  </si>
  <si>
    <t>2809158</t>
  </si>
  <si>
    <t>Retirada manual de dormente de madeira, bitola larga ou mista, com separação e empilhamento</t>
  </si>
  <si>
    <t>2809159</t>
  </si>
  <si>
    <t>Retirada manual de dormente de madeira, bitola métrica, com separação e empilhamento</t>
  </si>
  <si>
    <t>2909152</t>
  </si>
  <si>
    <t>Aferição da geometria da via com carro controle</t>
  </si>
  <si>
    <t>2909153</t>
  </si>
  <si>
    <t>Capina química da plataforma ferroviária</t>
  </si>
  <si>
    <t>2909151</t>
  </si>
  <si>
    <t>Estabilização dinâmica da via</t>
  </si>
  <si>
    <t>2909145</t>
  </si>
  <si>
    <t>Nivelamento de junta com socaria manual da via</t>
  </si>
  <si>
    <t>2909379</t>
  </si>
  <si>
    <t>Nivelamento de via com grupo gerador/vibrador e levante de até 10 cm - bitola métrica ou larga com dormente de madeira ou concreto e taxa de dormentação de 1.667 un/km</t>
  </si>
  <si>
    <t>2909381</t>
  </si>
  <si>
    <t>Nivelamento de via com grupo gerador/vibrador e levante de até 10 cm - bitola métrica ou larga com dormente de madeira ou concreto e taxa de dormentação de 1.750 un/km</t>
  </si>
  <si>
    <t>2909388</t>
  </si>
  <si>
    <t>Nivelamento de via com grupo gerador/vibrador e levante de até 10 cm - bitola métrica ou larga com dormente de madeira ou concreto e taxa de dormentação de 1.850 un/km</t>
  </si>
  <si>
    <t>2909380</t>
  </si>
  <si>
    <t>Nivelamento de via com grupo gerador/vibrador e levante de até 10 cm - bitola mista com dormente de madeira ou concreto e taxa de dormentação de 1.667 un/km</t>
  </si>
  <si>
    <t>2909382</t>
  </si>
  <si>
    <t>Nivelamento de via com grupo gerador/vibrador e levante de até 10 cm - bitola mista com dormente de madeira ou concreto e taxa de dormentação de 1.750 un/km</t>
  </si>
  <si>
    <t>2909387</t>
  </si>
  <si>
    <t>Nivelamento de via com grupo gerador/vibrador e levante de até 10 cm - bitola mista com dormente de madeira ou concreto e taxa de dormentação de 1.850 un/km</t>
  </si>
  <si>
    <t>2909375</t>
  </si>
  <si>
    <t>Nivelamento de via com socaria manual e levante de até 10 cm - bitola métrica ou larga com dormente de madeira ou concreto e taxa de dormentação de 1.667 un/km</t>
  </si>
  <si>
    <t>2909377</t>
  </si>
  <si>
    <t>Nivelamento de via com socaria manual e levante de até 10 cm - bitola métrica ou larga com dormente de madeira ou concreto e taxa de dormentação de 1.750 un/km</t>
  </si>
  <si>
    <t>2909386</t>
  </si>
  <si>
    <t>Nivelamento de via com socaria manual e levante de até 10 cm - bitola métrica ou larga com dormente de madeira ou concreto e taxa de dormentação de 1.850 un/km</t>
  </si>
  <si>
    <t>2909376</t>
  </si>
  <si>
    <t>Nivelamento de via com socaria manual e levante de até 10 cm - bitola mista com dormente de madeira ou concreto e taxa de dormentação de 1.667 un/km</t>
  </si>
  <si>
    <t>2909378</t>
  </si>
  <si>
    <t>Nivelamento de via com socaria manual e levante de até 10 cm - bitola mista com dormente de madeira ou concreto e taxa de dormentação de 1.750 un/km</t>
  </si>
  <si>
    <t>2909385</t>
  </si>
  <si>
    <t>Nivelamento de via com socaria manual e levante de até 10 cm - bitola mista com dormente de madeira ou concreto e taxa de dormentação de 1.850 un/km</t>
  </si>
  <si>
    <t>2909383</t>
  </si>
  <si>
    <t>Nivelamento e alinhamento de via com socadora automática e levante de até 10 cm - qualquer bitola ou dormente e taxa de dormentação de 1.667 un/km</t>
  </si>
  <si>
    <t>2909384</t>
  </si>
  <si>
    <t>Nivelamento e alinhamento de via com socadora automática e levante de até 10 cm - qualquer bitola ou dormente e taxa de dormentação de 1.750 un/km</t>
  </si>
  <si>
    <t>2909148</t>
  </si>
  <si>
    <t>Regularização do lastro com reguladora de lastro</t>
  </si>
  <si>
    <t>2909389</t>
  </si>
  <si>
    <t>Regularização manual do lastro em via corrida, bitola larga, com qualquer tipo de dormente</t>
  </si>
  <si>
    <t>2909390</t>
  </si>
  <si>
    <t>Regularização manual do lastro em via corrida, bitola métrica, com qualquer tipo de dormente</t>
  </si>
  <si>
    <t>2909391</t>
  </si>
  <si>
    <t>Regularização manual do lastro em via corrida, bitola mista, com qualquer tipo de dormente</t>
  </si>
  <si>
    <t>3009336</t>
  </si>
  <si>
    <t>Alívio de tensão, com martelo de bronze, em TLS com 120 de comprimento de TR45, taxa de dormentação de 1.667 un/km, para qualquer bitola e fixação elástica</t>
  </si>
  <si>
    <t>3009337</t>
  </si>
  <si>
    <t>Alívio de tensão, com martelo de bronze, em TLS com 120 de comprimento de TR45, taxa de dormentação de 1.750 un/km, para qualquer bitola e fixação elástica</t>
  </si>
  <si>
    <t>3009340</t>
  </si>
  <si>
    <t>Alívio de tensão, com martelo de bronze, em TLS com 120 de comprimento de TR57, taxa de dormentação de 1.667 un/km, para qualquer bitola e fixação elástica</t>
  </si>
  <si>
    <t>3009341</t>
  </si>
  <si>
    <t>Alívio de tensão, com martelo de bronze, em TLS com 120 de comprimento de TR57, taxa de dormentação de 1.750 un/km, para qualquer bitola e fixação elástica</t>
  </si>
  <si>
    <t>3009344</t>
  </si>
  <si>
    <t>Alívio de tensão, com martelo de bronze, em TLS com 120 de comprimento de TR68, taxa de dormentação de 1.667 un/km, para qualquer bitola e fixação elástica</t>
  </si>
  <si>
    <t>3009345</t>
  </si>
  <si>
    <t>Alívio de tensão, com martelo de bronze, em TLS com 120 de comprimento de TR68, taxa de dormentação de 1.750 un/km, para qualquer bitola e fixação elástica</t>
  </si>
  <si>
    <t>3009348</t>
  </si>
  <si>
    <t>Alívio de tensão, com martelo de bronze, em TLS com 120 de comprimento de UIC60, taxa de dormentação de 1.667 un/km, para qualquer bitola e fixação elástica</t>
  </si>
  <si>
    <t>3009349</t>
  </si>
  <si>
    <t>Alívio de tensão, com martelo de bronze, em TLS com 120 de comprimento de UIC60, taxa de dormentação de 1.750 un/km, para qualquer bitola e fixação elástica</t>
  </si>
  <si>
    <t>3009338</t>
  </si>
  <si>
    <t>Alívio de tensão, com martelo de bronze, em TLS com 240 de comprimento de TR45, taxa de dormentação de 1.667 un/km, para qualquer bitola e fixação elástica</t>
  </si>
  <si>
    <t>3009339</t>
  </si>
  <si>
    <t>Alívio de tensão, com martelo de bronze, em TLS com 240 de comprimento de TR45, taxa de dormentação de 1.750 un/km, para qualquer bitola e fixação elástica</t>
  </si>
  <si>
    <t>3009342</t>
  </si>
  <si>
    <t>Alívio de tensão, com martelo de bronze, em TLS com 240 de comprimento de TR57, taxa de dormentação de 1.667 un/km, para qualquer bitola e fixação elástica</t>
  </si>
  <si>
    <t>3009343</t>
  </si>
  <si>
    <t>Alívio de tensão, com martelo de bronze, em TLS com 240 de comprimento de TR57, taxa de dormentação de 1.750 un/km, para qualquer bitola e fixação elástica</t>
  </si>
  <si>
    <t>3009346</t>
  </si>
  <si>
    <t>Alívio de tensão, com martelo de bronze, em TLS com 240 de comprimento de TR68, taxa de dormentação de 1.667 un/km, para qualquer bitola e fixação elástica</t>
  </si>
  <si>
    <t>3009347</t>
  </si>
  <si>
    <t>Alívio de tensão, com martelo de bronze, em TLS com 240 de comprimento de TR68, taxa de dormentação de 1.750 un/km, para qualquer bitola e fixação elástica</t>
  </si>
  <si>
    <t>3009350</t>
  </si>
  <si>
    <t>Alívio de tensão, com martelo de bronze, em TLS com 240 de comprimento de UIC60, taxa de dormentação de 1.667 un/km, para qualquer bitola e fixação elástica</t>
  </si>
  <si>
    <t>3009351</t>
  </si>
  <si>
    <t>Alívio de tensão, com martelo de bronze, em TLS com 240 de comprimento de UIC60, taxa de dormentação de 1.750 un/km, para qualquer bitola e fixação elástica</t>
  </si>
  <si>
    <t>3009080</t>
  </si>
  <si>
    <t>Colocação manual de grampo elástico Pandrol</t>
  </si>
  <si>
    <t>3009075</t>
  </si>
  <si>
    <t>Colocação manual de retensor para trilho TR45</t>
  </si>
  <si>
    <t>3009076</t>
  </si>
  <si>
    <t>Colocação manual de retensor para trilho TR57</t>
  </si>
  <si>
    <t>3009077</t>
  </si>
  <si>
    <t>Colocação manual de retensor para trilho TR68</t>
  </si>
  <si>
    <t>3009078</t>
  </si>
  <si>
    <t>Colocação manual de retensor para trilho UIC60</t>
  </si>
  <si>
    <t>3009087</t>
  </si>
  <si>
    <t>Colocação mecanizada de grampo elástico Pandrol</t>
  </si>
  <si>
    <t>3009085</t>
  </si>
  <si>
    <t>Contratrilho TR45, comprimento de 12 m, sobre dormente de madeira, taxa de dormentação de 1.750 un/km, tala de junção de 6 furos e fixação rígida - posicionamento e assentamento manual</t>
  </si>
  <si>
    <t>3009086</t>
  </si>
  <si>
    <t>Contratrilho TR57, comprimento de 12 m, sobre dormente de madeira, taxa de dormentação de 1.750 un/km, tala de junção de 6 furos e fixação rígida - posicionamento e assentamento manual</t>
  </si>
  <si>
    <t>3009089</t>
  </si>
  <si>
    <t>Contratrilho TR68, comprimento de 12 m, sobre dormente de madeira, taxa de dormentação de 1.750 un/km, tala de junção de 6 furos e fixação rígida - posicionamento e assentamento manual</t>
  </si>
  <si>
    <t>3009090</t>
  </si>
  <si>
    <t>Contratrilho UIC60, comprimento de 12 m, sobre dormente de madeira, taxa de dormentação de 1.750 un/km, tala de junção de 6 furos e fixação rígida - posicionamento e assentamento manual</t>
  </si>
  <si>
    <t>3009004</t>
  </si>
  <si>
    <t>Dormente de concreto monobloco protendido bitola larga - confecção</t>
  </si>
  <si>
    <t>3009002</t>
  </si>
  <si>
    <t>Dormente de concreto monobloco protendido bitola métrica - confecção</t>
  </si>
  <si>
    <t>3009006</t>
  </si>
  <si>
    <t>Dormente de concreto monobloco protendido bitola mista - confecção</t>
  </si>
  <si>
    <t>3009335</t>
  </si>
  <si>
    <t>Dormente de concreto monobloco protendido para AMV bitola larga ou mista - confecção</t>
  </si>
  <si>
    <t>3009334</t>
  </si>
  <si>
    <t>Dormente de concreto monobloco protendido para AMV bitola métrica - confecção</t>
  </si>
  <si>
    <t>3009280</t>
  </si>
  <si>
    <t>Dormente de concreto monobloco, bitola larga, taxa de dormentação de 1.667 un/km, fixação elástica Pandrol - posicionamento mecanizado com carregadeira</t>
  </si>
  <si>
    <t>3009281</t>
  </si>
  <si>
    <t>Dormente de concreto monobloco, bitola larga, taxa de dormentação de 1.667 un/km, fixação elástica Pandrol - posicionamento mecanizado com pórtico</t>
  </si>
  <si>
    <t>3009061</t>
  </si>
  <si>
    <t>Dormente de concreto monobloco, bitola larga, taxa de dormentação de 1.750 un/km, fixação elástica Pandrol - posicionamento mecanizado com carregadeira</t>
  </si>
  <si>
    <t>3009062</t>
  </si>
  <si>
    <t>Dormente de concreto monobloco, bitola larga, taxa de dormentação de 1.750 un/km, fixação elástica Pandrol - posicionamento mecanizado com pórtico</t>
  </si>
  <si>
    <t>3009278</t>
  </si>
  <si>
    <t>Dormente de concreto monobloco, bitola métrica, taxa de dormentação de 1.667 un/km, fixação elástica Pandrol - posicionamento mecanizado com carregadeira</t>
  </si>
  <si>
    <t>3009279</t>
  </si>
  <si>
    <t>Dormente de concreto monobloco, bitola métrica, taxa de dormentação de 1.667 un/km, fixação elástica Pandrol - posicionamento mecanizado com pórtico</t>
  </si>
  <si>
    <t>3009059</t>
  </si>
  <si>
    <t>Dormente de concreto monobloco, bitola métrica, taxa de dormentação de 1.750 un/km, fixação elástica Pandrol - posicionamento mecanizado com carregadeira</t>
  </si>
  <si>
    <t>3009060</t>
  </si>
  <si>
    <t>Dormente de concreto monobloco, bitola métrica, taxa de dormentação de 1.750 un/km, fixação elástica Pandrol - posicionamento mecanizado com pórtico</t>
  </si>
  <si>
    <t>3009282</t>
  </si>
  <si>
    <t>Dormente de concreto monobloco, bitola mista, taxa de dormentação de 1.667 un/km, fixação elástica Pandrol - posicionamento mecanizado com carregadeira</t>
  </si>
  <si>
    <t>3009283</t>
  </si>
  <si>
    <t>Dormente de concreto monobloco, bitola mista, taxa de dormentação de 1.667 un/km, fixação elástica Pandrol - posicionamento mecanizado com pórtico</t>
  </si>
  <si>
    <t>3009063</t>
  </si>
  <si>
    <t>Dormente de concreto monobloco, bitola mista, taxa de dormentação de 1.750 un/km, fixação elástica Pandrol - posicionamento mecanizado com carregadeira</t>
  </si>
  <si>
    <t>3009064</t>
  </si>
  <si>
    <t>Dormente de concreto monobloco, bitola mista, taxa de dormentação de 1.750 un/km, fixação elástica Pandrol - posicionamento mecanizado com pórtico</t>
  </si>
  <si>
    <t>3009081</t>
  </si>
  <si>
    <t>Dormente de madeira para ponte, bitola métrica ou larga, para TR45, fixação rígida - posicionamento e assentamento mecanizado</t>
  </si>
  <si>
    <t>3009082</t>
  </si>
  <si>
    <t>Dormente de madeira para ponte, bitola métrica ou larga, para TR57, fixação rígida - posicionamento e assentamento mecanizado</t>
  </si>
  <si>
    <t>3009083</t>
  </si>
  <si>
    <t>Dormente de madeira para ponte, bitola métrica ou larga, para TR68, fixação rígida - posicionamento e assentamento mecanizado</t>
  </si>
  <si>
    <t>3009084</t>
  </si>
  <si>
    <t>Dormente de madeira para ponte, bitola métrica ou larga, para UIC60, fixação rígida - posicionamento e assentamento mecanizado</t>
  </si>
  <si>
    <t>3009070</t>
  </si>
  <si>
    <t>Dormente de madeira, bitola larga ou mista - posicionamento manual</t>
  </si>
  <si>
    <t>3009285</t>
  </si>
  <si>
    <t>Dormente de madeira, bitola larga ou mista, taxa de dormentação de 1.667 un/km - posicionamento mecanizado com carregadeira</t>
  </si>
  <si>
    <t>3009072</t>
  </si>
  <si>
    <t>Dormente de madeira, bitola larga ou mista, taxa de dormentação de 1.750 un/km - posicionamento mecanizado com carregadeira</t>
  </si>
  <si>
    <t>3009069</t>
  </si>
  <si>
    <t>Dormente de madeira, bitola métrica - posicionamento manual</t>
  </si>
  <si>
    <t>3009284</t>
  </si>
  <si>
    <t>Dormente de madeira, bitola métrica, taxa de dormentação de 1.667 un/km - posicionamento mecanizado com carregadeira</t>
  </si>
  <si>
    <t>3009071</t>
  </si>
  <si>
    <t>Dormente de madeira, bitola métrica, taxa de dormentação de 1.750 un/km - posicionamento mecanizado com carregadeira</t>
  </si>
  <si>
    <t>3009091</t>
  </si>
  <si>
    <t>Lançamento de lastro, 10 cm de altura, primeiro levante, descarga de pedra britada de caminhões</t>
  </si>
  <si>
    <t>3009058</t>
  </si>
  <si>
    <t>Lubrificador de trilhos e de flanges de rodas</t>
  </si>
  <si>
    <t>3009229</t>
  </si>
  <si>
    <t>Posicionamento mecanizado de trilhos</t>
  </si>
  <si>
    <t>3009132</t>
  </si>
  <si>
    <t>Pré-alinhamento manual da grade com dormente de madeira</t>
  </si>
  <si>
    <t>3009133</t>
  </si>
  <si>
    <t>Pré-alinhamento mecanizado da grade</t>
  </si>
  <si>
    <t>3009321</t>
  </si>
  <si>
    <t>Solda aluminotérmica para TR45 com cadinho descartável, executada no campo, para formação de trilho longo soldado (TLS)</t>
  </si>
  <si>
    <t>3009322</t>
  </si>
  <si>
    <t>Solda aluminotérmica para TR57 com cadinho descartável, executada no campo, para formação de trilho longo soldado (TLS)</t>
  </si>
  <si>
    <t>3009323</t>
  </si>
  <si>
    <t>Solda aluminotérmica para TR68 com cadinho descartável, executada no campo, para formação de trilho longo soldado (TLS)</t>
  </si>
  <si>
    <t>3009324</t>
  </si>
  <si>
    <t>Solda aluminotérmica para UIC60 com cadinho descartável, executada no campo, para formação de trilho longo soldado (TLS)</t>
  </si>
  <si>
    <t>3009096</t>
  </si>
  <si>
    <t>Solda elétrica por caldeamento para qualquer perfil de trilho, comprimento de 12 m, em estaleiro para formação de trilho longo soldado</t>
  </si>
  <si>
    <t>3009330</t>
  </si>
  <si>
    <t>Solda elétrica por caldeamento para trilho TR45, comprimento de até 24 m, em via com dormente de concreto para formação de barra ou trilho longo soldado</t>
  </si>
  <si>
    <t>3009326</t>
  </si>
  <si>
    <t>Solda elétrica por caldeamento para trilho TR45, comprimento de até 24 m, em via com dormente de madeira para formação de barra ou trilho longo soldado</t>
  </si>
  <si>
    <t>3009234</t>
  </si>
  <si>
    <t>Trilho TR45, comprimento de 12 m, sobre dormente de concreto, bitola métrica ou larga, taxa de dormentação de 1.667 un/km, tala de junção de 6 furos e fixação elástica Pandrol - posicionamento e assentamento manual</t>
  </si>
  <si>
    <t>3009022</t>
  </si>
  <si>
    <t>Trilho TR45, comprimento de 12 m, sobre dormente de concreto, bitola métrica ou larga, taxa de dormentação de 1.750 un/km, tala de junção de 6 furos e fixação elástica Pandrol - posicionamento e assentamento manual</t>
  </si>
  <si>
    <t>3009230</t>
  </si>
  <si>
    <t>Trilho TR45, comprimento de 12 m, sobre dormente de concreto, bitola mista, taxa de dormentação de 1.667 un/km, tala de junção de 6 furos e fixação elástica Pandrol - posicionamento e assentamento manual</t>
  </si>
  <si>
    <t>3009018</t>
  </si>
  <si>
    <t>Trilho TR45, comprimento de 12 m, sobre dormente de concreto, bitola mista, taxa de dormentação de 1.750 un/km, tala de junção de 6 furos e fixação elástica Pandrol - posicionamento e assentamento manual</t>
  </si>
  <si>
    <t>3009288</t>
  </si>
  <si>
    <t>Trilho TR45, comprimento de 12 m, sobre dormente de madeira, bitola métrica ou larga, taxa de dormentação de 1.667 un/km, tala de junção de 6 furos e fixação rígida - posicionamento e assentamento manual</t>
  </si>
  <si>
    <t>3009013</t>
  </si>
  <si>
    <t>Trilho TR45, comprimento de 12 m, sobre dormente de madeira, bitola métrica ou larga, taxa de dormentação de 1.750 un/km, tala de junção de 6 furos e fixação rígida - posicionamento e assentamento manual</t>
  </si>
  <si>
    <t>3009292</t>
  </si>
  <si>
    <t>Trilho TR45, comprimento de 12 m, sobre dormente de madeira, bitola mista, taxa de dormentação de 1.667 un/km, tala de junção de 6 furos e fixação rígida - posicionamento e assentamento manual</t>
  </si>
  <si>
    <t>3009225</t>
  </si>
  <si>
    <t>Trilho TR45, comprimento de 12 m, sobre dormente de madeira, bitola mista, taxa de dormentação de 1.750 un/km, tala de junção de 6 furos e fixação rígida - posicionamento e assentamento manual</t>
  </si>
  <si>
    <t>3009100</t>
  </si>
  <si>
    <t>Trilho TR45, comprimento de 120 m (TLS), formado por trilhos curtos de 12 m soldados por caldeamento - confecção em estaleiro</t>
  </si>
  <si>
    <t>3009238</t>
  </si>
  <si>
    <t>Trilho TR45, comprimento de 120 m (TLS), sobre dormente de concreto, bitola métrica ou larga, taxa de dormentação de 1.667 un/km, tala de junção de 6 furos e fixação elástica Pandrol - posicionamento e assentamento mecanizado</t>
  </si>
  <si>
    <t>3009304</t>
  </si>
  <si>
    <t>Trilho TR45, comprimento de 120 m (TLS), sobre dormente de concreto, bitola mista, taxa de dormentação de 1.667 un/km, tala de junção de 6 furos e fixação elástica Pandrol - posicionamento e assentamento mecanizado</t>
  </si>
  <si>
    <t>3009030</t>
  </si>
  <si>
    <t>Trilho TR45, comprimento de 120 m (TLS), sobre dormente de concreto, bitola mista, taxa de dormentação de 1.750 un/km, tala de junção de 6 furos e fixação elástica Pandrol - posicionamento e assentamento mecanizado</t>
  </si>
  <si>
    <t>3009254</t>
  </si>
  <si>
    <t>Trilho TR45, comprimento de 120 m (TLS), sobre dormente de madeira, bitola métrica ou larga, taxa de dormentação de 1.667 un/km, tala de junção de 6 furos e fixação elástica Pandrol - posicionamento e assentamento mecanizado</t>
  </si>
  <si>
    <t>3009262</t>
  </si>
  <si>
    <t>Trilho TR45, comprimento de 120 m (TLS), sobre dormente de madeira, bitola métrica ou larga, taxa de dormentação de 1.667 un/km, tala de junção de 6 furos e fixação rígida - posicionamento e assentamento mecanizado</t>
  </si>
  <si>
    <t>3009034</t>
  </si>
  <si>
    <t>Trilho TR45, comprimento de 120 m (TLS), sobre dormente de madeira, bitola métrica ou larga, taxa de dormentação de 1.750 un/km, tala de junção de 6 furos e fixação elástica Pandrol - posicionamento e assentamento mecanizado</t>
  </si>
  <si>
    <t>3009042</t>
  </si>
  <si>
    <t>Trilho TR45, comprimento de 120 m (TLS), sobre dormente de madeira, bitola métrica ou larga, taxa de dormentação de 1.750 un/km, tala de junção de 6 furos e fixação rígida - posicionamento e assentamento mecanizado</t>
  </si>
  <si>
    <t>3009270</t>
  </si>
  <si>
    <t>Trilho TR45, comprimento de 120 m (TLS), sobre dormente de madeira, bitola mista, taxa de dormentação de 1.667 un/km, tala de junção de 6 furos e fixação elástica Pandrol - posicionamento e assentamento mecanizado</t>
  </si>
  <si>
    <t>3009050</t>
  </si>
  <si>
    <t>Trilho TR45, comprimento de 120 m (TLS), sobre dormente de madeira, bitola mista, taxa de dormentação de 1.750 un/km, tala de junção de 6 furos e fixação elástica Pandrol - posicionamento e assentamento mecanizado</t>
  </si>
  <si>
    <t>3009101</t>
  </si>
  <si>
    <t>Trilho TR45, comprimento de 240 m (TLS), formado por trilhos curtos de 12 m soldados por caldeamento - confecção em estaleiro</t>
  </si>
  <si>
    <t>3009246</t>
  </si>
  <si>
    <t>Trilho TR45, comprimento de 240 m (TLS), sobre dormente de concreto, bitola métrica ou larga, taxa de dormentação de 1.667 un/km, tala de junção de 6 furos e fixação elástica Pandrol - posicionamento e assentamento mecanizado</t>
  </si>
  <si>
    <t>3009208</t>
  </si>
  <si>
    <t>Trilho TR45, comprimento de 240 m (TLS), sobre dormente de concreto, bitola métrica ou larga, taxa de dormentação de 1.750 un/km, tala de junção de 6 furos e fixação elástica Pandrol - posicionamento e assentamento mecanizado</t>
  </si>
  <si>
    <t>3009308</t>
  </si>
  <si>
    <t>Trilho TR45, comprimento de 240 m (TLS), sobre dormente de concreto, bitola mista, taxa de dormentação de 1.667 un/km, tala de junção de 6 furos e fixação elástica Pandrol - posicionamento e assentamento mecanizado</t>
  </si>
  <si>
    <t>3009212</t>
  </si>
  <si>
    <t>Trilho TR45, comprimento de 240 m (TLS), sobre dormente de concreto, bitola mista, taxa de dormentação de 1.750 un/km, tala de junção de 6 furos e fixação elástica Pandrol - posicionamento e assentamento mecanizado</t>
  </si>
  <si>
    <t>3009258</t>
  </si>
  <si>
    <t>Trilho TR45, comprimento de 240 m (TLS), sobre dormente de madeira, bitola métrica ou larga, taxa de dormentação de 1.667 un/km, tala de junção de 6 furos e fixação elástica Pandrol - posicionamento e assentamento mecanizado</t>
  </si>
  <si>
    <t>3009266</t>
  </si>
  <si>
    <t>Trilho TR45, comprimento de 240 m (TLS), sobre dormente de madeira, bitola métrica ou larga, taxa de dormentação de 1.667 un/km, tala de junção de 6 furos e fixação rígida - posicionamento e assentamento mecanizado</t>
  </si>
  <si>
    <t>3009038</t>
  </si>
  <si>
    <t>Trilho TR45, comprimento de 240 m (TLS), sobre dormente de madeira, bitola métrica ou larga, taxa de dormentação de 1.750 un/km, tala de junção de 6 furos e fixação elástica Pandrol - posicionamento e assentamento mecanizado</t>
  </si>
  <si>
    <t>3009046</t>
  </si>
  <si>
    <t>Trilho TR45, comprimento de 240 m (TLS), sobre dormente de madeira, bitola métrica ou larga, taxa de dormentação de 1.750 un/km, tala de junção de 6 furos e fixação rígida - posicionamento e assentamento mecanizado</t>
  </si>
  <si>
    <t>3009274</t>
  </si>
  <si>
    <t>Trilho TR45, comprimento de 240 m (TLS), sobre dormente de madeira, bitola mista, taxa de dormentação de 1.667 un/km, tala de junção de 6 furos e fixação elástica Pandrol - posicionamento e assentamento mecanizado</t>
  </si>
  <si>
    <t>3009054</t>
  </si>
  <si>
    <t>Trilho TR45, comprimento de 240 m (TLS), sobre dormente de madeira, bitola mista, taxa de dormentação de 1.750 un/km, tala de junção de 6 furos e fixação elástica Pandrol - posicionamento e assentamento mecanizado</t>
  </si>
  <si>
    <t>3009235</t>
  </si>
  <si>
    <t>Trilho TR57, comprimento de 12 m, sobre dormente de concreto, bitola métrica ou larga, taxa de dormentação de 1.667 un/km, tala de junção de 6 furos e fixação elástica Pandrol - posicionamento e assentamento manual</t>
  </si>
  <si>
    <t>3009023</t>
  </si>
  <si>
    <t>Trilho TR57, comprimento de 12 m, sobre dormente de concreto, bitola métrica ou larga, taxa de dormentação de 1.750 un/km, tala de junção de 6 furos e fixação elástica Pandrol - posicionamento e assentamento manual</t>
  </si>
  <si>
    <t>3009231</t>
  </si>
  <si>
    <t>Trilho TR57, comprimento de 12 m, sobre dormente de concreto, bitola mista, taxa de dormentação de 1.667 un/km, tala de junção de 6 furos e fixação elástica Pandrol - posicionamento e assentamento manual</t>
  </si>
  <si>
    <t>3009019</t>
  </si>
  <si>
    <t>Trilho TR57, comprimento de 12 m, sobre dormente de concreto, bitola mista, taxa de dormentação de 1.750 un/km, tala de junção de 6 furos e fixação elástica Pandrol - posicionamento e assentamento manual</t>
  </si>
  <si>
    <t>3009289</t>
  </si>
  <si>
    <t>Trilho TR57, comprimento de 12 m, sobre dormente de madeira, bitola métrica ou larga, taxa de dormentação de 1.667 un/km, tala de junção de 6 furos e fixação rígida - posicionamento e assentamento manual</t>
  </si>
  <si>
    <t>3009014</t>
  </si>
  <si>
    <t>Trilho TR57, comprimento de 12 m, sobre dormente de madeira, bitola métrica ou larga, taxa de dormentação de 1.750 un/km, tala de junção de 6 furos e fixação rígida - posicionamento e assentamento manual</t>
  </si>
  <si>
    <t>3009293</t>
  </si>
  <si>
    <t>Trilho TR57, comprimento de 12 m, sobre dormente de madeira, bitola mista, taxa de dormentação de 1.667 un/km, tala de junção de 6 furos e fixação rígida - posicionamento e assentamento manual</t>
  </si>
  <si>
    <t>3009226</t>
  </si>
  <si>
    <t>Trilho TR57, comprimento de 12 m, sobre dormente de madeira, bitola mista, taxa de dormentação de 1.750 un/km, tala de junção de 6 furos e fixação rígida - posicionamento e assentamento manual</t>
  </si>
  <si>
    <t>3009102</t>
  </si>
  <si>
    <t>Trilho TR57, comprimento de 120 m (TLS), formado por trilhos curtos de 12 m soldados por caldeamento - confecção em estaleiro</t>
  </si>
  <si>
    <t>3009297</t>
  </si>
  <si>
    <t>Trilho TR57, comprimento de 120 m (TLS), sobre dormente de concreto, bitola métrica ou larga, taxa de dormentação de 1.667 un/km, tala de junção de 6 furos e fixação elástica Pandrol - posicionamento e assentamento mecanizado</t>
  </si>
  <si>
    <t>3009027</t>
  </si>
  <si>
    <t>Trilho TR57, comprimento de 120 m (TLS), sobre dormente de concreto, bitola métrica ou larga, taxa de dormentação de 1.750 un/km, tala de junção de 6 furos e fixação elástica Pandrol - posicionamento e assentamento mecanizado</t>
  </si>
  <si>
    <t>3009305</t>
  </si>
  <si>
    <t>Trilho TR57, comprimento de 120 m (TLS), sobre dormente de concreto, bitola mista, taxa de dormentação de 1.667 un/km, tala de junção de 6 furos e fixação elástica Pandrol - posicionamento e assentamento mecanizado</t>
  </si>
  <si>
    <t>3009031</t>
  </si>
  <si>
    <t>Trilho TR57, comprimento de 120 m (TLS), sobre dormente de concreto, bitola mista, taxa de dormentação de 1.750 un/km, tala de junção de 6 furos e fixação elástica Pandrol - posicionamento e assentamento mecanizado</t>
  </si>
  <si>
    <t>3009255</t>
  </si>
  <si>
    <t>Trilho TR57, comprimento de 120 m (TLS), sobre dormente de madeira, bitola métrica ou larga, taxa de dormentação de 1.667 un/km, tala de junção de 6 furos e fixação elástica Pandrol - posicionamento e assentamento mecanizado</t>
  </si>
  <si>
    <t>3009263</t>
  </si>
  <si>
    <t>Trilho TR57, comprimento de 120 m (TLS), sobre dormente de madeira, bitola métrica ou larga, taxa de dormentação de 1.667 un/km, tala de junção de 6 furos e fixação rígida - posicionamento e assentamento mecanizado</t>
  </si>
  <si>
    <t>3009035</t>
  </si>
  <si>
    <t>Trilho TR57, comprimento de 120 m (TLS), sobre dormente de madeira, bitola métrica ou larga, taxa de dormentação de 1.750 un/km, tala de junção de 6 furos e fixação elástica Pandrol - posicionamento e assentamento mecanizado</t>
  </si>
  <si>
    <t>3009043</t>
  </si>
  <si>
    <t>Trilho TR57, comprimento de 120 m (TLS), sobre dormente de madeira, bitola métrica ou larga, taxa de dormentação de 1.750 un/km, tala de junção de 6 furos e fixação rígida - posicionamento e assentamento mecanizado</t>
  </si>
  <si>
    <t>3009271</t>
  </si>
  <si>
    <t>Trilho TR57, comprimento de 120 m (TLS), sobre dormente de madeira, bitola mista, taxa de dormentação de 1.667 un/km, tala de junção de 6 furos e fixação elástica Pandrol - posicionamento e assentamento mecanizado</t>
  </si>
  <si>
    <t>3009051</t>
  </si>
  <si>
    <t>Trilho TR57, comprimento de 120 m (TLS), sobre dormente de madeira, bitola mista, taxa de dormentação de 1.750 un/km, tala de junção de 6 furos e fixação elástica Pandrol - posicionamento e assentamento mecanizado</t>
  </si>
  <si>
    <t>3009103</t>
  </si>
  <si>
    <t>Trilho TR57, comprimento de 240 m (TLS), formado por trilhos curtos de 12 m soldados por caldeamento - confecção em estaleiro</t>
  </si>
  <si>
    <t>3009247</t>
  </si>
  <si>
    <t>Trilho TR57, comprimento de 240 m (TLS), sobre dormente de concreto, bitola métrica ou larga, taxa de dormentação de 1.667 un/km, tala de junção de 6 furos e fixação elástica Pandrol - posicionamento e assentamento mecanizado</t>
  </si>
  <si>
    <t>3009209</t>
  </si>
  <si>
    <t>Trilho TR57, comprimento de 240 m (TLS), sobre dormente de concreto, bitola métrica ou larga, taxa de dormentação de 1.750 un/km, tala de junção de 6 furos e fixação elástica Pandrol - posicionamento e assentamento mecanizado</t>
  </si>
  <si>
    <t>3009309</t>
  </si>
  <si>
    <t>Trilho TR57, comprimento de 240 m (TLS), sobre dormente de concreto, bitola mista, taxa de dormentação de 1.667 un/km, tala de junção de 6 furos e fixação elástica Pandrol - posicionamento e assentamento mecanizado</t>
  </si>
  <si>
    <t>3009213</t>
  </si>
  <si>
    <t>Trilho TR57, comprimento de 240 m (TLS), sobre dormente de concreto, bitola mista, taxa de dormentação de 1.750 un/km, tala de junção de 6 furos e fixação elástica Pandrol - posicionamento e assentamento mecanizado</t>
  </si>
  <si>
    <t>3009259</t>
  </si>
  <si>
    <t>Trilho TR57, comprimento de 240 m (TLS), sobre dormente de madeira, bitola métrica ou larga, taxa de dormentação de 1.667 un/km, tala de junção de 6 furos e fixação elástica Pandrol - posicionamento e assentamento mecanizado</t>
  </si>
  <si>
    <t>3009267</t>
  </si>
  <si>
    <t>Trilho TR57, comprimento de 240 m (TLS), sobre dormente de madeira, bitola métrica ou larga, taxa de dormentação de 1.667 un/km, tala de junção de 6 furos e fixação rígida - posicionamento e assentamento mecanizado</t>
  </si>
  <si>
    <t>3009039</t>
  </si>
  <si>
    <t>Trilho TR57, comprimento de 240 m (TLS), sobre dormente de madeira, bitola métrica ou larga, taxa de dormentação de 1.750 un/km, tala de junção de 6 furos e fixação elástica Pandrol - posicionamento e assentamento mecanizado</t>
  </si>
  <si>
    <t>3009047</t>
  </si>
  <si>
    <t>Trilho TR57, comprimento de 240 m (TLS), sobre dormente de madeira, bitola métrica ou larga, taxa de dormentação de 1.750 un/km, tala de junção de 6 furos e fixação rígida - posicionamento e assentamento mecanizado</t>
  </si>
  <si>
    <t>3009275</t>
  </si>
  <si>
    <t>Trilho TR57, comprimento de 240 m (TLS), sobre dormente de madeira, bitola mista, taxa de dormentação de 1.667 un/km, tala de junção de 6 furos e fixação elástica Pandrol - posicionamento e assentamento mecanizado</t>
  </si>
  <si>
    <t>3009055</t>
  </si>
  <si>
    <t>Trilho TR57, comprimento de 240 m (TLS), sobre dormente de madeira, bitola mista, taxa de dormentação de 1.750 un/km, tala de junção de 6 furos e fixação elástica Pandrol - posicionamento e assentamento mecanizado</t>
  </si>
  <si>
    <t>3009236</t>
  </si>
  <si>
    <t>Trilho TR68, comprimento de 12 m, sobre dormente de concreto, bitola métrica ou larga, taxa de dormentação de 1.667 un/km, tala de junção de 6 furos e fixação elástica Pandrol - posicionamento e assentamento manual</t>
  </si>
  <si>
    <t>3009024</t>
  </si>
  <si>
    <t>Trilho TR68, comprimento de 12 m, sobre dormente de concreto, bitola métrica ou larga, taxa de dormentação de 1.750 un/km, tala de junção de 6 furos e fixação elástica Pandrol - posicionamento e assentamento manual</t>
  </si>
  <si>
    <t>3009232</t>
  </si>
  <si>
    <t>Trilho TR68, comprimento de 12 m, sobre dormente de concreto, bitola mista, taxa de dormentação de 1.667 un/km, tala de junção de 6 furos e fixação elástica Pandrol - posicionamento e assentamento manual</t>
  </si>
  <si>
    <t>3009020</t>
  </si>
  <si>
    <t>Trilho TR68, comprimento de 12 m, sobre dormente de concreto, bitola mista, taxa de dormentação de 1.750 un/km, tala de junção de 6 furos e fixação elástica Pandrol - posicionamento e assentamento manual</t>
  </si>
  <si>
    <t>3009290</t>
  </si>
  <si>
    <t>Trilho TR68, comprimento de 12 m, sobre dormente de madeira, bitola métrica ou larga, taxa de dormentação de 1.667 un/km, tala de junção de 6 furos e fixação rígida - posicionamento e assentamento manual</t>
  </si>
  <si>
    <t>3009015</t>
  </si>
  <si>
    <t>Trilho TR68, comprimento de 12 m, sobre dormente de madeira, bitola métrica ou larga, taxa de dormentação de 1.750 un/km, tala de junção de 6 furos e fixação rígida - posicionamento e assentamento manual</t>
  </si>
  <si>
    <t>3009294</t>
  </si>
  <si>
    <t>Trilho TR68, comprimento de 12 m, sobre dormente de madeira, bitola mista, taxa de dormentação de 1.667 un/km, tala de junção de 6 furos e fixação rígida - posicionamento e assentamento manual</t>
  </si>
  <si>
    <t>3009227</t>
  </si>
  <si>
    <t>Trilho TR68, comprimento de 12 m, sobre dormente de madeira, bitola mista, taxa de dormentação de 1.750 un/km, tala de junção de 6 furos e fixação rígida - posicionamento e assentamento manual</t>
  </si>
  <si>
    <t>3009104</t>
  </si>
  <si>
    <t>Trilho TR68, comprimento de 120 m (TLS), formado por trilhos curtos de 12 m soldados por caldeamento - confecção em estaleiro</t>
  </si>
  <si>
    <t>3009240</t>
  </si>
  <si>
    <t>Trilho TR68, comprimento de 120 m (TLS), sobre dormente de concreto, bitola métrica ou larga, taxa de dormentação de 1.667 un/km, tala de junção de 6 furos e fixação elástica Pandrol - posicionamento e assentamento mecanizado</t>
  </si>
  <si>
    <t>3009028</t>
  </si>
  <si>
    <t>Trilho TR68, comprimento de 120 m (TLS), sobre dormente de concreto, bitola métrica ou larga, taxa de dormentação de 1.750 un/km, tala de junção de 6 furos e fixação elástica Pandrol - posicionamento e assentamento mecanizado</t>
  </si>
  <si>
    <t>3009306</t>
  </si>
  <si>
    <t>Trilho TR68, comprimento de 120 m (TLS), sobre dormente de concreto, bitola mista, taxa de dormentação de 1.667 un/km, tala de junção de 6 furos e fixação elástica Pandrol - posicionamento e assentamento mecanizado</t>
  </si>
  <si>
    <t>3009032</t>
  </si>
  <si>
    <t>Trilho TR68, comprimento de 120 m (TLS), sobre dormente de concreto, bitola mista, taxa de dormentação de 1.750 un/km, tala de junção de 6 furos e fixação elástica Pandrol - posicionamento e assentamento mecanizado</t>
  </si>
  <si>
    <t>3009256</t>
  </si>
  <si>
    <t>Trilho TR68, comprimento de 120 m (TLS), sobre dormente de madeira, bitola métrica ou larga, taxa de dormentação de 1.667 un/km, tala de junção de 6 furos e fixação elástica Pandrol - posicionamento e assentamento mecanizado</t>
  </si>
  <si>
    <t>3009264</t>
  </si>
  <si>
    <t>Trilho TR68, comprimento de 120 m (TLS), sobre dormente de madeira, bitola métrica ou larga, taxa de dormentação de 1.667 un/km, tala de junção de 6 furos e fixação rígida - posicionamento e assentamento mecanizado</t>
  </si>
  <si>
    <t>3009036</t>
  </si>
  <si>
    <t>Trilho TR68, comprimento de 120 m (TLS), sobre dormente de madeira, bitola métrica ou larga, taxa de dormentação de 1.750 un/km, tala de junção de 6 furos e fixação elástica Pandrol - posicionamento e assentamento mecanizado</t>
  </si>
  <si>
    <t>3009044</t>
  </si>
  <si>
    <t>Trilho TR68, comprimento de 120 m (TLS), sobre dormente de madeira, bitola métrica ou larga, taxa de dormentação de 1.750 un/km, tala de junção de 6 furos e fixação rígida - posicionamento e assentamento mecanizado</t>
  </si>
  <si>
    <t>3009272</t>
  </si>
  <si>
    <t>Trilho TR68, comprimento de 120 m (TLS), sobre dormente de madeira, bitola mista, taxa de dormentação de 1.667 un/km, tala de junção de 6 furos e fixação elástica Pandrol - posicionamento e assentamento mecanizado</t>
  </si>
  <si>
    <t>3009052</t>
  </si>
  <si>
    <t>Trilho TR68, comprimento de 120 m (TLS), sobre dormente de madeira, bitola mista, taxa de dormentação de 1.750 un/km, tala de junção de 6 furos e fixação elástica Pandrol - posicionamento e assentamento mecanizado</t>
  </si>
  <si>
    <t>3009105</t>
  </si>
  <si>
    <t>Trilho TR68, comprimento de 240 m (TLS), formado por trilhos curtos de 12 m soldados por caldeamento - confecção em estaleiro</t>
  </si>
  <si>
    <t>3009248</t>
  </si>
  <si>
    <t>Trilho TR68, comprimento de 240 m (TLS), sobre dormente de concreto, bitola métrica ou larga, taxa de dormentação de 1.667 un/km, tala de junção de 6 furos e fixação elástica Pandrol - posicionamento e assentamento mecanizado</t>
  </si>
  <si>
    <t>3009210</t>
  </si>
  <si>
    <t>Trilho TR68, comprimento de 240 m (TLS), sobre dormente de concreto, bitola métrica ou larga, taxa de dormentação de 1.750 un/km, tala de junção de 6 furos e fixação elástica Pandrol - posicionamento e assentamento mecanizado</t>
  </si>
  <si>
    <t>3009310</t>
  </si>
  <si>
    <t>Trilho TR68, comprimento de 240 m (TLS), sobre dormente de concreto, bitola mista, taxa de dormentação de 1.667 un/km, tala de junção de 6 furos e fixação elástica Pandrol - posicionamento e assentamento mecanizado</t>
  </si>
  <si>
    <t>3009214</t>
  </si>
  <si>
    <t>Trilho TR68, comprimento de 240 m (TLS), sobre dormente de concreto, bitola mista, taxa de dormentação de 1.750 un/km, tala de junção de 6 furos e fixação elástica Pandrol - posicionamento e assentamento mecanizado</t>
  </si>
  <si>
    <t>3009260</t>
  </si>
  <si>
    <t>Trilho TR68, comprimento de 240 m (TLS), sobre dormente de madeira, bitola métrica ou larga, taxa de dormentação de 1.667 un/km, tala de junção de 6 furos e fixação elástica Pandrol - posicionamento e assentamento mecanizado</t>
  </si>
  <si>
    <t>3009268</t>
  </si>
  <si>
    <t>Trilho TR68, comprimento de 240 m (TLS), sobre dormente de madeira, bitola métrica ou larga, taxa de dormentação de 1.667 un/km, tala de junção de 6 furos e fixação rígida - posicionamento e assentamento mecanizado</t>
  </si>
  <si>
    <t>3009040</t>
  </si>
  <si>
    <t>Trilho TR68, comprimento de 240 m (TLS), sobre dormente de madeira, bitola métrica ou larga, taxa de dormentação de 1.750 un/km, tala de junção de 6 furos e fixação elástica Pandrol - posicionamento e assentamento mecanizado</t>
  </si>
  <si>
    <t>3009048</t>
  </si>
  <si>
    <t>Trilho TR68, comprimento de 240 m (TLS), sobre dormente de madeira, bitola métrica ou larga, taxa de dormentação de 1.750 un/km, tala de junção de 6 furos e fixação rígida - posicionamento e assentamento mecanizado</t>
  </si>
  <si>
    <t>3009276</t>
  </si>
  <si>
    <t>Trilho TR68, comprimento de 240 m (TLS), sobre dormente de madeira, bitola mista, taxa de dormentação de 1.667 un/km, tala de junção de 6 furos e fixação elástica Pandrol - posicionamento e assentamento mecanizado</t>
  </si>
  <si>
    <t>3009056</t>
  </si>
  <si>
    <t>Trilho TR68, comprimento de 240 m (TLS), sobre dormente de madeira, bitola mista, taxa de dormentação de 1.750 un/km, tala de junção de 6 furos e fixação elástica Pandrol - posicionamento e assentamento mecanizado</t>
  </si>
  <si>
    <t>3009237</t>
  </si>
  <si>
    <t>Trilho UIC60, comprimento de 12 m, sobre dormente de concreto, bitola métrica ou larga, taxa de dormentação de 1.667 un/km, tala de junção de 6 furos e fixação elástica Pandrol - posicionamento e assentamento manual</t>
  </si>
  <si>
    <t>3009025</t>
  </si>
  <si>
    <t>Trilho UIC60, comprimento de 12 m, sobre dormente de concreto, bitola métrica ou larga, taxa de dormentação de 1.750 un/km, tala de junção de 6 furos e fixação elástica Pandrol - posicionamento e assentamento manual</t>
  </si>
  <si>
    <t>3009319</t>
  </si>
  <si>
    <t>Trilho UIC60, comprimento de 12 m, sobre dormente de concreto, bitola mista, taxa de dormentação de 1.667 un/km, tala de junção de 6 furos e fixação elástica Pandrol - posicionamento e assentamento manual</t>
  </si>
  <si>
    <t>3009021</t>
  </si>
  <si>
    <t>Trilho UIC60, comprimento de 12 m, sobre dormente de concreto, bitola mista, taxa de dormentação de 1.750 un/km, tala de junção de 6 furos e fixação elástica Pandrol - posicionamento e assentamento manual</t>
  </si>
  <si>
    <t>3009291</t>
  </si>
  <si>
    <t>Trilho UIC60, comprimento de 12 m, sobre dormente de madeira, bitola métrica ou larga, taxa de dormentação de 1.667 un/km, tala de junção de 6 furos e fixação rígida - posicionamento e assentamento manual</t>
  </si>
  <si>
    <t>3009016</t>
  </si>
  <si>
    <t>Trilho UIC60, comprimento de 12 m, sobre dormente de madeira, bitola métrica ou larga, taxa de dormentação de 1.750 un/km, tala de junção de 6 furos e fixação rígida - posicionamento e assentamento manual</t>
  </si>
  <si>
    <t>3009295</t>
  </si>
  <si>
    <t>Trilho UIC60, comprimento de 12 m, sobre dormente de madeira, bitola mista, taxa de dormentação de 1.667 un/km, tala de junção de 6 furos e fixação rígida - posicionamento e assentamento manual</t>
  </si>
  <si>
    <t>3009228</t>
  </si>
  <si>
    <t>Trilho UIC60, comprimento de 12 m, sobre dormente de madeira, bitola mista, taxa de dormentação de 1.750 un/km, tala de junção de 6 furos e fixação rígida - posicionamento e assentamento manual</t>
  </si>
  <si>
    <t>3009106</t>
  </si>
  <si>
    <t>Trilho UIC60, comprimento de 120 m (TLS), formado por trilhos curtos de 12 m soldados por caldeamento - confecção em estaleiro</t>
  </si>
  <si>
    <t>3009299</t>
  </si>
  <si>
    <t>Trilho UIC60, comprimento de 120 m (TLS), sobre dormente de concreto, bitola métrica ou larga, taxa de dormentação de 1.667 un/km, tala de junção de 6 furos e fixação elástica Pandrol - posicionamento e assentamento mecanizado</t>
  </si>
  <si>
    <t>3009029</t>
  </si>
  <si>
    <t>Trilho UIC60, comprimento de 120 m (TLS), sobre dormente de concreto, bitola métrica ou larga, taxa de dormentação de 1.750 un/km, tala de junção de 6 furos e fixação elástica Pandrol - posicionamento e assentamento mecanizado</t>
  </si>
  <si>
    <t>3009245</t>
  </si>
  <si>
    <t>Trilho UIC60, comprimento de 120 m (TLS), sobre dormente de concreto, bitola mista, taxa de dormentação de 1.667 un/km, tala de junção de 6 furos e fixação elástica Pandrol - posicionamento e assentamento mecanizado</t>
  </si>
  <si>
    <t>3009033</t>
  </si>
  <si>
    <t>Trilho UIC60, comprimento de 120 m (TLS), sobre dormente de concreto, bitola mista, taxa de dormentação de 1.750 un/km, tala de junção de 6 furos e fixação elástica Pandrol - posicionamento e assentamento mecanizado</t>
  </si>
  <si>
    <t>3009257</t>
  </si>
  <si>
    <t>Trilho UIC60, comprimento de 120 m (TLS), sobre dormente de madeira, bitola métrica ou larga, taxa de dormentação de 1.667 un/km, tala de junção de 6 furos e fixação elástica Pandrol - posicionamento e assentamento mecanizado</t>
  </si>
  <si>
    <t>3009265</t>
  </si>
  <si>
    <t>Trilho UIC60, comprimento de 120 m (TLS), sobre dormente de madeira, bitola métrica ou larga, taxa de dormentação de 1.667 un/km, tala de junção de 6 furos e fixação rígida - posicionamento e assentamento mecanizado</t>
  </si>
  <si>
    <t>3009037</t>
  </si>
  <si>
    <t>Trilho UIC60, comprimento de 120 m (TLS), sobre dormente de madeira, bitola métrica ou larga, taxa de dormentação de 1.750 un/km, tala de junção de 6 furos e fixação elástica Pandrol - posicionamento e assentamento mecanizado</t>
  </si>
  <si>
    <t>3009045</t>
  </si>
  <si>
    <t>Trilho UIC60, comprimento de 120 m (TLS), sobre dormente de madeira, bitola métrica ou larga, taxa de dormentação de 1.750 un/km, tala de junção de 6 furos e fixação rígida - posicionamento e assentamento mecanizado</t>
  </si>
  <si>
    <t>3009273</t>
  </si>
  <si>
    <t>Trilho UIC60, comprimento de 120 m (TLS), sobre dormente de madeira, bitola mista, taxa de dormentação de 1.667 un/km, tala de junção de 6 furos e fixação elástica Pandrol - posicionamento e assentamento mecanizado</t>
  </si>
  <si>
    <t>3009053</t>
  </si>
  <si>
    <t>Trilho UIC60, comprimento de 120 m (TLS), sobre dormente de madeira, bitola mista, taxa de dormentação de 1.750 un/km, tala de junção de 6 furos e fixação elástica Pandrol - posicionamento e assentamento mecanizado</t>
  </si>
  <si>
    <t>3009107</t>
  </si>
  <si>
    <t>Trilho UIC60, comprimento de 240 m (TLS), formado por trilhos curtos de 12 m soldados por caldeamento - confecção em estaleiro</t>
  </si>
  <si>
    <t>3009249</t>
  </si>
  <si>
    <t>Trilho UIC60, comprimento de 240 m (TLS), sobre dormente de concreto, bitola métrica ou larga, taxa de dormentação de 1.667 un/km, tala de junção de 6 furos e fixação elástica Pandrol - posicionamento e assentamento mecanizado</t>
  </si>
  <si>
    <t>3009211</t>
  </si>
  <si>
    <t>Trilho UIC60, comprimento de 240 m (TLS), sobre dormente de concreto, bitola métrica ou larga, taxa de dormentação de 1.750 un/km, tala de junção de 6 furos e fixação elástica Pandrol - posicionamento e assentamento mecanizado</t>
  </si>
  <si>
    <t>3009253</t>
  </si>
  <si>
    <t>Trilho UIC60, comprimento de 240 m (TLS), sobre dormente de concreto, bitola mista, taxa de dormentação de 1.667 un/km, tala de junção de 6 furos e fixação elástica Pandrol - posicionamento e assentamento mecanizado</t>
  </si>
  <si>
    <t>3009215</t>
  </si>
  <si>
    <t>Trilho UIC60, comprimento de 240 m (TLS), sobre dormente de concreto, bitola mista, taxa de dormentação de 1.750 un/km, tala de junção de 6 furos e fixação elástica Pandrol - posicionamento e assentamento mecanizado</t>
  </si>
  <si>
    <t>3009261</t>
  </si>
  <si>
    <t>Trilho UIC60, comprimento de 240 m (TLS), sobre dormente de madeira, bitola métrica ou larga, taxa de dormentação de 1.667 un/km, tala de junção de 6 furos e fixação elástica Pandrol - posicionamento e assentamento mecanizado</t>
  </si>
  <si>
    <t>3009269</t>
  </si>
  <si>
    <t>Trilho UIC60, comprimento de 240 m (TLS), sobre dormente de madeira, bitola métrica ou larga, taxa de dormentação de 1.667 un/km, tala de junção de 6 furos e fixação rígida - posicionamento e assentamento mecanizado</t>
  </si>
  <si>
    <t>3009041</t>
  </si>
  <si>
    <t>Trilho UIC60, comprimento de 240 m (TLS), sobre dormente de madeira, bitola métrica ou larga, taxa de dormentação de 1.750 un/km, tala de junção de 6 furos e fixação elástica Pandrol - posicionamento e assentamento mecanizado</t>
  </si>
  <si>
    <t>3009049</t>
  </si>
  <si>
    <t>Trilho UIC60, comprimento de 240 m (TLS), sobre dormente de madeira, bitola métrica ou larga, taxa de dormentação de 1.750 un/km, tala de junção de 6 furos e fixação rígida - posicionamento e assentamento mecanizado</t>
  </si>
  <si>
    <t>3009277</t>
  </si>
  <si>
    <t>Trilho UIC60, comprimento de 240 m (TLS), sobre dormente de madeira, bitola mista, taxa de dormentação de 1.667 un/km, tala de junção de 6 furos e fixação elástica Pandrol - posicionamento e assentamento mecanizado</t>
  </si>
  <si>
    <t>3009057</t>
  </si>
  <si>
    <t>Trilho UIC60, comprimento de 240 m (TLS), sobre dormente de madeira, bitola mista, taxa de dormentação de 1.750 un/km, tala de junção de 6 furos e fixação elástica Pandrol - posicionamento e assentamento mecanizado</t>
  </si>
  <si>
    <t>3108073</t>
  </si>
  <si>
    <t>Confecção de fôrma metálica em chapa 1/8" para poita trapezoidal</t>
  </si>
  <si>
    <t>3107965</t>
  </si>
  <si>
    <t>Confecção de forma metálica em chapa 3/16" para poita trapezoidal</t>
  </si>
  <si>
    <t>3105941</t>
  </si>
  <si>
    <t>Fôrma em chapa metálica 1/8" para cabeça de tirantes - utilização de 50 vezes - confecção, instalação e retirada</t>
  </si>
  <si>
    <t>3108150</t>
  </si>
  <si>
    <t>Fôrma metálica curva em chapa 3/16" reforçada com nervuras de 40 mm x 3/16" dispostas em grelhas de 40 x 60 cm - utilização de 100 vezes - confecção, instalação e retirada</t>
  </si>
  <si>
    <t>3108071</t>
  </si>
  <si>
    <t>Fôrma metálica em chapa 1/8" para poita trapezoidal - utilização de 50 vezes - montagem, instalação e retirada</t>
  </si>
  <si>
    <t>3107967</t>
  </si>
  <si>
    <t>Fôrma metálica em chapa 1/8" reforçada com nervuras de 40 mm x 1/8" dispostas em grelhas de 40 x 60 cm - utilização de 100 vezes - confecção, instalação e retirada</t>
  </si>
  <si>
    <t>3107966</t>
  </si>
  <si>
    <t>Fôrma metálica em chapa 3/16" para poita trapezoidal - utilização de 50 vezes - montagem, instalação e retirada</t>
  </si>
  <si>
    <t>3108072</t>
  </si>
  <si>
    <t>Fôrma metálica em chapa 3/16" reforçada com nervuras de 40 mm x 3/16" dispostas em grelhas de 40 x 60 cm - utilização de 100 vezes - confecção, instalação e retirada</t>
  </si>
  <si>
    <t>3117750</t>
  </si>
  <si>
    <t>Fôrma metálica para aduelas de bueiros celulares de concreto pré-moldados - utilização de 100 vezes - confecção, instalação e retirada</t>
  </si>
  <si>
    <t>3117749</t>
  </si>
  <si>
    <t>Fôrma metálica para guarda-corpo de concreto - utilização de 50 vezes - confecção</t>
  </si>
  <si>
    <t>3107964</t>
  </si>
  <si>
    <t>Fôrma metálica para pavimento de concreto - utilização de 100 vezes - confecção, instalação e retirada</t>
  </si>
  <si>
    <t>3106551</t>
  </si>
  <si>
    <t>Fôrma metálica para tetrápode - utilização de 100 vezes - confecção, instalação e retirada</t>
  </si>
  <si>
    <t>3106427</t>
  </si>
  <si>
    <t>Fôrma metálica para viga de concreto pré-moldada protendida para OAE - utilização de 20 vezes - confecção, instalação e retirada</t>
  </si>
  <si>
    <t>3106552</t>
  </si>
  <si>
    <t>Fôrma metálica para Xbloc - utilização de 100 vezes - confecção, instalação e retirada</t>
  </si>
  <si>
    <t>3107969</t>
  </si>
  <si>
    <t>Fôrmas curvas de compensado plastificado 10 mm - uso geral - utilização de 2 vezes - confecção, instalação e retirada</t>
  </si>
  <si>
    <t>3107970</t>
  </si>
  <si>
    <t>Fôrmas curvas de compensado resinado 10 mm - uso geral - utilização de 2 vezes - confecção, instalação e retirada</t>
  </si>
  <si>
    <t>3108007</t>
  </si>
  <si>
    <t>Fôrmas de compensado plastificado 10 mm - uso geral - utilização de 1 vez - confecção, instalação e retirada</t>
  </si>
  <si>
    <t>3108008</t>
  </si>
  <si>
    <t>Fôrmas de compensado plastificado 10 mm - uso geral - utilização de 2 vezes - confecção, instalação e retirada</t>
  </si>
  <si>
    <t>3108009</t>
  </si>
  <si>
    <t>Fôrmas de compensado plastificado 10 mm - uso geral - utilização de 3 vezes - confecção, instalação e retirada</t>
  </si>
  <si>
    <t>3108011</t>
  </si>
  <si>
    <t>Fôrmas de compensado plastificado 12 mm - uso geral - utilização de 1 vez - confecção, instalação e retirada</t>
  </si>
  <si>
    <t>3108012</t>
  </si>
  <si>
    <t>Fôrmas de compensado plastificado 12 mm - uso geral - utilização de 2 vezes - confecção, instalação e retirada</t>
  </si>
  <si>
    <t>3108013</t>
  </si>
  <si>
    <t>Fôrmas de compensado plastificado 12 mm - uso geral - utilização de 3 vezes - confecção, instalação e retirada</t>
  </si>
  <si>
    <t>3108015</t>
  </si>
  <si>
    <t>Fôrmas de compensado plastificado 14 mm - uso geral - utilização de 1 vez - confecção, instalação e retirada</t>
  </si>
  <si>
    <t>3108016</t>
  </si>
  <si>
    <t>Fôrmas de compensado plastificado 14 mm - uso geral - utilização de 2 vezes - confecção, instalação e retirada</t>
  </si>
  <si>
    <t>3108017</t>
  </si>
  <si>
    <t>Fôrmas de compensado plastificado 14 mm - uso geral - utilização de 3 vezes - confecção, instalação e retirada</t>
  </si>
  <si>
    <t>3107995</t>
  </si>
  <si>
    <t>Fôrmas de compensado resinado 10 mm - uso geral - utilização de 1 vez - confecção, instalação e retirada</t>
  </si>
  <si>
    <t>3107996</t>
  </si>
  <si>
    <t>Fôrmas de compensado resinado 10 mm - uso geral - utilização de 2 vezes - confecção, instalação e retirada</t>
  </si>
  <si>
    <t>3107997</t>
  </si>
  <si>
    <t>Fôrmas de compensado resinado 10 mm - uso geral - utilização de 3 vezes - confecção, instalação e retirada</t>
  </si>
  <si>
    <t>3107999</t>
  </si>
  <si>
    <t>Fôrmas de compensado resinado 12 mm - uso geral - utilização de 1 vez - confecção, instalação e retirada</t>
  </si>
  <si>
    <t>3108000</t>
  </si>
  <si>
    <t>Fôrmas de compensado resinado 12 mm - uso geral - utilização de 2 vezes - confecção, instalação e retirada</t>
  </si>
  <si>
    <t>3108001</t>
  </si>
  <si>
    <t>Fôrmas de compensado resinado 12 mm - uso geral - utilização de 3 vezes - confecção, instalação e retirada</t>
  </si>
  <si>
    <t>3108003</t>
  </si>
  <si>
    <t>Fôrmas de compensado resinado 14 mm - uso geral - utilização de 1 vez - confecção, instalação e retirada</t>
  </si>
  <si>
    <t>3108004</t>
  </si>
  <si>
    <t>Fôrmas de compensado resinado 14 mm - uso geral - utilização de 2 vezes - confecção, instalação e retirada</t>
  </si>
  <si>
    <t>3108005</t>
  </si>
  <si>
    <t>Fôrmas de compensado resinado 14 mm - uso geral - utilização de 3 vezes - confecção, instalação e retirada</t>
  </si>
  <si>
    <t>3106119</t>
  </si>
  <si>
    <t>Fôrmas de tábuas de pinho - utilização de 1 vez - confecção, instalação e retirada</t>
  </si>
  <si>
    <t>3106120</t>
  </si>
  <si>
    <t>Fôrmas de tábuas de pinho - utilização de 2 vezes - confecção, instalação e retirada</t>
  </si>
  <si>
    <t>3106121</t>
  </si>
  <si>
    <t>Fôrmas de tábuas de pinho - utilização de 3 vezes - confecção, instalação e retirada</t>
  </si>
  <si>
    <t>3103302</t>
  </si>
  <si>
    <t>Fôrmas de tábuas de pinho para dispositivos de drenagem - utilização de 3 vezes - confecção, instalação e retirada</t>
  </si>
  <si>
    <t>3103303</t>
  </si>
  <si>
    <t>Fôrmas de tábuas de pinho para drenos - utilização de 5 vezes - confecção, instalação e retirada</t>
  </si>
  <si>
    <t>3106759</t>
  </si>
  <si>
    <t>Fôrmas de tábuas de pinho para elementos estruturais dos arcos metálicos - utilização de 3 vezes - confecção, instalação e retirada</t>
  </si>
  <si>
    <t>3108023</t>
  </si>
  <si>
    <t>Guia de madeira de 2,5 x 10,0 cm - confecção e instalação</t>
  </si>
  <si>
    <t>3108018</t>
  </si>
  <si>
    <t>Guia de madeira de 2,5 x 7,0 cm - confecção e instalação</t>
  </si>
  <si>
    <t>3108022</t>
  </si>
  <si>
    <t>Guia de madeira de 2,5 x 8,0 cm - confecção e instalação</t>
  </si>
  <si>
    <t>3205864</t>
  </si>
  <si>
    <t>Gabião caixa 2 x 1 x 0,50 m - Zn/Al + PVC - D = 2,4 mm - pedra de mão comercial - fornecimento e assentamento</t>
  </si>
  <si>
    <t>3205863</t>
  </si>
  <si>
    <t>Gabião caixa 2 x 1 x 0,50 m - Zn/Al + PVC - D = 2,4 mm - pedra de mão produzida - confecção e assentamento</t>
  </si>
  <si>
    <t>3205868</t>
  </si>
  <si>
    <t>Gabião caixa 2 x 1 x 0,50 m Zn/Al - D = 2,7 mm - pedra de mão comercial - fornecimento e assentamento</t>
  </si>
  <si>
    <t>3205867</t>
  </si>
  <si>
    <t>Gabião caixa 2 x 1 x 0,50 m Zn/Al - D = 2,7 mm - pedra de mão produzida - confecção e assentamento</t>
  </si>
  <si>
    <t>3205866</t>
  </si>
  <si>
    <t>Gabião caixa 2 x 1 x 1,00 m - Zn/Al + PVC - D = 2,4 mm - pedra de mão comercial - fornecimento e assentamento</t>
  </si>
  <si>
    <t>3205865</t>
  </si>
  <si>
    <t>Gabião caixa 2 x 1 x 1,00 m - Zn/Al + PVC - D = 2,4 mm - pedra de mão produzida - confecção e assentamento</t>
  </si>
  <si>
    <t>3205870</t>
  </si>
  <si>
    <t>Gabião caixa 2 x 1 x 1,00 m Zn/Al - D = 2,7 mm - pedra de mão comercial - fornecimento e assentamento</t>
  </si>
  <si>
    <t>3205869</t>
  </si>
  <si>
    <t>Gabião caixa 2 x 1 x 1,00 m Zn/Al - D = 2,7 mm - pedra de mão produzida - confecção e assentamento</t>
  </si>
  <si>
    <t>3205872</t>
  </si>
  <si>
    <t>Gabião colchão espessura 0,17 m - Zn/Al + PVC - D = 2,0 mm - pedra de mão comercial - fornecimento e assentamento</t>
  </si>
  <si>
    <t>3205871</t>
  </si>
  <si>
    <t>Gabião colchão espessura 0,17 m - Zn/Al + PVC - D = 2,0 mm - pedra de mão produzida - confecção e assentamento</t>
  </si>
  <si>
    <t>3205874</t>
  </si>
  <si>
    <t>Gabião colchão espessura 0,23 m - Zn/Al + PVC - D = 2,0 mm - pedra de mão comercial - fornecimento e assentamento</t>
  </si>
  <si>
    <t>3205873</t>
  </si>
  <si>
    <t>Gabião colchão espessura 0,23 m - Zn/Al + PVC - D = 2,0 mm - pedra de mão produzida - confecção e assentamento</t>
  </si>
  <si>
    <t>3205876</t>
  </si>
  <si>
    <t>Gabião colchão espessura 0,30 m - Zn/Al + PVC - D = 2,0 mm - pedra de mão comercial - fornecimento e assentamento</t>
  </si>
  <si>
    <t>3205875</t>
  </si>
  <si>
    <t>Gabião colchão espessura 0,30 m - Zn/Al + PVC - D = 2,0 mm - pedra de mão produzida - confecção e assentamento</t>
  </si>
  <si>
    <t>3205862</t>
  </si>
  <si>
    <t>Gabião saco - diâmetro = 0,65 m - Zn/Al + PVC - D = 2,4 mm - pedra de mão comercial - fornecimento e assentamento</t>
  </si>
  <si>
    <t>3205861</t>
  </si>
  <si>
    <t>Gabião saco - diâmetro = 0,65 m - Zn/Al + PVC - D = 2,4 mm - pedra de mão produzida - confecção e assentamento</t>
  </si>
  <si>
    <t>3606579</t>
  </si>
  <si>
    <t>Carga, transporte e descarga de material pétreo para molhes com o uso de batelões e escavadeira hidráulica - DMT de 0 a 300 m</t>
  </si>
  <si>
    <t>3606583</t>
  </si>
  <si>
    <t>Carga, transporte e descarga de material pétreo para molhes com o uso de batelões e escavadeira hidráulica - DMT de 1.200 a 1.500 m</t>
  </si>
  <si>
    <t>3606584</t>
  </si>
  <si>
    <t>Carga, transporte e descarga de material pétreo para molhes com o uso de batelões e escavadeira hidráulica - DMT de 1.500 a 1.800 m</t>
  </si>
  <si>
    <t>3606585</t>
  </si>
  <si>
    <t>Carga, transporte e descarga de material pétreo para molhes com o uso de batelões e escavadeira hidráulica - DMT de 1.800 a 2.100 m</t>
  </si>
  <si>
    <t>3606586</t>
  </si>
  <si>
    <t>Carga, transporte e descarga de material pétreo para molhes com o uso de batelões e escavadeira hidráulica - DMT de 2.100 a 2.400 m</t>
  </si>
  <si>
    <t>3606587</t>
  </si>
  <si>
    <t>Carga, transporte e descarga de material pétreo para molhes com o uso de batelões e escavadeira hidráulica - DMT de 2.400 a 2.700 m</t>
  </si>
  <si>
    <t>3606588</t>
  </si>
  <si>
    <t>Carga, transporte e descarga de material pétreo para molhes com o uso de batelões e escavadeira hidráulica - DMT de 2.700 a 3.000 m</t>
  </si>
  <si>
    <t>3606589</t>
  </si>
  <si>
    <t>Carga, transporte e descarga de material pétreo para molhes com o uso de batelões e escavadeira hidráulica - DMT de 3.000 m</t>
  </si>
  <si>
    <t>3606580</t>
  </si>
  <si>
    <t>Carga, transporte e descarga de material pétreo para molhes com o uso de batelões e escavadeira hidráulica - DMT de 300 a 600 m</t>
  </si>
  <si>
    <t>3606581</t>
  </si>
  <si>
    <t>Carga, transporte e descarga de material pétreo para molhes com o uso de batelões e escavadeira hidráulica - DMT de 600 a 900 m</t>
  </si>
  <si>
    <t>3606582</t>
  </si>
  <si>
    <t>Carga, transporte e descarga de material pétreo para molhes com o uso de batelões e escavadeira hidráulica - DMT de 900 a 1.200 m</t>
  </si>
  <si>
    <t>3606527</t>
  </si>
  <si>
    <t>Escavação, carga e transporte de material pétreo para a subcarapaça - caminho de serviço em leito natural - DMT de 1.000 a 1.200 m - com caminhão basculante de 8 m³</t>
  </si>
  <si>
    <t>3606528</t>
  </si>
  <si>
    <t>Escavação, carga e transporte de material pétreo para a subcarapaça - caminho de serviço em leito natural - DMT de 1.200 a 1.400 m - com caminhão basculante de 8 m³</t>
  </si>
  <si>
    <t>3606529</t>
  </si>
  <si>
    <t>Escavação, carga e transporte de material pétreo para a subcarapaça - caminho de serviço em leito natural - DMT de 1.400 a 1.600 m - com caminhão basculante de 8 m³</t>
  </si>
  <si>
    <t>3606530</t>
  </si>
  <si>
    <t>Escavação, carga e transporte de material pétreo para a subcarapaça - caminho de serviço em leito natural - DMT de 1.600 a 1.800 m - com caminhão basculante de 8 m³</t>
  </si>
  <si>
    <t>3606531</t>
  </si>
  <si>
    <t>Escavação, carga e transporte de material pétreo para a subcarapaça - caminho de serviço em leito natural - DMT de 1.800 a 2.000 m - com caminhão basculante de 8 m³</t>
  </si>
  <si>
    <t>3606532</t>
  </si>
  <si>
    <t>Escavação, carga e transporte de material pétreo para a subcarapaça - caminho de serviço em leito natural - DMT de 2.000 a 2.500 m - com caminhão basculante de 8 m³</t>
  </si>
  <si>
    <t>3606533</t>
  </si>
  <si>
    <t>Escavação, carga e transporte de material pétreo para a subcarapaça - caminho de serviço em leito natural - DMT de 2.500 a 3.000 m - com caminhão basculante de 8 m³</t>
  </si>
  <si>
    <t>3606534</t>
  </si>
  <si>
    <t>Escavação, carga e transporte de material pétreo para a subcarapaça - caminho de serviço em leito natural - DMT de 3.000 m - com caminhão basculante de 8 m³</t>
  </si>
  <si>
    <t>3606535</t>
  </si>
  <si>
    <t>Escavação, carga e transporte de material pétreo para a subcarapaça - caminho de serviço em revestimento primário - DMT de 1.000 a 1.200 m - com caminhão basculante de 8 m³</t>
  </si>
  <si>
    <t>3606536</t>
  </si>
  <si>
    <t>Escavação, carga e transporte de material pétreo para a subcarapaça - caminho de serviço em revestimento primário - DMT de 1.200 a 1.400 m - com caminhão basculante de 8 m³</t>
  </si>
  <si>
    <t>3606537</t>
  </si>
  <si>
    <t>Escavação, carga e transporte de material pétreo para a subcarapaça - caminho de serviço em revestimento primário - DMT de 1.400 a 1.600 m - com caminhão basculante de 8 m³</t>
  </si>
  <si>
    <t>3606538</t>
  </si>
  <si>
    <t>Escavação, carga e transporte de material pétreo para a subcarapaça - caminho de serviço em revestimento primário - DMT de 1.600 a 1.800 m - com caminhão basculante de 8 m³</t>
  </si>
  <si>
    <t>3606539</t>
  </si>
  <si>
    <t>Escavação, carga e transporte de material pétreo para a subcarapaça - caminho de serviço em revestimento primário - DMT de 1.800 a 2.000 m - com caminhão basculante de 8 m³</t>
  </si>
  <si>
    <t>3606540</t>
  </si>
  <si>
    <t>Escavação, carga e transporte de material pétreo para a subcarapaça - caminho de serviço em revestimento primário - DMT de 2.000 a 2.500 m - com caminhão basculante de 8 m³</t>
  </si>
  <si>
    <t>3606541</t>
  </si>
  <si>
    <t>Escavação, carga e transporte de material pétreo para a subcarapaça - caminho de serviço em revestimento primário - DMT de 2.500 a 3.000 m - com caminhão basculante de 8 m³</t>
  </si>
  <si>
    <t>3606542</t>
  </si>
  <si>
    <t>Escavação, carga e transporte de material pétreo para a subcarapaça - caminho de serviço em revestimento primário - DMT de 3.000 m - com caminhão basculante de 8 m³</t>
  </si>
  <si>
    <t>3606543</t>
  </si>
  <si>
    <t>Escavação, carga e transporte de material pétreo para a subcarapaça - caminho de serviço pavimentado - DMT de 1.000 a 1.200 m - com caminhão basculante de 8 m³</t>
  </si>
  <si>
    <t>3606544</t>
  </si>
  <si>
    <t>Escavação, carga e transporte de material pétreo para a subcarapaça - caminho de serviço pavimentado - DMT de 1.200 a 1.400 m - com caminhão basculante de 8 m³</t>
  </si>
  <si>
    <t>3606545</t>
  </si>
  <si>
    <t>Escavação, carga e transporte de material pétreo para a subcarapaça - caminho de serviço pavimentado - DMT de 1.400 a 1.600 m - com caminhão basculante de 8 m³</t>
  </si>
  <si>
    <t>3606546</t>
  </si>
  <si>
    <t>Escavação, carga e transporte de material pétreo para a subcarapaça - caminho de serviço pavimentado - DMT de 1.600 a 1.800 m - com caminhão basculante de 8 m³</t>
  </si>
  <si>
    <t>3606547</t>
  </si>
  <si>
    <t>Escavação, carga e transporte de material pétreo para a subcarapaça - caminho de serviço pavimentado - DMT de 1.800 a 2.000 m - com caminhão basculante de 8 m³</t>
  </si>
  <si>
    <t>3606548</t>
  </si>
  <si>
    <t>Escavação, carga e transporte de material pétreo para a subcarapaça - caminho de serviço pavimentado - DMT de 2.000 a 2.500 m - com caminhão basculante de 8 m³</t>
  </si>
  <si>
    <t>3606549</t>
  </si>
  <si>
    <t>Escavação, carga e transporte de material pétreo para a subcarapaça - caminho de serviço pavimentado - DMT de 2.500 a 3.000 m - com caminhão basculante de 8 m³</t>
  </si>
  <si>
    <t>3606550</t>
  </si>
  <si>
    <t>Escavação, carga e transporte de material pétreo para a subcarapaça - caminho de serviço pavimentado - DMT de 3.000 m - com caminhão basculante de 8 m³</t>
  </si>
  <si>
    <t>3606500</t>
  </si>
  <si>
    <t>Escavação, carga e transporte de material pétreo para o núcleo - caminho de serviço em leito natural - DMT de 1.000 a 1.200 m - com caminhão basculante de 8 m³</t>
  </si>
  <si>
    <t>3606501</t>
  </si>
  <si>
    <t>Escavação, carga e transporte de material pétreo para o núcleo - caminho de serviço em leito natural - DMT de 1.200 a 1.400 m - com caminhão basculante de 8 m³</t>
  </si>
  <si>
    <t>3606502</t>
  </si>
  <si>
    <t>Escavação, carga e transporte de material pétreo para o núcleo - caminho de serviço em leito natural - DMT de 1.400 a 1.600 m - com caminhão basculante de 8 m³</t>
  </si>
  <si>
    <t>3606503</t>
  </si>
  <si>
    <t>Escavação, carga e transporte de material pétreo para o núcleo - caminho de serviço em leito natural - DMT de 1.600 a 1.800 m - com caminhão basculante de 8 m³</t>
  </si>
  <si>
    <t>3606504</t>
  </si>
  <si>
    <t>Escavação, carga e transporte de material pétreo para o núcleo - caminho de serviço em leito natural - DMT de 1.800 a 2.000 m - com caminhão basculante de 8 m³</t>
  </si>
  <si>
    <t>3606505</t>
  </si>
  <si>
    <t>Escavação, carga e transporte de material pétreo para o núcleo - caminho de serviço em leito natural - DMT de 2.000 a 2.500 m - com caminhão basculante de 8 m³</t>
  </si>
  <si>
    <t>3606506</t>
  </si>
  <si>
    <t>Escavação, carga e transporte de material pétreo para o núcleo - caminho de serviço em leito natural - DMT de 2.500 a 3.000 m - com caminhão basculante de 8 m³</t>
  </si>
  <si>
    <t>3606507</t>
  </si>
  <si>
    <t>Escavação, carga e transporte de material pétreo para o núcleo - caminho de serviço em leito natural - DMT de 3.000 m - com caminhão basculante de 8 m³</t>
  </si>
  <si>
    <t>3606509</t>
  </si>
  <si>
    <t>Escavação, carga e transporte de material pétreo para o núcleo - caminho de serviço em revestimento primário - DMT de 1.000 a 1.200 m - com caminhão basculante de 8 m³</t>
  </si>
  <si>
    <t>3606510</t>
  </si>
  <si>
    <t>Escavação, carga e transporte de material pétreo para o núcleo - caminho de serviço em revestimento primário - DMT de 1.200 a 1.400 m - com caminhão basculante de 8 m³</t>
  </si>
  <si>
    <t>3606511</t>
  </si>
  <si>
    <t>Escavação, carga e transporte de material pétreo para o núcleo - caminho de serviço em revestimento primário - DMT de 1.400 a 1.600 m - com caminhão basculante de 8 m³</t>
  </si>
  <si>
    <t>3606512</t>
  </si>
  <si>
    <t>Escavação, carga e transporte de material pétreo para o núcleo - caminho de serviço em revestimento primário - DMT de 1.600 a 1.800 m - com caminhão basculante de 8 m³</t>
  </si>
  <si>
    <t>3606513</t>
  </si>
  <si>
    <t>Escavação, carga e transporte de material pétreo para o núcleo - caminho de serviço em revestimento primário - DMT de 1.800 a 2.000 m - com caminhão basculante de 8 m³</t>
  </si>
  <si>
    <t>3606514</t>
  </si>
  <si>
    <t>Escavação, carga e transporte de material pétreo para o núcleo - caminho de serviço em revestimento primário - DMT de 2.000 a 2.500 m - com caminhão basculante de 8 m³</t>
  </si>
  <si>
    <t>3606515</t>
  </si>
  <si>
    <t>Escavação, carga e transporte de material pétreo para o núcleo - caminho de serviço em revestimento primário - DMT de 2.500 a 3.000 m - com caminhão basculante de 8 m³</t>
  </si>
  <si>
    <t>3606516</t>
  </si>
  <si>
    <t>Escavação, carga e transporte de material pétreo para o núcleo - caminho de serviço em revestimento primário - DMT de 3.000 m - com caminhão basculante de 8 m³</t>
  </si>
  <si>
    <t>3606518</t>
  </si>
  <si>
    <t>Escavação, carga e transporte de material pétreo para o núcleo - caminho de serviço pavimentado - DMT de 1.000 a 1.200 m - com caminhão basculante de 8 m³</t>
  </si>
  <si>
    <t>3606519</t>
  </si>
  <si>
    <t>Escavação, carga e transporte de material pétreo para o núcleo - caminho de serviço pavimentado - DMT de 1.200 a 1.400 m - com caminhão basculante de 8 m³</t>
  </si>
  <si>
    <t>3606520</t>
  </si>
  <si>
    <t>Escavação, carga e transporte de material pétreo para o núcleo - caminho de serviço pavimentado - DMT de 1.400 a 1.600 m - com caminhão basculante de 8 m³</t>
  </si>
  <si>
    <t>3606521</t>
  </si>
  <si>
    <t>Escavação, carga e transporte de material pétreo para o núcleo - caminho de serviço pavimentado - DMT de 1.600 a 1.800 m - com caminhão basculante de 8 m³</t>
  </si>
  <si>
    <t>3606522</t>
  </si>
  <si>
    <t>Escavação, carga e transporte de material pétreo para o núcleo - caminho de serviço pavimentado - DMT de 1.800 a 2.000 m - com caminhão basculante de 8 m³</t>
  </si>
  <si>
    <t>3606523</t>
  </si>
  <si>
    <t>Escavação, carga e transporte de material pétreo para o núcleo - caminho de serviço pavimentado - DMT de 2.000 a 2.500 m - com caminhão basculante de 8 m³</t>
  </si>
  <si>
    <t>3606524</t>
  </si>
  <si>
    <t>Escavação, carga e transporte de material pétreo para o núcleo - caminho de serviço pavimentado - DMT de 2.500 a 3.000 m - com caminhão basculante de 8 m³</t>
  </si>
  <si>
    <t>3606525</t>
  </si>
  <si>
    <t>Escavação, carga e transporte de material pétreo para o núcleo - caminho de serviço pavimentado - DMT de 3.000 m - com caminhão basculante de 8 m³</t>
  </si>
  <si>
    <t>3606577</t>
  </si>
  <si>
    <t>Espalhamento e conformação de material pétreo para núcleo</t>
  </si>
  <si>
    <t>3606576</t>
  </si>
  <si>
    <t>Espalhamento e conformação de material pétreo para subcarapaça</t>
  </si>
  <si>
    <t>3606561</t>
  </si>
  <si>
    <t>Fabricação de tetrápode de 10 t - concreto fck = 20 MPa - areia e brita comerciais</t>
  </si>
  <si>
    <t>3606556</t>
  </si>
  <si>
    <t>Fabricação de tetrápode de 10 t - concreto fck = 20 MPa - areia extraída e brita produzida</t>
  </si>
  <si>
    <t>3606562</t>
  </si>
  <si>
    <t>Fabricação de tetrápode de 11 t - concreto fck = 20 MPa - areia e brita comerciais</t>
  </si>
  <si>
    <t>3606557</t>
  </si>
  <si>
    <t>Fabricação de tetrápode de 11 t - concreto fck = 20 MPa - areia extraída e brita produzida</t>
  </si>
  <si>
    <t>3606563</t>
  </si>
  <si>
    <t>Fabricação de tetrápode de 12 t - concreto fck = 20 MPa - areia e brita comerciais</t>
  </si>
  <si>
    <t>3606558</t>
  </si>
  <si>
    <t>Fabricação de tetrápode de 12 t - concreto fck = 20 MPa - areia extraída e brita produzida</t>
  </si>
  <si>
    <t>3606559</t>
  </si>
  <si>
    <t>Fabricação de tetrápode de 8 t - concreto fck = 20 MPa - areia e brita comerciais</t>
  </si>
  <si>
    <t>3606554</t>
  </si>
  <si>
    <t>Fabricação de tetrápode de 8 t - concreto fck = 20 MPa - areia extraída e brita produzida</t>
  </si>
  <si>
    <t>3606560</t>
  </si>
  <si>
    <t>Fabricação de tetrápode de 9 t - concreto fck = 20 MPa - areia e brita comerciais</t>
  </si>
  <si>
    <t>3606555</t>
  </si>
  <si>
    <t>Fabricação de tetrápode de 9 t - concreto fck = 20 MPa - areia extraída e brita produzida</t>
  </si>
  <si>
    <t>3606571</t>
  </si>
  <si>
    <t>Fabricação de Xbloc de 10 t - concreto fck = 20 MPa - areia e brita comerciais</t>
  </si>
  <si>
    <t>3606566</t>
  </si>
  <si>
    <t>Fabricação de Xbloc de 10 t - concreto fck = 20 MPa - areia extraída e brita produzida</t>
  </si>
  <si>
    <t>3606572</t>
  </si>
  <si>
    <t>Fabricação de Xbloc de 11 t - concreto fck = 20 MPa - areia e brita comerciais</t>
  </si>
  <si>
    <t>3606567</t>
  </si>
  <si>
    <t>Fabricação de Xbloc de 11 t - concreto fck = 20 MPa - areia extraída e brita produzida</t>
  </si>
  <si>
    <t>3606573</t>
  </si>
  <si>
    <t>Fabricação de Xbloc de 12 t - concreto fck = 20 MPa - areia e brita comerciais</t>
  </si>
  <si>
    <t>3606568</t>
  </si>
  <si>
    <t>Fabricação de Xbloc de 12 t - concreto fck = 20 MPa - areia extraída e brita produzida</t>
  </si>
  <si>
    <t>3606569</t>
  </si>
  <si>
    <t>Fabricação de Xbloc de 8 t - concreto fck = 20 MPa - areia e brita comerciais</t>
  </si>
  <si>
    <t>3606564</t>
  </si>
  <si>
    <t>Fabricação de Xbloc de 8 t - concreto fck = 20 MPa - areia extraída e brita produzida</t>
  </si>
  <si>
    <t>3606570</t>
  </si>
  <si>
    <t>Fabricação de Xbloc de 9 t - concreto fck = 20 MPa - areia e brita comerciais</t>
  </si>
  <si>
    <t>3606565</t>
  </si>
  <si>
    <t>Fabricação de Xbloc de 9 t - concreto fck = 20 MPa - areia extraída e brita produzida</t>
  </si>
  <si>
    <t>3606578</t>
  </si>
  <si>
    <t>Lançamento de blocos artificias de concreto</t>
  </si>
  <si>
    <t>3606575</t>
  </si>
  <si>
    <t>Seleção de material pétreo para a carapaça e subcarapaça</t>
  </si>
  <si>
    <t>3606574</t>
  </si>
  <si>
    <t>Seleção de material pétreo para o núcleo</t>
  </si>
  <si>
    <t>3713603</t>
  </si>
  <si>
    <t>Ancoragem de defensa maleável dupla - fornecimento e implantação</t>
  </si>
  <si>
    <t>3713601</t>
  </si>
  <si>
    <t>Ancoragem de defensa maleável simples - fornecimento e implantação</t>
  </si>
  <si>
    <t>3713607</t>
  </si>
  <si>
    <t>Ancoragem de defensa semimaleável dupla - fornecimento e implantação</t>
  </si>
  <si>
    <t>3713605</t>
  </si>
  <si>
    <t>Ancoragem de defensa semimaleável simples - fornecimento e implantação</t>
  </si>
  <si>
    <t>3719530</t>
  </si>
  <si>
    <t>Barreira dupla de concreto, armada, pré-moldada (perfil New Jersey) - L &gt; 3,00 m e H = 1.070 mm</t>
  </si>
  <si>
    <t>3713828</t>
  </si>
  <si>
    <t>Barreira dupla de concreto, armada, pré-moldada (perfil New Jersey) - L &gt; 3,00 m e H = 810 mm</t>
  </si>
  <si>
    <t>3713875</t>
  </si>
  <si>
    <t>Barreira dupla de concreto, não armada, moldada no local (perfil F) - H = 810 + 100 mm</t>
  </si>
  <si>
    <t>3713619</t>
  </si>
  <si>
    <t>Barreira dupla de concreto, não armada, moldada no local (perfil New Jersey) - H = 810 + 100 mm</t>
  </si>
  <si>
    <t>3713876</t>
  </si>
  <si>
    <t>Barreira dupla de concreto, não armada, moldada no local, com extrusora (perfil F) - H = 810 + 100 mm</t>
  </si>
  <si>
    <t>3713827</t>
  </si>
  <si>
    <t>Barreira dupla de concreto, não armada, moldada no local, com extrusora (perfil New Jersey) - H = 810 + 100 mm</t>
  </si>
  <si>
    <t>3713904</t>
  </si>
  <si>
    <t>Barreira simples de concreto, armada, pré-moldada (perfil New Jersey) - L &gt; 3,00 m e H = 1.070 mm</t>
  </si>
  <si>
    <t>3719529</t>
  </si>
  <si>
    <t>Barreira simples de concreto, armada, pré-moldada (perfil New Jersey) - L &gt; 3,00 m e H = 810 mm</t>
  </si>
  <si>
    <t>3713878</t>
  </si>
  <si>
    <t>Barreira simples de concreto, não armada, moldada no local (perfil F) - H = 810 + 100 mm</t>
  </si>
  <si>
    <t>3713617</t>
  </si>
  <si>
    <t>Barreira simples de concreto, não armada, moldada no local (perfil New Jersey) - H = 810 + 100 mm</t>
  </si>
  <si>
    <t>3713879</t>
  </si>
  <si>
    <t>Barreira simples de concreto, não armada, moldada no local, com extrusora (perfil F) - H = 810 + 100 mm</t>
  </si>
  <si>
    <t>3713826</t>
  </si>
  <si>
    <t>Barreira simples de concreto, não armada, moldada no local, com extrusora (perfil New Jersey) - H = 810 + 100 mm</t>
  </si>
  <si>
    <t>3713610</t>
  </si>
  <si>
    <t>Cerca com 4 fios de arame farpado e mourão de concreto de seção quadrada de 11 cm a cada 2,5 m e esticador de 15 cm a cada 50 m - areia e brita comerciais</t>
  </si>
  <si>
    <t>3713609</t>
  </si>
  <si>
    <t>Cerca com 4 fios de arame farpado e mourão de concreto de seção quadrada de 11 cm a cada 2,5 m e esticador de 15 cm a cada 50 m - areia extraída e brita produzida</t>
  </si>
  <si>
    <t>3713612</t>
  </si>
  <si>
    <t>Cerca com 4 fios de arame farpado e mourão de concreto de seção triangular de 11 cm a cada 2,5 m e esticador de 15 cm a cada 50 m - areia e brita comerciais</t>
  </si>
  <si>
    <t>3713611</t>
  </si>
  <si>
    <t>Cerca com 4 fios de arame farpado e mourão de concreto de seção triangular de 11 cm a cada 2,5 m e esticador de 15 cm a cada 50 m - areia extraída e brita produzida</t>
  </si>
  <si>
    <t>3713608</t>
  </si>
  <si>
    <t>Cerca com 4 fios de arame farpado e mourão de madeira a cada 2,5 m e esticador a cada 50 m</t>
  </si>
  <si>
    <t>3713613</t>
  </si>
  <si>
    <t>Cerca com 4 fios de arame liso galvanizado e mourão de madeira a cada 2,5 m e esticador a cada 50 m</t>
  </si>
  <si>
    <t>3713822</t>
  </si>
  <si>
    <t>Confecção de barreira dupla de concreto, armada, pré-moldada (perfil New Jersey) - L &gt; 3,00 m e H = 1.070 mm</t>
  </si>
  <si>
    <t>3713824</t>
  </si>
  <si>
    <t>Confecção de barreira dupla de concreto, armada, pré-moldada (perfil New Jersey) - L &gt; 3,00 m e H = 810 mm</t>
  </si>
  <si>
    <t>3713825</t>
  </si>
  <si>
    <t>Confecção de barreira simples de concreto, armada, pré-moldada (perfil New Jersey) - L &gt; 3,00 m e H = 1.070 mm</t>
  </si>
  <si>
    <t>3713823</t>
  </si>
  <si>
    <t>Confecção de barreira simples de concreto, armada, pré-moldada (perfil New Jersey) - L &gt; 3,00 m e H = 810 mm</t>
  </si>
  <si>
    <t>3713602</t>
  </si>
  <si>
    <t>Defensa maleável dupla - fornecimento e implantação</t>
  </si>
  <si>
    <t>3713600</t>
  </si>
  <si>
    <t>Defensa maleável simples - fornecimento e implantação</t>
  </si>
  <si>
    <t>3713606</t>
  </si>
  <si>
    <t>Defensa semimaleável dupla - fornecimento e implantação</t>
  </si>
  <si>
    <t>3713604</t>
  </si>
  <si>
    <t>Defensa semimaleável simples - fornecimento e implantação</t>
  </si>
  <si>
    <t>3716129</t>
  </si>
  <si>
    <t>Fabricação de mourão de concreto esticador - seção quadrada de 15 cm - areia e brita comerciais</t>
  </si>
  <si>
    <t>3716128</t>
  </si>
  <si>
    <t>Fabricação de mourão de concreto esticador - seção quadrada de 15 cm - areia extraída e brita produzida</t>
  </si>
  <si>
    <t>3716133</t>
  </si>
  <si>
    <t>Fabricação de mourão de concreto esticador - seção triangular de 15 cm - areia e brita comercias</t>
  </si>
  <si>
    <t>3716132</t>
  </si>
  <si>
    <t>Fabricação de mourão de concreto esticador - seção triangular de 15 cm - areia extraída e brita produzida</t>
  </si>
  <si>
    <t>3716131</t>
  </si>
  <si>
    <t>Fabricação de mourão de concreto suporte - seção quadrada de 11 cm - areia e brita comerciais</t>
  </si>
  <si>
    <t>3716130</t>
  </si>
  <si>
    <t>Fabricação de mourão de concreto suporte - seção quadrada de 11 cm - areia extraída e brita produzida</t>
  </si>
  <si>
    <t>3716135</t>
  </si>
  <si>
    <t>Fabricação de mourão de concreto suporte - seção triangular de 11 cm - areia e brita comerciais</t>
  </si>
  <si>
    <t>3716134</t>
  </si>
  <si>
    <t>Fabricação de mourão de concreto suporte - seção triangular de 11 cm - areia extraída e brita produzida</t>
  </si>
  <si>
    <t>3713698</t>
  </si>
  <si>
    <t>Fornecimento e implantação de amortecedor retrátil (v &lt;= 100 km/h) tipo TAU II afunilado - fixado em barreira de concreto, com largura de âncora traseira de 1.830 mm</t>
  </si>
  <si>
    <t>3713699</t>
  </si>
  <si>
    <t>Fornecimento e implantação de amortecedor retrátil (v &lt;= 100 km/h) tipo TAU II afunilado - fixado em barreira de concreto, com largura de âncora traseira de 1.980 mm</t>
  </si>
  <si>
    <t>3713700</t>
  </si>
  <si>
    <t>Fornecimento e implantação de amortecedor retrátil (v &lt;= 100 km/h) tipo TAU II afunilado - fixado em barreira de concreto, com largura de âncora traseira de 2.130 mm</t>
  </si>
  <si>
    <t>3713701</t>
  </si>
  <si>
    <t>Fornecimento e implantação de amortecedor retrátil (v &lt;= 100 km/h) tipo TAU II afunilado - fixado em barreira de concreto, com largura de âncora traseira de 2.290 mm</t>
  </si>
  <si>
    <t>3713702</t>
  </si>
  <si>
    <t>Fornecimento e implantação de amortecedor retrátil (v &lt;= 100 km/h) tipo TAU II afunilado - fixado em barreira de concreto, com largura de âncora traseira de 2.440 mm</t>
  </si>
  <si>
    <t>3713693</t>
  </si>
  <si>
    <t>Fornecimento e implantação de amortecedor retrátil (v &lt;= 100 km/h) tipo TAU II combinado - fixado em barreira de concreto, com largura de âncora traseira de 1.060 mm</t>
  </si>
  <si>
    <t>3713694</t>
  </si>
  <si>
    <t>Fornecimento e implantação de amortecedor retrátil (v &lt;= 100 km/h) tipo TAU II combinado - fixado em barreira de concreto, com largura de âncora traseira de 1.220 mm</t>
  </si>
  <si>
    <t>3713695</t>
  </si>
  <si>
    <t>Fornecimento e implantação de amortecedor retrátil (v &lt;= 100 km/h) tipo TAU II combinado - fixado em barreira de concreto, com largura de âncora traseira de 1.370 mm</t>
  </si>
  <si>
    <t>3713696</t>
  </si>
  <si>
    <t>Fornecimento e implantação de amortecedor retrátil (v &lt;= 100 km/h) tipo TAU II combinado - fixado em barreira de concreto, com largura de âncora traseira de 1.520 mm</t>
  </si>
  <si>
    <t>3713697</t>
  </si>
  <si>
    <t>Fornecimento e implantação de amortecedor retrátil (v &lt;= 100 km/h) tipo TAU II combinado - fixado em barreira de concreto, com largura de âncora traseira de 1.680 mm</t>
  </si>
  <si>
    <t>3713692</t>
  </si>
  <si>
    <t>Fornecimento e implantação de amortecedor retrátil (v &lt;= 100 km/h) tipo TAU II combinado - fixado em barreira de concreto, com largura de âncora traseira de 900 mm</t>
  </si>
  <si>
    <t>3713691</t>
  </si>
  <si>
    <t>Fornecimento e implantação de amortecedor retrátil (v &lt;= 100 km/h) tipo TAU II paralelo - fixado em barreira de concreto, com largura de âncora traseira de até 700 mm</t>
  </si>
  <si>
    <t>3713873</t>
  </si>
  <si>
    <t>Módulo de transição de defensa metálica para barreira rígida - fornecimento e implantação</t>
  </si>
  <si>
    <t>3713705</t>
  </si>
  <si>
    <t>Remoção de defensa metálica</t>
  </si>
  <si>
    <t>3713902</t>
  </si>
  <si>
    <t>Terminal absorvedor de energia de abertura com nível de contenção TL3 para defensa metálica - fornecimento e implantação</t>
  </si>
  <si>
    <t>3713689</t>
  </si>
  <si>
    <t>Terminal aéreo de defensa metálica - tipo A - fornecimento e implantação</t>
  </si>
  <si>
    <t>3713690</t>
  </si>
  <si>
    <t>Terminal de ancoragem de defensa metálica em barreira New Jersey - fornecimento e implantação</t>
  </si>
  <si>
    <t>3713897</t>
  </si>
  <si>
    <t>Terminal de ancoragem para barreira dupla de concreto, moldada no local (perfil F) - H = 810 + 250 mm</t>
  </si>
  <si>
    <t>3713893</t>
  </si>
  <si>
    <t>Terminal de ancoragem para barreira dupla de concreto, moldada no local (perfil New Jersey) - H = 810 + 250 mm</t>
  </si>
  <si>
    <t>3713898</t>
  </si>
  <si>
    <t>Terminal de ancoragem para barreira dupla de concreto, moldada no local, com extrusora (perfil F) - H = 810 + 250 mm</t>
  </si>
  <si>
    <t>3713894</t>
  </si>
  <si>
    <t>Terminal de ancoragem para barreira dupla de concreto, moldada no local, com extrusora (perfil New Jersey) - H = 810 + 250 mm</t>
  </si>
  <si>
    <t>3713895</t>
  </si>
  <si>
    <t>Terminal de ancoragem para barreira simples de concreto, moldada no local (perfil F) - H = 810 + 250 mm</t>
  </si>
  <si>
    <t>3713891</t>
  </si>
  <si>
    <t>Terminal de ancoragem para barreira simples de concreto, moldada no local (perfil New Jersey) - H = 810 + 250 mm</t>
  </si>
  <si>
    <t>3713896</t>
  </si>
  <si>
    <t>Terminal de ancoragem para barreira simples de concreto, moldada no local, com extrusora (perfil F) - H = 810 + 250 mm</t>
  </si>
  <si>
    <t>3713892</t>
  </si>
  <si>
    <t>Terminal de ancoragem para barreira simples de concreto, moldada no local, com extrusora (perfil New Jersey) - H = 810 + 250 mm</t>
  </si>
  <si>
    <t>3806412</t>
  </si>
  <si>
    <t>Abertura de janela em estrutura de concreto existente para inspeção com espessura até 0,20 m e seção 0,49 m²</t>
  </si>
  <si>
    <t>3806413</t>
  </si>
  <si>
    <t>Apicoamento mecanizado de concreto</t>
  </si>
  <si>
    <t>3807863</t>
  </si>
  <si>
    <t>Chumbador de expansão controlada por torque para concreto D = 12,5 mm - fornecimento e instalação</t>
  </si>
  <si>
    <t>3807864</t>
  </si>
  <si>
    <t>Chumbador de expansão controlada por torque para concreto D = 16 mm - fornecimento e instalação</t>
  </si>
  <si>
    <t>3807865</t>
  </si>
  <si>
    <t>Chumbador de expansão controlada por torque para concreto D = 20 mm - fornecimento e instalação</t>
  </si>
  <si>
    <t>3807861</t>
  </si>
  <si>
    <t>Chumbador de expansão controlada por torque para concreto D = 6,3 mm - fornecimento e instalação</t>
  </si>
  <si>
    <t>3807862</t>
  </si>
  <si>
    <t>Chumbador de expansão controlada por torque para concreto D = 8 mm - fornecimento e instalação</t>
  </si>
  <si>
    <t>3807752</t>
  </si>
  <si>
    <t>Corte linear em superfície de concreto para fixação de barras de aço de 10 mm - L = 12 mm e H = 12 mm</t>
  </si>
  <si>
    <t>3807753</t>
  </si>
  <si>
    <t>Corte linear em superfície de concreto para fixação de barras de aço de 12,5 mm - L = 15 mm e H = 15 mm</t>
  </si>
  <si>
    <t>3807750</t>
  </si>
  <si>
    <t>Corte linear em superfície de concreto para fixação de barras de aço de 6,3 mm - L = 8 mm e H = 8 mm</t>
  </si>
  <si>
    <t>3807751</t>
  </si>
  <si>
    <t>Corte linear em superfície de concreto para fixação de barras de aço de 8 mm - L = 10 mm e H = 10 mm</t>
  </si>
  <si>
    <t>3806415</t>
  </si>
  <si>
    <t>Demolição controlada de concreto com martelete</t>
  </si>
  <si>
    <t>3806416</t>
  </si>
  <si>
    <t>Elevação de estruturas até 496 kN para substituição de aparelho de apoio com a utilização de macaco hidráulico</t>
  </si>
  <si>
    <t>3806419</t>
  </si>
  <si>
    <t>Elevação de estruturas de 1.390 a 1.859 kN para substituição de aparelho de apoio com a utilização de macaco hidráulico</t>
  </si>
  <si>
    <t>3806417</t>
  </si>
  <si>
    <t>Elevação de estruturas de 496 a 929 kN para substituição de aparelho de apoio com a utilização de macaco hidráulico</t>
  </si>
  <si>
    <t>3806418</t>
  </si>
  <si>
    <t>Elevação de estruturas de 929 a 1.390 kN para substituição de aparelho de apoio com a utilização de macaco hidráulico</t>
  </si>
  <si>
    <t>3808207</t>
  </si>
  <si>
    <t>Escada tubular multidirecional em aço galvanizado - utilização de 100 vezes - fornecimento, instalação e retirada</t>
  </si>
  <si>
    <t>3806400</t>
  </si>
  <si>
    <t>Fabricação de superestrutura metálica para passarela PL-15 - exceto piso de concreto</t>
  </si>
  <si>
    <t>3806399</t>
  </si>
  <si>
    <t>Fabricação de superestrutura metálica para passarela PL-20 - exceto piso de concreto</t>
  </si>
  <si>
    <t>3806387</t>
  </si>
  <si>
    <t>Fabricação de superestrutura metálica para passarela PL-25 - exceto piso de concreto</t>
  </si>
  <si>
    <t>3806397</t>
  </si>
  <si>
    <t>Fabricação de superestrutura metálica para passarela PL-30 - exceto piso de concreto</t>
  </si>
  <si>
    <t>3806396</t>
  </si>
  <si>
    <t>Fabricação de superestrutura metálica para passarela PL-35 - exceto piso de concreto</t>
  </si>
  <si>
    <t>3816194</t>
  </si>
  <si>
    <t>Fischietti - montagem e desmontagem do par com capacidade de 140 t</t>
  </si>
  <si>
    <t>3816195</t>
  </si>
  <si>
    <t>Fischietti com capacidade de 140 t por par e vão livre de até 45 m - operação do par</t>
  </si>
  <si>
    <t>3816118</t>
  </si>
  <si>
    <t>Guarda-corpo de concreto - fabricação - areia e brita comerciais</t>
  </si>
  <si>
    <t>3816117</t>
  </si>
  <si>
    <t>Guarda-corpo de concreto - fabricação - areia extraída e brita produzida</t>
  </si>
  <si>
    <t>3806386</t>
  </si>
  <si>
    <t>Guarda-corpo e corrimão metálico para passarelas para pedestres - fornecimento e instalação</t>
  </si>
  <si>
    <t>3816196</t>
  </si>
  <si>
    <t>Injeção de nata de cimento</t>
  </si>
  <si>
    <t>3806426</t>
  </si>
  <si>
    <t>Lançamento de pré-laje com utilização de guindauto</t>
  </si>
  <si>
    <t>t</t>
  </si>
  <si>
    <t>3806401</t>
  </si>
  <si>
    <t>Lançamento de superestrutura de passarela metálica de 12 a 24 t com utilização de guindaste</t>
  </si>
  <si>
    <t>3806423</t>
  </si>
  <si>
    <t>Lançamento de viga pré-moldada de 1.000 a 1.250 kN com utilização de guindaste</t>
  </si>
  <si>
    <t>3806421</t>
  </si>
  <si>
    <t>Lançamento de viga pré-moldada de 500 a 750 kN com utilização de guindaste</t>
  </si>
  <si>
    <t>3806422</t>
  </si>
  <si>
    <t>Lançamento de viga pré-moldada de 750 a 1.000 kN com utilização de guindaste</t>
  </si>
  <si>
    <t>3806425</t>
  </si>
  <si>
    <t>Lançamento de viga pré-moldada de 980 a 1.225 kN com utilização de treliça lançadeira</t>
  </si>
  <si>
    <t>3806424</t>
  </si>
  <si>
    <t>Lançamento de viga pré-moldada de 980 a 1.225 kN com utilização de treliça lançadeira e carrelone</t>
  </si>
  <si>
    <t>3806420</t>
  </si>
  <si>
    <t>Lançamento de viga pré-moldada de até 500 kN com utilização de guindaste</t>
  </si>
  <si>
    <t>3806405</t>
  </si>
  <si>
    <t>Limpeza de aparelhos de apoio em obras de arte especiais - exclusa a plataforma</t>
  </si>
  <si>
    <t>3806404</t>
  </si>
  <si>
    <t>Limpeza de material retido em fundações submersas de obras de arte especiais</t>
  </si>
  <si>
    <t>3806406</t>
  </si>
  <si>
    <t>Limpeza em junta de dilatação</t>
  </si>
  <si>
    <t>3806403</t>
  </si>
  <si>
    <t>Limpeza em superfície de concreto com jateamento abrasivo com uso de granalhas de aço</t>
  </si>
  <si>
    <t>3806402</t>
  </si>
  <si>
    <t>Limpeza em superfície de concreto com jateamento d'água sob pressão</t>
  </si>
  <si>
    <t>3806407</t>
  </si>
  <si>
    <t>Pingadeira de elastômero perfil 40 x 40 mm com aba inclinada e fixada com adesivo estrutural e pinos - fornecimento e instalação - exclusa a plataforma</t>
  </si>
  <si>
    <t>3808043</t>
  </si>
  <si>
    <t>Pintura manual com nata de cimento - 3 demãos</t>
  </si>
  <si>
    <t>3806431</t>
  </si>
  <si>
    <t>Placa de aço de apoio para protensão externa em reforço de viga de OAE - confecção e instalação</t>
  </si>
  <si>
    <t>3806432</t>
  </si>
  <si>
    <t>Placa de aço de desvio para protensão externa em reforço de viga de OAE - confecção e instalação</t>
  </si>
  <si>
    <t>3806429</t>
  </si>
  <si>
    <t>Plataforma de trabalho em aço tubular apoiada no solo - altura de 4 a 6 m - utilização de 100 vezes - fornecimento, instalação e retirada</t>
  </si>
  <si>
    <t>3806430</t>
  </si>
  <si>
    <t>Plataforma de trabalho em aço tubular apoiada no solo - altura de 6 a 8 m - utilização de 100 vezes - fornecimento, instalação e retirada</t>
  </si>
  <si>
    <t>3806428</t>
  </si>
  <si>
    <t>Plataforma de trabalho em aço tubular apoiada no solo - altura de até 4 m - utilização de 100 vezes - fornecimento, instalação e retirada</t>
  </si>
  <si>
    <t>3816198</t>
  </si>
  <si>
    <t>Plataforma de trabalho em madeira apoiada no solo - altura de 6 a 12 m - utilização de 5 vezes - confecção, instalação e retirada</t>
  </si>
  <si>
    <t>3816197</t>
  </si>
  <si>
    <t>Plataforma de trabalho em madeira apoiada no solo - altura de até 6 m - utilização de 5 vezes - confecção, instalação e retirada</t>
  </si>
  <si>
    <t>3806410</t>
  </si>
  <si>
    <t>Plataforma de trabalho suspensa sob tabuleiro de pontes com treliças metálicas e tábuas - utilização de 100 vezes - confecção, instalação e retirada</t>
  </si>
  <si>
    <t>3806411</t>
  </si>
  <si>
    <t>Plataforma mecanizada de inspeção sob pontes com capacidade de 500 kg e alcance de 15 m</t>
  </si>
  <si>
    <t>3815644</t>
  </si>
  <si>
    <t>Recomposição de dreno em tubo de aço galvanizado D = 100 mm em OAE - fornecimento e instalação</t>
  </si>
  <si>
    <t>3815643</t>
  </si>
  <si>
    <t>Recomposição de dreno em tubo de aço galvanizado D = 80 mm em OAE - fornecimento e instalação</t>
  </si>
  <si>
    <t>3815706</t>
  </si>
  <si>
    <t>Recomposição de guarda-corpo com agregados comerciais - instalação</t>
  </si>
  <si>
    <t>3815597</t>
  </si>
  <si>
    <t>Recomposição de guarda-corpo com agregados produzidos - instalação</t>
  </si>
  <si>
    <t>3815600</t>
  </si>
  <si>
    <t>Recuperação de guarda-corpo metálico em ambiente agressivo</t>
  </si>
  <si>
    <t>3815601</t>
  </si>
  <si>
    <t>Recuperação de guarda-corpo metálico em ambiente muito agressivo</t>
  </si>
  <si>
    <t>3815599</t>
  </si>
  <si>
    <t>Recuperação de guarda-corpo metálico em ambiente pouco agressivo</t>
  </si>
  <si>
    <t>3806414</t>
  </si>
  <si>
    <t>Remoção de concreto com jateamento d'água sob alta pressão</t>
  </si>
  <si>
    <t>3806409</t>
  </si>
  <si>
    <t>Restauração de berços de apoio para junta de dilatação - fornecimento e instalação</t>
  </si>
  <si>
    <t>3815602</t>
  </si>
  <si>
    <t>Substituição de junta de dilatação e lábios poliméricos - fornecimento e instalação</t>
  </si>
  <si>
    <t>4011444</t>
  </si>
  <si>
    <t>Areia asfalto a quente - faixa A - areia comercial</t>
  </si>
  <si>
    <t>4011443</t>
  </si>
  <si>
    <t>Areia asfalto a quente - faixa A - areia extraída</t>
  </si>
  <si>
    <t>4011446</t>
  </si>
  <si>
    <t>Areia asfalto a quente - faixa B - areia comercial</t>
  </si>
  <si>
    <t>4011445</t>
  </si>
  <si>
    <t>Areia asfalto a quente - faixa B - areia extraída</t>
  </si>
  <si>
    <t>4011448</t>
  </si>
  <si>
    <t>Areia asfalto a quente com asfalto polímero - faixa A - areia comercial</t>
  </si>
  <si>
    <t>4011447</t>
  </si>
  <si>
    <t>Areia asfalto a quente com asfalto polímero - faixa A - areia extraída</t>
  </si>
  <si>
    <t>4011450</t>
  </si>
  <si>
    <t>Areia asfalto a quente com asfalto polímero - faixa B - areia comercial</t>
  </si>
  <si>
    <t>4011449</t>
  </si>
  <si>
    <t>Areia asfalto a quente com asfalto polímero - faixa B - areia extraída</t>
  </si>
  <si>
    <t>4011452</t>
  </si>
  <si>
    <t>Areia asfalto a quente com asfalto polímero - faixa C - areia comercial</t>
  </si>
  <si>
    <t>4011451</t>
  </si>
  <si>
    <t>Areia asfalto a quente com asfalto polímero - faixa C - areia extraída</t>
  </si>
  <si>
    <t>4011219</t>
  </si>
  <si>
    <t>Base de solo estabilizado granulometricamente sem mistura com material de jazida - 100% Proctor modificado</t>
  </si>
  <si>
    <t>4011291</t>
  </si>
  <si>
    <t>Base de solo melhorado com 3% de cimento e mistura em usina com material de jazida - 100% Proctor modificado</t>
  </si>
  <si>
    <t>4011287</t>
  </si>
  <si>
    <t>Base de solo melhorado com 3% de cimento e mistura na pista com material de jazida - 100% Proctor modificado</t>
  </si>
  <si>
    <t>4011305</t>
  </si>
  <si>
    <t>Base de solo-cal com 7% de cal e mistura na pista com material de jazida - 100% Proctor intermediário</t>
  </si>
  <si>
    <t>4011221</t>
  </si>
  <si>
    <t>Base estabilizada granulometricamente com mistura de solos na pista com material de jazida - 100% Proctor modificado</t>
  </si>
  <si>
    <t>4011226</t>
  </si>
  <si>
    <t>Base estabilizada granulometricamente com mistura solo areia (70% - 30%) em usina com material de jazida e areia extraída - 100% Proctor modificado</t>
  </si>
  <si>
    <t>4011276</t>
  </si>
  <si>
    <t>Base ou sub-base de brita graduada com brita comercial - 100% Proctor modificado</t>
  </si>
  <si>
    <t>4011275</t>
  </si>
  <si>
    <t>Base ou sub-base de brita graduada com brita produzida - 100% Proctor modificado</t>
  </si>
  <si>
    <t>4011549</t>
  </si>
  <si>
    <t>Base ou sub-base de brita graduada executada com vibroacabadora - brita comercial - 100% Proctor modificado</t>
  </si>
  <si>
    <t>4011548</t>
  </si>
  <si>
    <t>Base ou sub-base de brita graduada executada com vibroacabadora - brita produzida - 100% Proctor modificado</t>
  </si>
  <si>
    <t>4011278</t>
  </si>
  <si>
    <t>Base ou sub-base de brita graduada tratada com cimento com brita comercial - 100% Proctor modificado</t>
  </si>
  <si>
    <t>4011277</t>
  </si>
  <si>
    <t>Base ou sub-base de brita graduada tratada com cimento com brita produzida - 100% Proctor modificado</t>
  </si>
  <si>
    <t>4011561</t>
  </si>
  <si>
    <t>Base ou sub-base de brita graduada tratada com cimento executada com vibroacabadora - brita comercial - 100% Proctor modificado</t>
  </si>
  <si>
    <t>4011560</t>
  </si>
  <si>
    <t>Base ou sub-base de brita graduada tratada com cimento executada com vibroacabadora - brita produzida - 100% Proctor modificado</t>
  </si>
  <si>
    <t>4011282</t>
  </si>
  <si>
    <t>Base ou sub-base de macadame hidráulico com brita comercial - 100% Proctor modificado</t>
  </si>
  <si>
    <t>4011281</t>
  </si>
  <si>
    <t>Base ou sub-base de macadame hidráulico com brita produzida - 100% Proctor modificado</t>
  </si>
  <si>
    <t>4011279</t>
  </si>
  <si>
    <t>Base ou sub-base de macadame seco com brita comercial - 100% Proctor modificado</t>
  </si>
  <si>
    <t>4011280</t>
  </si>
  <si>
    <t>Base ou sub-base de macadame seco com brita produzida - 100% Proctor modificado</t>
  </si>
  <si>
    <t>4011314</t>
  </si>
  <si>
    <t>Base ou sub-base de solo-cimento com 7% de cimento e mistura em usina com material de jazida - 100% Proctor normal</t>
  </si>
  <si>
    <t>4011315</t>
  </si>
  <si>
    <t>Base ou sub-base de solo-cimento com 7% de cimento e mistura na pista com material de jazida - 100% Proctor normal</t>
  </si>
  <si>
    <t>4011316</t>
  </si>
  <si>
    <t>Base ou sub-base estabilizada granulometricamente com mistura solo brita (70% - 30%) com 3% de cimento em usina com material de jazida e brita comercial - 100% Proctor modificado</t>
  </si>
  <si>
    <t>4011317</t>
  </si>
  <si>
    <t>Base ou sub-base estabilizada granulometricamente com mistura solo brita (70% - 30%) com 3% de cimento em usina com material de jazida e brita produzida - 100% Proctor modificado</t>
  </si>
  <si>
    <t>4011318</t>
  </si>
  <si>
    <t>Base ou sub-base estabilizada granulometricamente com mistura solo brita (70% - 30%) em usina com material de jazida e brita comercial - 100% Proctor modificado</t>
  </si>
  <si>
    <t>4011319</t>
  </si>
  <si>
    <t>Base ou sub-base estabilizada granulometricamente com mistura solo brita (70% - 30%) em usina com material de jazida e brita produzida - 100% Proctor modificado</t>
  </si>
  <si>
    <t>4011320</t>
  </si>
  <si>
    <t>Base ou sub-base estabilizada granulometricamente com mistura solo brita (70% - 30%) na pista com material de jazida e brita comercial - 100% Proctor modificado</t>
  </si>
  <si>
    <t>4011321</t>
  </si>
  <si>
    <t>Base ou sub-base estabilizada granulometricamente com mistura solo brita (70% - 30%) na pista com material de jazida e brita produzida - 100% Proctor modificado</t>
  </si>
  <si>
    <t>4011327</t>
  </si>
  <si>
    <t>Base ou sub-base estabilizada granulometricamente com mistura solo escória de aciaria (50%-50%) em usina com material de jazida - 100% Proctor intermediário</t>
  </si>
  <si>
    <t>4011325</t>
  </si>
  <si>
    <t>Base ou sub-base estabilizada granulometricamente com mistura solo escória de aciaria (50%-50%) na pista com material de jazida - 100% Proctor intermediário</t>
  </si>
  <si>
    <t>4011454</t>
  </si>
  <si>
    <t>Concreto asfáltico - faixa A-25 - areia e brita comerciais</t>
  </si>
  <si>
    <t>4011453</t>
  </si>
  <si>
    <t>Concreto asfáltico - faixa A-25 - areia extraída e brita produzida</t>
  </si>
  <si>
    <t>4011455</t>
  </si>
  <si>
    <t>Concreto asfáltico - faixa A-25 - massa comercial</t>
  </si>
  <si>
    <t>4011459</t>
  </si>
  <si>
    <t>Concreto asfáltico - faixa B-19 - areia e brita comerciais</t>
  </si>
  <si>
    <t>4011458</t>
  </si>
  <si>
    <t>Concreto asfáltico - faixa B-19 - areia extraída e brita produzida</t>
  </si>
  <si>
    <t>4011494</t>
  </si>
  <si>
    <t>Concreto asfáltico - faixa B-19 - massa comercial</t>
  </si>
  <si>
    <t>4011463</t>
  </si>
  <si>
    <t>Concreto asfáltico - faixa C-12,5 - areia e brita comerciais</t>
  </si>
  <si>
    <t>4011462</t>
  </si>
  <si>
    <t>Concreto asfáltico - faixa C-12,5 - areia extraída e brita produzida</t>
  </si>
  <si>
    <t>4011464</t>
  </si>
  <si>
    <t>Concreto asfáltico - faixa C-12,5 - massa comercial</t>
  </si>
  <si>
    <t>4011495</t>
  </si>
  <si>
    <t>Concreto asfáltico - faixa D-9,5 - areia e brita comerciais</t>
  </si>
  <si>
    <t>4011496</t>
  </si>
  <si>
    <t>Concreto asfáltico - faixa D-9,5 - areia extraída e brita produzida</t>
  </si>
  <si>
    <t>4011497</t>
  </si>
  <si>
    <t>Concreto asfáltico - faixa D-9,5 - massa comercial</t>
  </si>
  <si>
    <t>4011457</t>
  </si>
  <si>
    <t>Concreto asfáltico com asfalto polímero - faixa A - areia e brita comerciais</t>
  </si>
  <si>
    <t>4011456</t>
  </si>
  <si>
    <t>Concreto asfáltico com asfalto polímero - faixa A - areia extraída e brita produzida</t>
  </si>
  <si>
    <t>4011461</t>
  </si>
  <si>
    <t>Concreto asfáltico com asfalto polímero - faixa B - areia e brita comerciais</t>
  </si>
  <si>
    <t>4011460</t>
  </si>
  <si>
    <t>Concreto asfáltico com asfalto polímero - faixa B - areia extraída e brita produzida</t>
  </si>
  <si>
    <t>4011466</t>
  </si>
  <si>
    <t>Concreto asfáltico com asfalto polímero - faixa C - areia e brita comerciais</t>
  </si>
  <si>
    <t>4011465</t>
  </si>
  <si>
    <t>Concreto asfáltico com asfalto polímero - faixa C - areia extraída e brita produzida</t>
  </si>
  <si>
    <t>4011469</t>
  </si>
  <si>
    <t>Concreto asfáltico com borracha - faixa A - brita comercial</t>
  </si>
  <si>
    <t>4011473</t>
  </si>
  <si>
    <t>Concreto asfáltico com borracha - faixa A - brita produzida</t>
  </si>
  <si>
    <t>4011470</t>
  </si>
  <si>
    <t>Concreto asfáltico com borracha - faixa B - brita comercial</t>
  </si>
  <si>
    <t>4011474</t>
  </si>
  <si>
    <t>Concreto asfáltico com borracha - faixa B - brita produzida</t>
  </si>
  <si>
    <t>4011471</t>
  </si>
  <si>
    <t>Concreto asfáltico com borracha - faixa C - brita comercial</t>
  </si>
  <si>
    <t>4011475</t>
  </si>
  <si>
    <t>Concreto asfáltico com borracha - faixa C - brita produzida</t>
  </si>
  <si>
    <t>4011472</t>
  </si>
  <si>
    <t>Concreto asfáltico com borracha - faixa GAP GRADED - brita comercial</t>
  </si>
  <si>
    <t>4011476</t>
  </si>
  <si>
    <t>Concreto asfáltico com borracha - faixa GAP GRADED - brita produzida</t>
  </si>
  <si>
    <t>4011478</t>
  </si>
  <si>
    <t>Concreto asfáltico reciclado em usina com adição de asfalto - brita comercial</t>
  </si>
  <si>
    <t>4011477</t>
  </si>
  <si>
    <t>Concreto asfáltico reciclado em usina com adição de asfalto - brita produzida</t>
  </si>
  <si>
    <t>4011539</t>
  </si>
  <si>
    <t>Cura com pintura asfáltica para camadas granulares com adição de cimento</t>
  </si>
  <si>
    <t>4011538</t>
  </si>
  <si>
    <t>Cura com pintura asfáltica para pavimento de concreto compactado com rolo</t>
  </si>
  <si>
    <t>4016096</t>
  </si>
  <si>
    <t>Escavação e carga de material de jazida com escavadeira hidráulica de 1,56 m³</t>
  </si>
  <si>
    <t>4016008</t>
  </si>
  <si>
    <t>Escavação e carga de material de jazida com trator de 127 kW e carregadeira de 3,4 m³</t>
  </si>
  <si>
    <t>4016007</t>
  </si>
  <si>
    <t>Escavação e carga de material de jazida com trator de 97 kW e carregadeira de 1,72 m³</t>
  </si>
  <si>
    <t>4015612</t>
  </si>
  <si>
    <t>Execução de revestimento primário com material de jazida - 100% Proctor intermediário</t>
  </si>
  <si>
    <t>4011562</t>
  </si>
  <si>
    <t>Geogrelha bidirecional com resistência à tração de 30 kN/m - deformação &lt; 5% - malha de 36 x 34 mm - para reforço de base granular</t>
  </si>
  <si>
    <t>4011351</t>
  </si>
  <si>
    <t>Imprimação com asfalto diluído</t>
  </si>
  <si>
    <t>4011352</t>
  </si>
  <si>
    <t>Imprimação com emulsão asfáltica</t>
  </si>
  <si>
    <t>4011402</t>
  </si>
  <si>
    <t>Lama asfáltica - faixa I - areia e brita comerciais</t>
  </si>
  <si>
    <t>4011401</t>
  </si>
  <si>
    <t>Lama asfáltica - faixa I - areia extraída e brita produzida</t>
  </si>
  <si>
    <t>4011404</t>
  </si>
  <si>
    <t>Lama asfáltica - faixa II - areia e brita comerciais</t>
  </si>
  <si>
    <t>4011403</t>
  </si>
  <si>
    <t>Lama asfáltica - faixa II - areia extraída e brita produzida</t>
  </si>
  <si>
    <t>4011406</t>
  </si>
  <si>
    <t>Lama asfáltica - faixa III - areia e brita comerciais</t>
  </si>
  <si>
    <t>4011405</t>
  </si>
  <si>
    <t>Lama asfáltica - faixa III - areia extraída e brita produzida</t>
  </si>
  <si>
    <t>4011392</t>
  </si>
  <si>
    <t>Macadame betuminoso por penetração - faixa A - brita comercial</t>
  </si>
  <si>
    <t>4011391</t>
  </si>
  <si>
    <t>Macadame betuminoso por penetração - faixa A - brita produzida</t>
  </si>
  <si>
    <t>4011394</t>
  </si>
  <si>
    <t>Macadame betuminoso por penetração - faixa B - brita comercial</t>
  </si>
  <si>
    <t>4011393</t>
  </si>
  <si>
    <t>Macadame betuminoso por penetração - faixa B - brita produzida</t>
  </si>
  <si>
    <t>4011396</t>
  </si>
  <si>
    <t>Macadame betuminoso por penetração - faixa C - brita comercial</t>
  </si>
  <si>
    <t>4011395</t>
  </si>
  <si>
    <t>Macadame betuminoso por penetração - faixa C - brita produzida</t>
  </si>
  <si>
    <t>4011398</t>
  </si>
  <si>
    <t>Macadame betuminoso por penetração - faixa D - brita comercial</t>
  </si>
  <si>
    <t>4011397</t>
  </si>
  <si>
    <t>Macadame betuminoso por penetração - faixa D - brita produzida</t>
  </si>
  <si>
    <t>4011400</t>
  </si>
  <si>
    <t>Macadame betuminoso por penetração com asfalto com polímero - faixa A - brita comercial</t>
  </si>
  <si>
    <t>4011399</t>
  </si>
  <si>
    <t>Macadame betuminoso por penetração com asfalto com polímero - faixa A - brita produzida</t>
  </si>
  <si>
    <t>4011490</t>
  </si>
  <si>
    <t>Manta sintética para recapeamento asfáltico com geotêxtil RT - 09 - fornecimento e aplicação</t>
  </si>
  <si>
    <t>4011536</t>
  </si>
  <si>
    <t>Membrana plástica isolante e impermeabilizante com espessura de 0,2 mm - fornecimento e instalação</t>
  </si>
  <si>
    <t>4011415</t>
  </si>
  <si>
    <t>Micro pré-misturado a quente com asfalto polímero - brita comercial</t>
  </si>
  <si>
    <t>4011416</t>
  </si>
  <si>
    <t>Micro pré-misturado a quente com asfalto polímero - brita produzida</t>
  </si>
  <si>
    <t>4011408</t>
  </si>
  <si>
    <t>Microrrevestimento a frio com emulsão modificada com polímero de 0,8 cm - faixa II - brita comercial</t>
  </si>
  <si>
    <t>4011407</t>
  </si>
  <si>
    <t>Microrrevestimento a frio com emulsão modificada com polímero de 0,8 cm - faixa II - brita produzida</t>
  </si>
  <si>
    <t>4011410</t>
  </si>
  <si>
    <t>Microrrevestimento a frio com emulsão modificada com polímero de 1,5 cm - faixa III - brita comercial</t>
  </si>
  <si>
    <t>4011409</t>
  </si>
  <si>
    <t>Microrrevestimento a frio com emulsão modificada com polímero de 1,5 cm - faixa III - brita produzida</t>
  </si>
  <si>
    <t>4011412</t>
  </si>
  <si>
    <t>Microrrevestimento a frio com emulsão modificada com polímero de 2,0 cm - faixa III - brita comercial</t>
  </si>
  <si>
    <t>4011411</t>
  </si>
  <si>
    <t>Microrrevestimento a frio com emulsão modificada com polímero de 2,0 cm - faixa III - brita produzida</t>
  </si>
  <si>
    <t>4011520</t>
  </si>
  <si>
    <t>Pavimento de concreto com equipamento de pequeno porte - areia e brita comerciais</t>
  </si>
  <si>
    <t>4011507</t>
  </si>
  <si>
    <t>Pavimento de concreto com equipamento de pequeno porte - areia extraída e brita produzida</t>
  </si>
  <si>
    <t>4011535</t>
  </si>
  <si>
    <t>Pavimento de concreto com equipamento fôrma-trilho - areia e brita comerciais</t>
  </si>
  <si>
    <t>4011534</t>
  </si>
  <si>
    <t>Pavimento de concreto com equipamento fôrma-trilho - areia extraída e brita produzida</t>
  </si>
  <si>
    <t>4011533</t>
  </si>
  <si>
    <t>Pavimento de concreto com fôrmas deslizantes - areia e brita comerciais</t>
  </si>
  <si>
    <t>4011532</t>
  </si>
  <si>
    <t>Pavimento de concreto com fôrmas deslizantes - areia extraída e brita produzida</t>
  </si>
  <si>
    <t>4011492</t>
  </si>
  <si>
    <t>Pavimento de concreto compactado com rolo - brita comercial</t>
  </si>
  <si>
    <t>4011491</t>
  </si>
  <si>
    <t>Pavimento de concreto compactado com rolo - brita produzida</t>
  </si>
  <si>
    <t>4011353</t>
  </si>
  <si>
    <t>Pintura de ligação</t>
  </si>
  <si>
    <t>4011354</t>
  </si>
  <si>
    <t>Pintura de ligação - emulsão com polímero</t>
  </si>
  <si>
    <t>4011418</t>
  </si>
  <si>
    <t>Pré-misturado a frio - faixa A - areia e brita comerciais</t>
  </si>
  <si>
    <t>4011417</t>
  </si>
  <si>
    <t>Pré-misturado a frio - faixa A - areia extraída e brita produzida</t>
  </si>
  <si>
    <t>4011420</t>
  </si>
  <si>
    <t>Pré-misturado a frio - faixa B - areia e brita comerciais</t>
  </si>
  <si>
    <t>4011419</t>
  </si>
  <si>
    <t>Pré-misturado a frio - faixa B - areia extraída e brita produzida</t>
  </si>
  <si>
    <t>4011422</t>
  </si>
  <si>
    <t>Pré-misturado a frio - faixa C - areia e brita comerciais</t>
  </si>
  <si>
    <t>4011421</t>
  </si>
  <si>
    <t>Pré-misturado a frio - faixa C - areia extraída e brita produzida</t>
  </si>
  <si>
    <t>4011424</t>
  </si>
  <si>
    <t>Pré-misturado a frio - faixa D - areia e brita comerciais</t>
  </si>
  <si>
    <t>4011423</t>
  </si>
  <si>
    <t>Pré-misturado a frio - faixa D - areia extraída e brita produzida</t>
  </si>
  <si>
    <t>4011426</t>
  </si>
  <si>
    <t>Pré-misturado a frio com emulsão asfáltica com polímero - faixa A - areia e brita comerciais</t>
  </si>
  <si>
    <t>4011425</t>
  </si>
  <si>
    <t>Pré-misturado a frio com emulsão asfáltica com polímero - faixa A - areia extraída e brita produzida</t>
  </si>
  <si>
    <t>4011428</t>
  </si>
  <si>
    <t>Pré-misturado a frio com emulsão asfáltica com polímero - faixa B - areia e brita comerciais</t>
  </si>
  <si>
    <t>4011427</t>
  </si>
  <si>
    <t>Pré-misturado a frio com emulsão asfáltica com polímero - faixa B - areia extraída e brita produzida</t>
  </si>
  <si>
    <t>4011430</t>
  </si>
  <si>
    <t>Pré-misturado a frio com emulsão asfáltica com polímero - faixa C - areia e brita comerciais</t>
  </si>
  <si>
    <t>4011429</t>
  </si>
  <si>
    <t>Pré-misturado a frio com emulsão asfáltica com polímero - faixa C - areia extraída e brita produzida</t>
  </si>
  <si>
    <t>4011432</t>
  </si>
  <si>
    <t>Pré-misturado a frio com emulsão asfáltica com polímero - faixa D - areia e brita comerciais</t>
  </si>
  <si>
    <t>4011431</t>
  </si>
  <si>
    <t>Pré-misturado a frio com emulsão asfáltica com polímero - faixa D - areia extraída e brita produzida</t>
  </si>
  <si>
    <t>4011434</t>
  </si>
  <si>
    <t>Pré-misturado a quente com asfalto polímero - faixa I - camada porosa de atrito - areia e brita comerciais</t>
  </si>
  <si>
    <t>4011433</t>
  </si>
  <si>
    <t>Pré-misturado a quente com asfalto polímero - faixa I - camada porosa de atrito - areia extraída e brita produzida</t>
  </si>
  <si>
    <t>4011436</t>
  </si>
  <si>
    <t>Pré-misturado a quente com asfalto polímero - faixa II - camada porosa de atrito - areia e brita comerciais</t>
  </si>
  <si>
    <t>4011435</t>
  </si>
  <si>
    <t>Pré-misturado a quente com asfalto polímero - faixa II - camada porosa de atrito - areia extraída e brita produzida</t>
  </si>
  <si>
    <t>4011438</t>
  </si>
  <si>
    <t>Pré-misturado a quente com asfalto polímero - faixa III - camada porosa de atrito - areia e brita comerciais</t>
  </si>
  <si>
    <t>4011437</t>
  </si>
  <si>
    <t>Pré-misturado a quente com asfalto polímero - faixa III - camada porosa de atrito - areia extraída e brita produzida</t>
  </si>
  <si>
    <t>4011440</t>
  </si>
  <si>
    <t>Pré-misturado a quente com asfalto polímero - faixa IV - camada porosa de atrito - areia e brita comerciais</t>
  </si>
  <si>
    <t>4011439</t>
  </si>
  <si>
    <t>Pré-misturado a quente com asfalto polímero - faixa IV - camada porosa de atrito - areia extraída e brita produzida</t>
  </si>
  <si>
    <t>4011442</t>
  </si>
  <si>
    <t>Pré-misturado a quente com asfalto polímero - faixa V - camada porosa de atrito - areia e brita comerciais</t>
  </si>
  <si>
    <t>4011441</t>
  </si>
  <si>
    <t>Pré-misturado a quente com asfalto polímero - faixa V - camada porosa de atrito - areia extraída e brita produzida</t>
  </si>
  <si>
    <t>4011482</t>
  </si>
  <si>
    <t>Reciclagem com incorporação do revestimento asfáltico à base e adição de 3% de cimento - 100% Proctor modificado</t>
  </si>
  <si>
    <t>4011486</t>
  </si>
  <si>
    <t>Reciclagem com incorporação do revestimento asfáltico à base e adição de 3% de cimento e de brita comercial - 100% Proctor modificado</t>
  </si>
  <si>
    <t>4011485</t>
  </si>
  <si>
    <t>Reciclagem com incorporação do revestimento asfáltico à base e adição de 3% de cimento e de brita produzida - 100% Proctor modificado</t>
  </si>
  <si>
    <t>4011484</t>
  </si>
  <si>
    <t>Reciclagem com incorporação do revestimento asfáltico à base e adição de brita comercial - 100% Proctor modificado</t>
  </si>
  <si>
    <t>4011483</t>
  </si>
  <si>
    <t>Reciclagem com incorporação do revestimento asfáltico à base e adição de brita produzida - 100% Proctor modificado</t>
  </si>
  <si>
    <t>4011488</t>
  </si>
  <si>
    <t>Reciclagem com incorporação do revestimento asfáltico à base e adição de espuma asfáltica e cimento - 100% Proctor modificado</t>
  </si>
  <si>
    <t>4011487</t>
  </si>
  <si>
    <t>Reciclagem com incorporação do revestimento asfáltico à base e adição de espuma asfáltica, cimento e pó de pedra comercial - 100% Proctor modificado</t>
  </si>
  <si>
    <t>4011489</t>
  </si>
  <si>
    <t>Reciclagem de revestimento asfáltico em usina com adição de espuma asfáltica, pó de pedra comercial e cimento - 100% Proctor modificado</t>
  </si>
  <si>
    <t>4011493</t>
  </si>
  <si>
    <t>Reciclagem de revestimento asfáltico em usina com adição de espuma asfáltica, pó de pedra produzido e cimento - 100% Proctor modificado</t>
  </si>
  <si>
    <t>4011481</t>
  </si>
  <si>
    <t>Reciclagem simples com incorporação do revestimento asfáltico à base - 100% Proctor modificado</t>
  </si>
  <si>
    <t>4011347</t>
  </si>
  <si>
    <t>Reestabilização de camada de base com adição de 3% de cimento - 100% Proctor modificado</t>
  </si>
  <si>
    <t>4011342</t>
  </si>
  <si>
    <t>Reestabilização de camada de base com adição de 30% de brita comercial - 100% Proctor modificado</t>
  </si>
  <si>
    <t>4011344</t>
  </si>
  <si>
    <t>Reestabilização de camada de base com adição de 30% de brita produzida - 100% Proctor modificado</t>
  </si>
  <si>
    <t>4011341</t>
  </si>
  <si>
    <t>Reestabilização de camada de base com adição de 30% de material fresado retirado da pista - 100% Proctor modificado</t>
  </si>
  <si>
    <t>4011346</t>
  </si>
  <si>
    <t>Reestabilização de camada de base sem adição de material - 100% Proctor modificado</t>
  </si>
  <si>
    <t>4011211</t>
  </si>
  <si>
    <t>Reforço do subleito com material de jazida - 100% Proctor intermediário</t>
  </si>
  <si>
    <t>4011304</t>
  </si>
  <si>
    <t>Reforço do subleito de solo melhorado com 4% de cal e mistura na pista com material de jazida - 100% Proctor intermediário</t>
  </si>
  <si>
    <t>4011209</t>
  </si>
  <si>
    <t>Regularização do subleito - 100% Proctor intermediário</t>
  </si>
  <si>
    <t>4011210</t>
  </si>
  <si>
    <t>Regularização do subleito com fresagem corte e controle automático de greide - 100% Proctor intermediário</t>
  </si>
  <si>
    <t>4011537</t>
  </si>
  <si>
    <t>Serragem de juntas em pavimento de concreto, limpeza e enchimento com selante a frio</t>
  </si>
  <si>
    <t>4011218</t>
  </si>
  <si>
    <t>Sub-base de concreto adensado por vibração - areia e brita comerciais</t>
  </si>
  <si>
    <t>4011217</t>
  </si>
  <si>
    <t>Sub-base de concreto adensado por vibração - areia extraída e brita produzida</t>
  </si>
  <si>
    <t>4011214</t>
  </si>
  <si>
    <t>Sub-base de concreto compactado com rolo - brita comercial</t>
  </si>
  <si>
    <t>4011213</t>
  </si>
  <si>
    <t>Sub-base de concreto compactado com rolo - brita produzida</t>
  </si>
  <si>
    <t>4011227</t>
  </si>
  <si>
    <t>Sub-base de solo estabilizado granulometricamente sem mistura com material de jazida - 100% Proctor intermediário</t>
  </si>
  <si>
    <t>4011302</t>
  </si>
  <si>
    <t>Sub-base de solo melhorado com 3% de cimento e mistura em usina com material de jazida - 100% Proctor intermediário</t>
  </si>
  <si>
    <t>4011300</t>
  </si>
  <si>
    <t>Sub-base de solo melhorado com 3% de cimento e mistura na pista com material de jazida - 100% Proctor intermediário</t>
  </si>
  <si>
    <t>4011306</t>
  </si>
  <si>
    <t>Sub-base de solo-cal com 7% de cal e mistura na pista com material de jazida - 100% Proctor normal</t>
  </si>
  <si>
    <t>4011228</t>
  </si>
  <si>
    <t>Sub-base estabilizada granulometricamente com mistura de solos na pista com material de jazida - 100% Proctor intermediário</t>
  </si>
  <si>
    <t>4011229</t>
  </si>
  <si>
    <t>Sub-base estabilizada granulometricamente com mistura solo areia (70% - 30%) em usina com material de jazida e areia extraída - 100% Proctor intermediário</t>
  </si>
  <si>
    <t>4011372</t>
  </si>
  <si>
    <t>Tratamento superficial duplo com banho diluído - brita comercial</t>
  </si>
  <si>
    <t>4011371</t>
  </si>
  <si>
    <t>Tratamento superficial duplo com banho diluído - brita produzida</t>
  </si>
  <si>
    <t>4011378</t>
  </si>
  <si>
    <t>Tratamento superficial duplo com banho diluído com emulsão com polímero - brita comercial</t>
  </si>
  <si>
    <t>4011377</t>
  </si>
  <si>
    <t>Tratamento superficial duplo com banho diluído com emulsão com polímero - brita produzida</t>
  </si>
  <si>
    <t>4011368</t>
  </si>
  <si>
    <t>Tratamento superficial duplo com CAP - brita comercial</t>
  </si>
  <si>
    <t>4011367</t>
  </si>
  <si>
    <t>Tratamento superficial duplo com CAP - brita produzida</t>
  </si>
  <si>
    <t>4011374</t>
  </si>
  <si>
    <t>Tratamento superficial duplo com CAP com polímero - brita comercial</t>
  </si>
  <si>
    <t>4011373</t>
  </si>
  <si>
    <t>Tratamento superficial duplo com CAP com polímero - brita produzida</t>
  </si>
  <si>
    <t>4011370</t>
  </si>
  <si>
    <t>Tratamento superficial duplo com emulsão - brita comercial</t>
  </si>
  <si>
    <t>4011369</t>
  </si>
  <si>
    <t>Tratamento superficial duplo com emulsão - brita produzida</t>
  </si>
  <si>
    <t>4011376</t>
  </si>
  <si>
    <t>Tratamento superficial duplo com emulsão com polímero - brita comercial</t>
  </si>
  <si>
    <t>4011375</t>
  </si>
  <si>
    <t>Tratamento superficial duplo com emulsão com polímero - brita produzida</t>
  </si>
  <si>
    <t>4011360</t>
  </si>
  <si>
    <t>Tratamento superficial simples com banho diluído - brita comercial</t>
  </si>
  <si>
    <t>4011359</t>
  </si>
  <si>
    <t>Tratamento superficial simples com banho diluído - brita produzida</t>
  </si>
  <si>
    <t>4011366</t>
  </si>
  <si>
    <t>Tratamento superficial simples com banho diluído com emulsão com polímero - brita comercial</t>
  </si>
  <si>
    <t>4011365</t>
  </si>
  <si>
    <t>Tratamento superficial simples com banho diluído com emulsão com polímero - brita produzida</t>
  </si>
  <si>
    <t>4011356</t>
  </si>
  <si>
    <t>Tratamento superficial simples com CAP - brita comercial</t>
  </si>
  <si>
    <t>4011355</t>
  </si>
  <si>
    <t>Tratamento superficial simples com CAP - brita produzida</t>
  </si>
  <si>
    <t>4011362</t>
  </si>
  <si>
    <t>Tratamento superficial simples com CAP com polímero - brita comercial</t>
  </si>
  <si>
    <t>4011361</t>
  </si>
  <si>
    <t>Tratamento superficial simples com CAP com polímero - brita produzida</t>
  </si>
  <si>
    <t>4011358</t>
  </si>
  <si>
    <t>Tratamento superficial simples com emulsão - brita comercial</t>
  </si>
  <si>
    <t>4011357</t>
  </si>
  <si>
    <t>Tratamento superficial simples com emulsão - brita produzida</t>
  </si>
  <si>
    <t>4011364</t>
  </si>
  <si>
    <t>Tratamento superficial simples com emulsão com polímero - brita comercial</t>
  </si>
  <si>
    <t>4011363</t>
  </si>
  <si>
    <t>Tratamento superficial simples com emulsão com polímero - brita produzida</t>
  </si>
  <si>
    <t>4011384</t>
  </si>
  <si>
    <t>Tratamento superficial triplo com banho diluído - brita comercial</t>
  </si>
  <si>
    <t>4011383</t>
  </si>
  <si>
    <t>Tratamento superficial triplo com banho diluído - brita produzida</t>
  </si>
  <si>
    <t>4011390</t>
  </si>
  <si>
    <t>Tratamento superficial triplo com banho diluído - emulsão com polímero - brita comercial</t>
  </si>
  <si>
    <t>4011389</t>
  </si>
  <si>
    <t>Tratamento superficial triplo com banho diluído - emulsão com polímero - brita produzida</t>
  </si>
  <si>
    <t>4011380</t>
  </si>
  <si>
    <t>Tratamento superficial triplo com CAP - brita comercial</t>
  </si>
  <si>
    <t>4011379</t>
  </si>
  <si>
    <t>Tratamento superficial triplo com CAP - brita produzida</t>
  </si>
  <si>
    <t>4011386</t>
  </si>
  <si>
    <t>Tratamento superficial triplo com CAP com polímero - brita comercial</t>
  </si>
  <si>
    <t>4011385</t>
  </si>
  <si>
    <t>Tratamento superficial triplo com CAP com polímero - brita produzida</t>
  </si>
  <si>
    <t>4011382</t>
  </si>
  <si>
    <t>Tratamento superficial triplo com emulsão - brita comercial</t>
  </si>
  <si>
    <t>4011381</t>
  </si>
  <si>
    <t>Tratamento superficial triplo com emulsão - brita produzida</t>
  </si>
  <si>
    <t>4011388</t>
  </si>
  <si>
    <t>Tratamento superficial triplo com emulsão com polímero - brita comercial</t>
  </si>
  <si>
    <t>4011387</t>
  </si>
  <si>
    <t>Tratamento superficial triplo com emulsão com polímero - brita produzida</t>
  </si>
  <si>
    <t>4011212</t>
  </si>
  <si>
    <t>Varredura da superfície para execução de revestimento asfáltico</t>
  </si>
  <si>
    <t>4208197</t>
  </si>
  <si>
    <t>Ancoragem fixa para estais de 12 cordoalhas D = 15,7 mm - inclusive injeção de cera</t>
  </si>
  <si>
    <t>4208158</t>
  </si>
  <si>
    <t>Ancoragem fixa para estais de 19 cordoalhas D = 15,7 mm - inclusive injeção de cera</t>
  </si>
  <si>
    <t>4208198</t>
  </si>
  <si>
    <t>Ancoragem fixa para estais de 22 cordoalhas D = 15,7 mm - inclusive injeção de cera</t>
  </si>
  <si>
    <t>4208159</t>
  </si>
  <si>
    <t>Ancoragem fixa para estais de 31 cordoalhas D = 15,7 mm - inclusive injeção de cera</t>
  </si>
  <si>
    <t>4208160</t>
  </si>
  <si>
    <t>Ancoragem fixa para estais de 37 cordoalhas D = 15,7 mm - inclusive injeção de cera</t>
  </si>
  <si>
    <t>4208199</t>
  </si>
  <si>
    <t>Ancoragem fixa para estais de 43 cordoalhas D = 15,7 mm - inclusive injeção de cera</t>
  </si>
  <si>
    <t>4208161</t>
  </si>
  <si>
    <t>Ancoragem fixa para estais de 55 cordoalhas D = 15,7 mm - inclusive injeção de cera</t>
  </si>
  <si>
    <t>4208162</t>
  </si>
  <si>
    <t>Ancoragem fixa para estais de 61 cordoalhas D = 15,7 mm - inclusive injeção de cera</t>
  </si>
  <si>
    <t>4208163</t>
  </si>
  <si>
    <t>Ancoragem fixa para estais de 73 cordoalhas D = 15,7 mm - inclusive injeção de cera</t>
  </si>
  <si>
    <t>4208200</t>
  </si>
  <si>
    <t>Ancoragem fixa para estais de 85 cordoalhas D = 15,7 mm - inclusive injeção de cera</t>
  </si>
  <si>
    <t>4208164</t>
  </si>
  <si>
    <t>Ancoragem fixa para estais de 91 cordoalhas D = 15,7 mm - inclusive injeção de cera</t>
  </si>
  <si>
    <t>4208201</t>
  </si>
  <si>
    <t>Ancoragem regulável para estais de 12 cordoalhas D = 15,7 mm - inclusive protensão, injeção de cera e regulagem final</t>
  </si>
  <si>
    <t>4208151</t>
  </si>
  <si>
    <t>Ancoragem regulável para estais de 19 cordoalhas D = 15,7 mm - inclusive protensão, injeção de cera e regulagem final</t>
  </si>
  <si>
    <t>4208202</t>
  </si>
  <si>
    <t>Ancoragem regulável para estais de 22 cordoalhas D = 15,7 mm - inclusive protensão, injeção de cera e regulagem final</t>
  </si>
  <si>
    <t>4208152</t>
  </si>
  <si>
    <t>Ancoragem regulável para estais de 31 cordoalhas D = 15,7 mm - inclusive protensão, injeção de cera e regulagem final</t>
  </si>
  <si>
    <t>4208153</t>
  </si>
  <si>
    <t>Ancoragem regulável para estais de 37 cordoalhas D = 15,7 mm - inclusive protensão, injeção de cera e regulagem final</t>
  </si>
  <si>
    <t>4208203</t>
  </si>
  <si>
    <t>Ancoragem regulável para estais de 43 cordoalhas D = 15,7 mm - inclusive protensão, injeção de cera e regulagem final</t>
  </si>
  <si>
    <t>4208154</t>
  </si>
  <si>
    <t>Ancoragem regulável para estais de 55 cordoalhas D = 15,7 mm - inclusive protensão, injeção de cera e regulagem final</t>
  </si>
  <si>
    <t>4208155</t>
  </si>
  <si>
    <t>Ancoragem regulável para estais de 61 cordoalhas D = 15,7 mm - inclusive protensão, injeção de cera e regulagem final</t>
  </si>
  <si>
    <t>4208156</t>
  </si>
  <si>
    <t>Ancoragem regulável para estais de 73 cordoalhas D = 15,7 mm - inclusive protensão, injeção de cera e regulagem final</t>
  </si>
  <si>
    <t>4208204</t>
  </si>
  <si>
    <t>Ancoragem regulável para estais de 85 cordoalhas D = 15,7 mm - inclusive protensão, injeção de cera e regulagem final</t>
  </si>
  <si>
    <t>4208157</t>
  </si>
  <si>
    <t>Ancoragem regulável para estais de 91 cordoalhas D = 15,7 mm - inclusive protensão, injeção de cera e regulagem final</t>
  </si>
  <si>
    <t>4208127</t>
  </si>
  <si>
    <t>Cordoalha para estais CP 177 RB D = 15,7 mm - fornecimento, preparo e colocação</t>
  </si>
  <si>
    <t>4208196</t>
  </si>
  <si>
    <t>Elevador de cremalheira - ascensão e ancoragem da torre a partir de 16 m com cada elevação de até 9 m - utilização de 50 vezes - inclusive desmontagem</t>
  </si>
  <si>
    <t>4208209</t>
  </si>
  <si>
    <t>Elevador de cremalheira - montagem e desmontagem até a altura de 16 m - exceto fundações</t>
  </si>
  <si>
    <t>4208206</t>
  </si>
  <si>
    <t>Elevador de cremalheira com cabine simples, com capacidade de 1.500 kg e altura de até 100 m - operação</t>
  </si>
  <si>
    <t>4208210</t>
  </si>
  <si>
    <t>Grua fixa - montagem e desmontagem até a altura de 60 m - exceto fundações</t>
  </si>
  <si>
    <t>4208195</t>
  </si>
  <si>
    <t>Grua fixa - telescopagem e ancoragem da torre a partir de 60 m com cada elevação de até 18 m - inclusive desmontagem</t>
  </si>
  <si>
    <t>4208208</t>
  </si>
  <si>
    <t>Grua fixa com altura de 60 a 102 m, com alcance de 60 m e capacidade de 1.500 kg na ponta da lança - operação</t>
  </si>
  <si>
    <t>4208135</t>
  </si>
  <si>
    <t>Tubo antivandalismo em aço galvanizado para estais de 12 cordoalhas D = 15,7 mm - fornecimento e instalação</t>
  </si>
  <si>
    <t>4208136</t>
  </si>
  <si>
    <t>Tubo antivandalismo em aço galvanizado para estais de 19 cordoalhas D = 15,7 mm - fornecimento e instalação</t>
  </si>
  <si>
    <t>4208137</t>
  </si>
  <si>
    <t>Tubo antivandalismo em aço galvanizado para estais de 22 cordoalhas D = 15,7 mm - fornecimento e instalação</t>
  </si>
  <si>
    <t>4208138</t>
  </si>
  <si>
    <t>Tubo antivandalismo em aço galvanizado para estais de 31 cordoalhas D = 15,7 mm - fornecimento e instalação</t>
  </si>
  <si>
    <t>4208139</t>
  </si>
  <si>
    <t>Tubo antivandalismo em aço galvanizado para estais de 37 cordoalhas D = 15,7 mm - fornecimento e instalação</t>
  </si>
  <si>
    <t>4208140</t>
  </si>
  <si>
    <t>Tubo antivandalismo em aço galvanizado para estais de 43 cordoalhas D = 15,7 mm - fornecimento e instalação</t>
  </si>
  <si>
    <t>4208141</t>
  </si>
  <si>
    <t>Tubo antivandalismo em aço galvanizado para estais de 55 cordoalhas D = 15,7 mm - fornecimento e instalação</t>
  </si>
  <si>
    <t>4208212</t>
  </si>
  <si>
    <t>Tubo antivandalismo em aço galvanizado para estais de 61 cordoalhas D = 15,7 mm - fornecimento e instalação</t>
  </si>
  <si>
    <t>4208213</t>
  </si>
  <si>
    <t>Tubo antivandalismo em aço galvanizado para estais de 73 cordoalhas D = 15,7 mm - fornecimento e instalação</t>
  </si>
  <si>
    <t>4208214</t>
  </si>
  <si>
    <t>Tubo antivandalismo em aço galvanizado para estais de 85 cordoalhas D = 15,7 mm - fornecimento e instalação</t>
  </si>
  <si>
    <t>4208215</t>
  </si>
  <si>
    <t>Tubo antivandalismo em aço galvanizado para estais de 91 cordoalhas D = 15,7 mm - fornecimento e instalação</t>
  </si>
  <si>
    <t>4208216</t>
  </si>
  <si>
    <t>Tubo fôrma lado fixo em aço galvanizado para estais de 12 cordoalhas D = 15,7 mm - fornecimento e instalação</t>
  </si>
  <si>
    <t>4208217</t>
  </si>
  <si>
    <t>Tubo fôrma lado fixo em aço galvanizado para estais de 19 cordoalhas D = 15,7 mm - fornecimento e instalação</t>
  </si>
  <si>
    <t>4208218</t>
  </si>
  <si>
    <t>Tubo fôrma lado fixo em aço galvanizado para estais de 22 cordoalhas D = 15,7 mm - fornecimento e instalação</t>
  </si>
  <si>
    <t>4208219</t>
  </si>
  <si>
    <t>Tubo fôrma lado fixo em aço galvanizado para estais de 31 cordoalhas D = 15,7 mm - fornecimento e instalação</t>
  </si>
  <si>
    <t>4208220</t>
  </si>
  <si>
    <t>Tubo fôrma lado fixo em aço galvanizado para estais de 37 cordoalhas D = 15,7 mm - fornecimento e instalação</t>
  </si>
  <si>
    <t>4208221</t>
  </si>
  <si>
    <t>Tubo fôrma lado fixo em aço galvanizado para estais de 43 cordoalhas D = 15,7 mm - fornecimento e instalação</t>
  </si>
  <si>
    <t>4208222</t>
  </si>
  <si>
    <t>Tubo fôrma lado fixo em aço galvanizado para estais de 55 cordoalhas D = 15,7 mm - fornecimento e instalação</t>
  </si>
  <si>
    <t>4208223</t>
  </si>
  <si>
    <t>Tubo fôrma lado fixo em aço galvanizado para estais de 61 cordoalhas D = 15,7 mm - fornecimento e instalação</t>
  </si>
  <si>
    <t>4208224</t>
  </si>
  <si>
    <t>Tubo fôrma lado fixo em aço galvanizado para estais de 73 cordoalhas D = 15,7 mm - fornecimento e instalação</t>
  </si>
  <si>
    <t>4208225</t>
  </si>
  <si>
    <t>Tubo fôrma lado fixo em aço galvanizado para estais de 85 cordoalhas D = 15,7 mm - fornecimento e instalação</t>
  </si>
  <si>
    <t>4208226</t>
  </si>
  <si>
    <t>Tubo fôrma lado fixo em aço galvanizado para estais de 91 cordoalhas D = 15,7 mm - fornecimento e instalação</t>
  </si>
  <si>
    <t>4208227</t>
  </si>
  <si>
    <t>Tubo fôrma lado regulável em aço galvanizado para estais de 12 cordoalhas D = 15,7 mm - fornecimento e instalação</t>
  </si>
  <si>
    <t>4208228</t>
  </si>
  <si>
    <t>Tubo fôrma lado regulável em aço galvanizado para estais de 19 cordoalhas D = 15,7 mm - fornecimento e instalação</t>
  </si>
  <si>
    <t>4208229</t>
  </si>
  <si>
    <t>Tubo fôrma lado regulável em aço galvanizado para estais de 22 cordoalhas D = 15,7 mm - fornecimento e instalação</t>
  </si>
  <si>
    <t>4208230</t>
  </si>
  <si>
    <t>Tubo fôrma lado regulável em aço galvanizado para estais de 31 cordoalhas D = 15,7 mm - fornecimento e instalação</t>
  </si>
  <si>
    <t>4208231</t>
  </si>
  <si>
    <t>Tubo fôrma lado regulável em aço galvanizado para estais de 37 cordoalhas D = 15,7 mm - fornecimento e instalação</t>
  </si>
  <si>
    <t>4208232</t>
  </si>
  <si>
    <t>Tubo fôrma lado regulável em aço galvanizado para estais de 43 cordoalhas D = 15,7 mm - fornecimento e instalação</t>
  </si>
  <si>
    <t>4208233</t>
  </si>
  <si>
    <t>Tubo fôrma lado regulável em aço galvanizado para estais de 55 cordoalhas D = 15,7 mm - fornecimento e instalação</t>
  </si>
  <si>
    <t>4208234</t>
  </si>
  <si>
    <t>Tubo fôrma lado regulável em aço galvanizado para estais de 61 cordoalhas D = 15,7 mm - fornecimento e instalação</t>
  </si>
  <si>
    <t>4208235</t>
  </si>
  <si>
    <t>Tubo fôrma lado regulável em aço galvanizado para estais de 73 cordoalhas D = 15,7 mm - fornecimento e instalação</t>
  </si>
  <si>
    <t>4208236</t>
  </si>
  <si>
    <t>Tubo fôrma lado regulável em aço galvanizado para estais de 85 cordoalhas D = 15,7 mm - fornecimento e instalação</t>
  </si>
  <si>
    <t>4208237</t>
  </si>
  <si>
    <t>Tubo fôrma lado regulável em aço galvanizado para estais de 91 cordoalhas D = 15,7 mm - fornecimento e instalação</t>
  </si>
  <si>
    <t>4208128</t>
  </si>
  <si>
    <t>Tubo PEAD para estais - D = 110 mm - fornecimento e instalação</t>
  </si>
  <si>
    <t>4208129</t>
  </si>
  <si>
    <t>Tubo PEAD para estais - D = 140 mm - fornecimento e instalação</t>
  </si>
  <si>
    <t>4208130</t>
  </si>
  <si>
    <t>Tubo PEAD para estais - D = 160 mm - fornecimento e instalação</t>
  </si>
  <si>
    <t>4208131</t>
  </si>
  <si>
    <t>Tubo PEAD para estais - D = 180 mm - fornecimento e instalação</t>
  </si>
  <si>
    <t>4208132</t>
  </si>
  <si>
    <t>Tubo PEAD para estais - D = 200 mm - fornecimento e instalação</t>
  </si>
  <si>
    <t>4208133</t>
  </si>
  <si>
    <t>Tubo PEAD para estais - D = 225 mm - fornecimento e instalação</t>
  </si>
  <si>
    <t>4208134</t>
  </si>
  <si>
    <t>Tubo PEAD para estais - D = 250 mm - fornecimento e instalação</t>
  </si>
  <si>
    <t>4208238</t>
  </si>
  <si>
    <t>Tubo PEAD para estais - D = 280 mm - fornecimento e instalação</t>
  </si>
  <si>
    <t>4208239</t>
  </si>
  <si>
    <t>Tubo PEAD para estais - D = 315 mm - fornecimento e instalação</t>
  </si>
  <si>
    <t>4413920</t>
  </si>
  <si>
    <t>Adubação de cobertura por equipamento de hidrossemeadura em áreas de semeadura via seca ou de hidrossemeadura</t>
  </si>
  <si>
    <t>4413024</t>
  </si>
  <si>
    <t>Adubação manual de cobertura em áreas de enleivamento ou de plantio de mudas de gramíneas</t>
  </si>
  <si>
    <t>4413022</t>
  </si>
  <si>
    <t>Adubação manual de cobertura em áreas de semeadura via seca ou de hidrossemeadura</t>
  </si>
  <si>
    <t>4413020</t>
  </si>
  <si>
    <t>Barreira arbórea para tratamento acústico das áreas lindeiras da faixa de domínio – densidade de plantio de 1,0 m entre mudas</t>
  </si>
  <si>
    <t>4413013</t>
  </si>
  <si>
    <t>Cerca de passagem de fauna com tela de alambrado sobre mureta de blocos de concreto - H = 20 cm - mourões de madeira a cada 2,5 m e esticador a cada 50 m</t>
  </si>
  <si>
    <t>4413019</t>
  </si>
  <si>
    <t>Cerca viva para tratamento acústico das áreas lindeiras da faixa de domínio – densidade de plantio de 1,0 m entre mudas</t>
  </si>
  <si>
    <t>4413026</t>
  </si>
  <si>
    <t>Dique de bambu para controle de erosão de taludes</t>
  </si>
  <si>
    <t>4413996</t>
  </si>
  <si>
    <t>Enleivamento</t>
  </si>
  <si>
    <t>4413942</t>
  </si>
  <si>
    <t>Espalhamento de material em bota-fora</t>
  </si>
  <si>
    <t>4413018</t>
  </si>
  <si>
    <t>Fixação de tela eletrossoldada em talude para lançamento de argamassa ou concreto projetado</t>
  </si>
  <si>
    <t>4413905</t>
  </si>
  <si>
    <t>Hidrossemeadura</t>
  </si>
  <si>
    <t>4413987</t>
  </si>
  <si>
    <t>Irrigação de área plantada para proteção vegetal do corpo estradal</t>
  </si>
  <si>
    <t>4413995</t>
  </si>
  <si>
    <t>Obtenção de grama para replantio</t>
  </si>
  <si>
    <t>4413994</t>
  </si>
  <si>
    <t>Passagem aérea de animais com rede de cabos de aço e sisal apoiadas em 6 postes de concreto de 15 m - extensão total de 100 m</t>
  </si>
  <si>
    <t>4413200</t>
  </si>
  <si>
    <t>Plantio de grama comercial em placas</t>
  </si>
  <si>
    <t>4413990</t>
  </si>
  <si>
    <t>Plantio de muda de arbusto com altura até 0,50 m em cova de 0,40 x 0,40 x 0,40 m</t>
  </si>
  <si>
    <t>4413989</t>
  </si>
  <si>
    <t>Plantio de muda de árvore com altura de 0,30 a 0,80 m em cova de 0,60 x 0,60 x 0,60 m</t>
  </si>
  <si>
    <t>4413951</t>
  </si>
  <si>
    <t>Plantio de muda de árvore frutífera com altura até 1,00 m em cova de 0,60 x 0,60 x 0,60 m</t>
  </si>
  <si>
    <t>4413950</t>
  </si>
  <si>
    <t>Plantio de muda de árvore frutífera com altura de 1,00 a 2,00 m em cova de 0,60 x 0,60 x 0,60 m</t>
  </si>
  <si>
    <t>4413949</t>
  </si>
  <si>
    <t>Plantio de muda de árvore frutífera com altura de 2,00 a 3,00 m em cova de 0,60 x 0,60 x 0,60 m</t>
  </si>
  <si>
    <t>4413948</t>
  </si>
  <si>
    <t>Plantio de muda de árvore ornamental com altura até 1,00 m em cova de 0,60 x 0,60 x 0,60 m</t>
  </si>
  <si>
    <t>4413947</t>
  </si>
  <si>
    <t>Plantio de muda de árvore ornamental com altura de 1,00 a 2,00 m em cova de 0,60 x 0,60 x 0,60 m</t>
  </si>
  <si>
    <t>4413946</t>
  </si>
  <si>
    <t>Plantio de muda de árvore ornamental com altura de 2,00 a 3,00 m em cova de 0,60 x 0,60 x 0,60 m</t>
  </si>
  <si>
    <t>4413952</t>
  </si>
  <si>
    <t>Plantio de tapete de floríferas com altura até 0,50 m</t>
  </si>
  <si>
    <t>4413012</t>
  </si>
  <si>
    <t>Preenchimento de erosão em talude com terra vegetal e sementes de gramíneas ensacadas</t>
  </si>
  <si>
    <t>4413014</t>
  </si>
  <si>
    <t>Recuperação ambiental de pedreiras ou áreas degradadas com biomanta vegetal de fibras de coco</t>
  </si>
  <si>
    <t>4413016</t>
  </si>
  <si>
    <t>Recuperação ambiental de pedreiras ou áreas degradadas com biomanta vegetal de fibras de palha em áreas com inclinação máxima de 1:1,5</t>
  </si>
  <si>
    <t>4413984</t>
  </si>
  <si>
    <t>Regularização de bota-fora com espalhamento e compactação</t>
  </si>
  <si>
    <t>4413986</t>
  </si>
  <si>
    <t>Regularização de superfície com motoniveladora</t>
  </si>
  <si>
    <t>4413985</t>
  </si>
  <si>
    <t>Regularização manual de taludes de cortes e aterros</t>
  </si>
  <si>
    <t>4413017</t>
  </si>
  <si>
    <t>Retentores de sedimentos em fibras vegetais - D = 20 cm</t>
  </si>
  <si>
    <t>4415673</t>
  </si>
  <si>
    <t>Revestimento vegetal com grama em mudas em superfícies inclinadas</t>
  </si>
  <si>
    <t>4415684</t>
  </si>
  <si>
    <t>Revestimento vegetal com grama em mudas em superfícies planas</t>
  </si>
  <si>
    <t>4413993</t>
  </si>
  <si>
    <t>Revestimento vegetal por semeadura a lanço manual de gramíneas e leguminosas</t>
  </si>
  <si>
    <t>4507754</t>
  </si>
  <si>
    <t>Ancoragem ativa com 10 cordoalhas aderentes D = 12,7 mm - fornecimento e instalação</t>
  </si>
  <si>
    <t>4507738</t>
  </si>
  <si>
    <t>Ancoragem ativa com 10 cordoalhas aderentes D = 15,2 mm - fornecimento e instalação</t>
  </si>
  <si>
    <t>4507755</t>
  </si>
  <si>
    <t>Ancoragem ativa com 12 cordoalhas aderentes D = 12,7 mm - fornecimento e instalação</t>
  </si>
  <si>
    <t>4507756</t>
  </si>
  <si>
    <t>Ancoragem ativa com 12 cordoalhas aderentes D = 15,2 mm - fornecimento e instalação</t>
  </si>
  <si>
    <t>4507757</t>
  </si>
  <si>
    <t>Ancoragem ativa com 15 cordoalhas aderentes D = 12,7 mm - fornecimento e instalação</t>
  </si>
  <si>
    <t>4507758</t>
  </si>
  <si>
    <t>Ancoragem ativa com 15 cordoalhas aderentes D = 15,2 mm - fornecimento e instalação</t>
  </si>
  <si>
    <t>4507759</t>
  </si>
  <si>
    <t>Ancoragem ativa com 19 cordoalhas aderentes D = 12,7 mm - fornecimento e instalação</t>
  </si>
  <si>
    <t>4507760</t>
  </si>
  <si>
    <t>Ancoragem ativa com 19 cordoalhas aderentes D = 15,2 mm - fornecimento e instalação</t>
  </si>
  <si>
    <t>4507761</t>
  </si>
  <si>
    <t>Ancoragem ativa com 22 cordoalhas aderentes D = 12,7 mm - fornecimento e instalação</t>
  </si>
  <si>
    <t>4507762</t>
  </si>
  <si>
    <t>Ancoragem ativa com 22 cordoalhas aderentes D = 15,2 mm - fornecimento e instalação</t>
  </si>
  <si>
    <t>4507763</t>
  </si>
  <si>
    <t>Ancoragem ativa com 27 cordoalhas aderentes D = 12,7 mm - fornecimento e instalação</t>
  </si>
  <si>
    <t>4507764</t>
  </si>
  <si>
    <t>Ancoragem ativa com 27 cordoalhas aderentes D = 15,2 mm - fornecimento e instalação</t>
  </si>
  <si>
    <t>4507765</t>
  </si>
  <si>
    <t>Ancoragem ativa com 31 cordoalhas aderentes D = 12,7 mm - fornecimento e instalação</t>
  </si>
  <si>
    <t>4508192</t>
  </si>
  <si>
    <t>Ancoragem ativa com 31 cordoalhas aderentes D = 15,2 mm - fornecimento e instalação</t>
  </si>
  <si>
    <t>4507766</t>
  </si>
  <si>
    <t>Ancoragem ativa com 4 cordoalhas aderentes D = 12,7 mm - fornecimento e instalação</t>
  </si>
  <si>
    <t>4507767</t>
  </si>
  <si>
    <t>Ancoragem ativa com 4 cordoalhas aderentes D = 15,2 mm - fornecimento e instalação</t>
  </si>
  <si>
    <t>4507768</t>
  </si>
  <si>
    <t>Ancoragem ativa com 6 cordoalhas aderentes D = 12,7 mm - fornecimento e instalação</t>
  </si>
  <si>
    <t>4507769</t>
  </si>
  <si>
    <t>Ancoragem ativa com 6 cordoalhas aderentes D = 15,2 mm - fornecimento e instalação</t>
  </si>
  <si>
    <t>4507770</t>
  </si>
  <si>
    <t>Ancoragem ativa com 7 cordoalhas aderentes D = 12,7 mm - fornecimento e instalação</t>
  </si>
  <si>
    <t>4507771</t>
  </si>
  <si>
    <t>Ancoragem ativa com 7 cordoalhas aderentes D = 15,2 mm - fornecimento e instalação</t>
  </si>
  <si>
    <t>4507772</t>
  </si>
  <si>
    <t>Ancoragem ativa com 8 cordoalhas aderentes D = 12,7 mm - fornecimento e instalação</t>
  </si>
  <si>
    <t>4508193</t>
  </si>
  <si>
    <t>Ancoragem ativa com 8 cordoalhas aderentes D = 15,2 mm - fornecimento e instalação</t>
  </si>
  <si>
    <t>4507773</t>
  </si>
  <si>
    <t>Ancoragem ativa com 9 cordoalhas aderentes D = 12,7 mm - fornecimento e instalação</t>
  </si>
  <si>
    <t>4507774</t>
  </si>
  <si>
    <t>Ancoragem ativa com 9 cordoalhas aderentes D = 15,2 mm - fornecimento e instalação</t>
  </si>
  <si>
    <t>4507775</t>
  </si>
  <si>
    <t>Ancoragem ativa para lajes com 1 cordoalha aderente D = 12,7 mm - fornecimento e instalação</t>
  </si>
  <si>
    <t>4507776</t>
  </si>
  <si>
    <t>Ancoragem ativa para lajes com 1 cordoalha aderente D = 15,2 mm - fornecimento e instalação</t>
  </si>
  <si>
    <t>4507783</t>
  </si>
  <si>
    <t>Ancoragem ativa para lajes com 1 cordoalha engraxada D = 12,7 mm - fornecimento e instalação</t>
  </si>
  <si>
    <t>4507784</t>
  </si>
  <si>
    <t>Ancoragem ativa para lajes com 1 cordoalha engraxada D = 15,2 mm - fornecimento e instalação</t>
  </si>
  <si>
    <t>4507777</t>
  </si>
  <si>
    <t>Ancoragem ativa para lajes com 2 cordoalhas aderentes D = 12,7 mm - fornecimento e instalação</t>
  </si>
  <si>
    <t>4507778</t>
  </si>
  <si>
    <t>Ancoragem ativa para lajes com 2 cordoalhas aderentes D = 15,2 mm - fornecimento e instalação</t>
  </si>
  <si>
    <t>4507779</t>
  </si>
  <si>
    <t>Ancoragem ativa para lajes com 3 cordoalhas aderentes D = 12,7 mm - fornecimento e instalação</t>
  </si>
  <si>
    <t>4507780</t>
  </si>
  <si>
    <t>Ancoragem ativa para lajes com 3 cordoalhas aderentes D = 15,2 mm - fornecimento e instalação</t>
  </si>
  <si>
    <t>4507781</t>
  </si>
  <si>
    <t>Ancoragem ativa para lajes com 4 cordoalhas aderentes D = 12,7 mm - fornecimento e instalação</t>
  </si>
  <si>
    <t>4507782</t>
  </si>
  <si>
    <t>Ancoragem ativa para lajes com 4 cordoalhas aderentes D = 15,2 mm - fornecimento e instalação</t>
  </si>
  <si>
    <t>4507785</t>
  </si>
  <si>
    <t>Ancoragem passiva com 10 cordoalhas aderentes D = 12,7 mm - fornecimento e instalação</t>
  </si>
  <si>
    <t>4508194</t>
  </si>
  <si>
    <t>Ancoragem passiva com 10 cordoalhas aderentes D = 15,2 mm - fornecimento e instalação</t>
  </si>
  <si>
    <t>4507786</t>
  </si>
  <si>
    <t>Ancoragem passiva com 12 cordoalhas aderentes D = 12,7 mm - fornecimento e instalação</t>
  </si>
  <si>
    <t>4507787</t>
  </si>
  <si>
    <t>Ancoragem passiva com 12 cordoalhas aderentes D = 15,2 mm - fornecimento e instalação</t>
  </si>
  <si>
    <t>4507788</t>
  </si>
  <si>
    <t>Ancoragem passiva com 15 cordoalhas aderentes D = 12,7 mm - fornecimento e instalação</t>
  </si>
  <si>
    <t>4507789</t>
  </si>
  <si>
    <t>Ancoragem passiva com 15 cordoalhas aderentes D = 15,2 mm - fornecimento e instalação</t>
  </si>
  <si>
    <t>4507790</t>
  </si>
  <si>
    <t>Ancoragem passiva com 19 cordoalhas aderentes D = 12,7 mm - fornecimento e instalação</t>
  </si>
  <si>
    <t>4507791</t>
  </si>
  <si>
    <t>Ancoragem passiva com 19 cordoalhas aderentes D = 15,2 mm - fornecimento e instalação</t>
  </si>
  <si>
    <t>4507792</t>
  </si>
  <si>
    <t>Ancoragem passiva com 22 cordoalhas aderentes D = 12,7 mm - fornecimento e instalação</t>
  </si>
  <si>
    <t>4507793</t>
  </si>
  <si>
    <t>Ancoragem passiva com 22 cordoalhas aderentes D = 15,2 mm - fornecimento e instalação</t>
  </si>
  <si>
    <t>4507794</t>
  </si>
  <si>
    <t>Ancoragem passiva com 27 cordoalhas aderentes D = 12,7 mm - fornecimento e instalação</t>
  </si>
  <si>
    <t>4507795</t>
  </si>
  <si>
    <t>Ancoragem passiva com 27 cordoalhas aderentes D = 15,2 mm - fornecimento e instalação</t>
  </si>
  <si>
    <t>4507796</t>
  </si>
  <si>
    <t>Ancoragem passiva com 31 cordoalhas aderentes D = 12,7 mm - fornecimento e instalação</t>
  </si>
  <si>
    <t>4508190</t>
  </si>
  <si>
    <t>Ancoragem passiva com 31 cordoalhas aderentes D = 15,2 mm - fornecimento e instalação</t>
  </si>
  <si>
    <t>4507797</t>
  </si>
  <si>
    <t>Ancoragem passiva com 4 cordoalhas aderentes D = 12,7 mm - fornecimento e instalação</t>
  </si>
  <si>
    <t>4507798</t>
  </si>
  <si>
    <t>Ancoragem passiva com 4 cordoalhas aderentes D = 15,2 mm - fornecimento e instalação</t>
  </si>
  <si>
    <t>4507799</t>
  </si>
  <si>
    <t>Ancoragem passiva com 6 cordoalhas aderentes D = 12,7 mm - fornecimento e instalação</t>
  </si>
  <si>
    <t>4507800</t>
  </si>
  <si>
    <t>Ancoragem passiva com 6 cordoalhas aderentes D = 15,2 mm - fornecimento e instalação</t>
  </si>
  <si>
    <t>4507801</t>
  </si>
  <si>
    <t>Ancoragem passiva com 7 cordoalhas aderentes D = 12,7 mm - fornecimento e instalação</t>
  </si>
  <si>
    <t>4507802</t>
  </si>
  <si>
    <t>Ancoragem passiva com 7 cordoalhas aderentes D = 15,2 mm - fornecimento e instalação</t>
  </si>
  <si>
    <t>4507803</t>
  </si>
  <si>
    <t>Ancoragem passiva com 8 cordoalhas aderentes D = 12,7 mm - fornecimento e instalação</t>
  </si>
  <si>
    <t>4508191</t>
  </si>
  <si>
    <t>Ancoragem passiva com 8 cordoalhas aderentes D = 15,2 mm - fornecimento e instalação</t>
  </si>
  <si>
    <t>4507804</t>
  </si>
  <si>
    <t>Ancoragem passiva com 9 cordoalhas aderentes D = 12,7 mm - fornecimento e instalação</t>
  </si>
  <si>
    <t>4507805</t>
  </si>
  <si>
    <t>Ancoragem passiva com 9 cordoalhas aderentes D = 15,2 mm - fornecimento e instalação</t>
  </si>
  <si>
    <t>4507806</t>
  </si>
  <si>
    <t>Ancoragem passiva para lajes com 1 cordoalha aderente D = 12,7 mm - fornecimento e instalação</t>
  </si>
  <si>
    <t>4507807</t>
  </si>
  <si>
    <t>Ancoragem passiva para lajes com 1 cordoalha aderente D = 15,2 mm - fornecimento e instalação</t>
  </si>
  <si>
    <t>4507866</t>
  </si>
  <si>
    <t>Ancoragem passiva para lajes com 1 cordoalha engraxada D = 12,7 mm - fornecimento e instalação</t>
  </si>
  <si>
    <t>4507867</t>
  </si>
  <si>
    <t>Ancoragem passiva para lajes com 1 cordoalha engraxada D = 15,2 mm - fornecimento e instalação</t>
  </si>
  <si>
    <t>4507808</t>
  </si>
  <si>
    <t>Ancoragem passiva para lajes com 2 cordoalhas aderentes D = 12,7 mm - fornecimento e instalação</t>
  </si>
  <si>
    <t>4507809</t>
  </si>
  <si>
    <t>Ancoragem passiva para lajes com 2 cordoalhas aderentes D = 15,2 mm - fornecimento e instalação</t>
  </si>
  <si>
    <t>4507810</t>
  </si>
  <si>
    <t>Ancoragem passiva para lajes com 3 cordoalhas aderentes D = 12,7 mm - fornecimento e instalação</t>
  </si>
  <si>
    <t>4507811</t>
  </si>
  <si>
    <t>Ancoragem passiva para lajes com 3 cordoalhas aderentes D = 15,2 mm - fornecimento e instalação</t>
  </si>
  <si>
    <t>4507812</t>
  </si>
  <si>
    <t>Ancoragem passiva para lajes com 4 cordoalhas aderentes D = 12,7 mm - fornecimento e instalação</t>
  </si>
  <si>
    <t>4507813</t>
  </si>
  <si>
    <t>Ancoragem passiva para lajes com 4 cordoalhas aderentes D = 15,2 mm - fornecimento e instalação</t>
  </si>
  <si>
    <t>4507851</t>
  </si>
  <si>
    <t>Bainha metálica ovalizada seção 19 x 36 mm para 1 cordoalha D = 12,7 mm - fornecimento, instalação e injeção de nata de cimento</t>
  </si>
  <si>
    <t>4507852</t>
  </si>
  <si>
    <t>Bainha metálica ovalizada seção 19 x 36 mm para 2 cordoalhas D = 12,7 mm - fornecimento, instalação e injeção de nata de cimento</t>
  </si>
  <si>
    <t>4507853</t>
  </si>
  <si>
    <t>Bainha metálica ovalizada seção 19 x 48 mm para 3 cordoalhas D = 12,7 mm - fornecimento, instalação e injeção de nata de cimento</t>
  </si>
  <si>
    <t>4507854</t>
  </si>
  <si>
    <t>Bainha metálica ovalizada seção 19 x 62 mm para 4 cordoalhas D = 12,7 mm - fornecimento, instalação e injeção de nata de cimento</t>
  </si>
  <si>
    <t>4507855</t>
  </si>
  <si>
    <t>Bainha metálica ovalizada seção 22 x 32 mm para 1 cordoalha D = 15,2 mm - fornecimento, instalação e injeção de nata de cimento</t>
  </si>
  <si>
    <t>4507856</t>
  </si>
  <si>
    <t>Bainha metálica ovalizada seção 22 x 32 mm para 2 cordoalhas D = 15,2 mm - fornecimento, instalação e injeção de nata de cimento</t>
  </si>
  <si>
    <t>4507857</t>
  </si>
  <si>
    <t>Bainha metálica ovalizada seção 22 x 55 mm para 3 cordoalhas D = 15,2 mm - fornecimento, instalação e injeção de nata de cimento</t>
  </si>
  <si>
    <t>4507858</t>
  </si>
  <si>
    <t>Bainha metálica ovalizada seção 22 x 73 mm para 4 cordoalhas D = 15,2 mm - fornecimento, instalação e injeção de nata de cimento</t>
  </si>
  <si>
    <t>4508177</t>
  </si>
  <si>
    <t>Bainha metálica redonda D = 100 mm para 21 cordoalhas D = 15,2 mm - fornecimento, instalação e injeção de nata de cimento</t>
  </si>
  <si>
    <t>4508178</t>
  </si>
  <si>
    <t>Bainha metálica redonda D = 100 mm para 22 cordoalhas D = 15,2 mm - fornecimento, instalação e injeção de nata de cimento</t>
  </si>
  <si>
    <t>4507821</t>
  </si>
  <si>
    <t>Bainha metálica redonda D = 100 mm para 24 cordoalhas D = 15,2 mm - fornecimento, instalação e injeção de nata de cimento</t>
  </si>
  <si>
    <t>4507822</t>
  </si>
  <si>
    <t>Bainha metálica redonda D = 100 mm para 25 cordoalhas D = 15,2 mm - fornecimento, instalação e injeção de nata de cimento</t>
  </si>
  <si>
    <t>4507823</t>
  </si>
  <si>
    <t>Bainha metálica redonda D = 100 mm para 30 cordoalhas D = 12,7 mm - fornecimento, instalação e injeção de nata de cimento</t>
  </si>
  <si>
    <t>4508188</t>
  </si>
  <si>
    <t>Bainha metálica redonda D = 100 mm para 31 cordoalhas D = 12,7 mm - fornecimento, instalação e injeção de nata de cimento</t>
  </si>
  <si>
    <t>4507824</t>
  </si>
  <si>
    <t>Bainha metálica redonda D = 110 mm para 27 cordoalhas D = 15,2 mm - fornecimento, instalação e injeção de nata de cimento</t>
  </si>
  <si>
    <t>4507825</t>
  </si>
  <si>
    <t>Bainha metálica redonda D = 110 mm para 37 cordoalhas D = 12,7 mm - fornecimento, instalação e injeção de nata de cimento</t>
  </si>
  <si>
    <t>4507826</t>
  </si>
  <si>
    <t>Bainha metálica redonda D = 120 mm para 30 cordoalhas D = 15,2 mm - fornecimento, instalação e injeção de nata de cimento</t>
  </si>
  <si>
    <t>4508179</t>
  </si>
  <si>
    <t>Bainha metálica redonda D = 120 mm para 31 cordoalhas D = 15,2 mm - fornecimento, instalação e injeção de nata de cimento</t>
  </si>
  <si>
    <t>4507827</t>
  </si>
  <si>
    <t>Bainha metálica redonda D = 130 mm para 37 cordoalhas D = 15,2 mm - fornecimento, instalação e injeção de nata de cimento</t>
  </si>
  <si>
    <t>4508180</t>
  </si>
  <si>
    <t>Bainha metálica redonda D = 30 mm para 2 cordoalhas D = 12,7 mm - fornecimento, instalação e injeção de nata de cimento</t>
  </si>
  <si>
    <t>4507739</t>
  </si>
  <si>
    <t>Bainha metálica redonda D = 35 mm para 2 cordoalhas D = 15,2 mm - fornecimento, instalação e injeção de nata de cimento</t>
  </si>
  <si>
    <t>4508181</t>
  </si>
  <si>
    <t>Bainha metálica redonda D = 35 mm para 3 cordoalhas D = 12,7 mm - fornecimento, instalação e injeção de nata de cimento</t>
  </si>
  <si>
    <t>4508125</t>
  </si>
  <si>
    <t>Bainha metálica redonda D = 40 mm para 3 cordoalhas D = 15,2 mm - fornecimento, instalação e injeção de nata de cimento</t>
  </si>
  <si>
    <t>4507828</t>
  </si>
  <si>
    <t>Bainha metálica redonda D = 40 mm para 4 cordoalhas D = 12,7 mm - fornecimento, instalação e injeção de nata de cimento</t>
  </si>
  <si>
    <t>4507829</t>
  </si>
  <si>
    <t>Bainha metálica redonda D = 45 mm para 4 cordoalhas D = 15,2 mm - fornecimento, instalação e injeção de nata de cimento</t>
  </si>
  <si>
    <t>4508182</t>
  </si>
  <si>
    <t>Bainha metálica redonda D = 45 mm para 5 cordoalhas D = 12,7 mm - fornecimento, instalação e injeção de nata de cimento</t>
  </si>
  <si>
    <t>4508092</t>
  </si>
  <si>
    <t>Bainha metálica redonda D = 50 mm para 5 cordoalhas D = 15,2 mm - fornecimento, instalação e injeção de nata de cimento</t>
  </si>
  <si>
    <t>4507830</t>
  </si>
  <si>
    <t>Bainha metálica redonda D = 50 mm para 6 cordoalhas D = 12,7 mm - fornecimento, instalação e injeção de nata de cimento</t>
  </si>
  <si>
    <t>4508183</t>
  </si>
  <si>
    <t>Bainha metálica redonda D = 55 mm para 7 cordoalhas D = 12,7 mm - fornecimento, instalação e injeção de nata de cimento</t>
  </si>
  <si>
    <t>4507831</t>
  </si>
  <si>
    <t>Bainha metálica redonda D = 55 mm para 8 cordoalhas D = 12,7 mm - fornecimento, instalação e injeção de nata de cimento</t>
  </si>
  <si>
    <t>4507832</t>
  </si>
  <si>
    <t>Bainha metálica redonda D = 60 mm para 6 cordoalhas D = 15,2 mm - fornecimento, instalação e injeção de nata de cimento</t>
  </si>
  <si>
    <t>4507833</t>
  </si>
  <si>
    <t>Bainha metálica redonda D = 60 mm para 9 cordoalhas D = 12,7 mm - fornecimento, instalação e injeção de nata de cimento</t>
  </si>
  <si>
    <t>4507834</t>
  </si>
  <si>
    <t>Bainha metálica redonda D = 65 mm para 10 cordoalhas D = 12,7 mm - fornecimento, instalação e injeção de nata de cimento</t>
  </si>
  <si>
    <t>4508184</t>
  </si>
  <si>
    <t>Bainha metálica redonda D = 65 mm para 11 cordoalhas D = 12,7 mm - fornecimento, instalação e injeção de nata de cimento</t>
  </si>
  <si>
    <t>4507835</t>
  </si>
  <si>
    <t>Bainha metálica redonda D = 65 mm para 12 cordoalhas D = 12,7 mm - fornecimento, instalação e injeção de nata de cimento</t>
  </si>
  <si>
    <t>4508174</t>
  </si>
  <si>
    <t>Bainha metálica redonda D = 65 mm para 7 cordoalhas D = 15,2 mm - fornecimento, instalação e injeção de nata de cimento</t>
  </si>
  <si>
    <t>4507836</t>
  </si>
  <si>
    <t>Bainha metálica redonda D = 65 mm para 8 cordoalhas D = 15,2 mm - fornecimento, instalação e injeção de nata de cimento</t>
  </si>
  <si>
    <t>4507837</t>
  </si>
  <si>
    <t>Bainha metálica redonda D = 70 mm para 15 cordoalhas D = 12,7 mm - fornecimento, instalação e injeção de nata de cimento</t>
  </si>
  <si>
    <t>4507838</t>
  </si>
  <si>
    <t>Bainha metálica redonda D = 70 mm para 9 cordoalhas D = 15,2 mm - fornecimento, instalação e injeção de nata de cimento</t>
  </si>
  <si>
    <t>4507839</t>
  </si>
  <si>
    <t>Bainha metálica redonda D = 75 mm para 10 cordoalhas D = 15,2 mm - fornecimento, instalação e injeção de nata de cimento</t>
  </si>
  <si>
    <t>4508175</t>
  </si>
  <si>
    <t>Bainha metálica redonda D = 75 mm para 11 cordoalhas D = 15,2 mm - fornecimento, instalação e injeção de nata de cimento</t>
  </si>
  <si>
    <t>4507840</t>
  </si>
  <si>
    <t>Bainha metálica redonda D = 75 mm para 16 cordoalhas D = 12,7 mm - fornecimento, instalação e injeção de nata de cimento</t>
  </si>
  <si>
    <t>4507841</t>
  </si>
  <si>
    <t>Bainha metálica redonda D = 75 mm para 18 cordoalhas D = 12,7 mm - fornecimento, instalação e injeção de nata de cimento</t>
  </si>
  <si>
    <t>4507842</t>
  </si>
  <si>
    <t>Bainha metálica redonda D = 80 mm para 12 cordoalhas D = 15,2 mm - fornecimento, instalação e injeção de nata de cimento</t>
  </si>
  <si>
    <t>4508185</t>
  </si>
  <si>
    <t>Bainha metálica redonda D = 80 mm para 19 cordoalhas D = 12,7 mm - fornecimento, instalação e injeção de nata de cimento</t>
  </si>
  <si>
    <t>4507843</t>
  </si>
  <si>
    <t>Bainha metálica redonda D = 80 mm para 20 cordoalhas D = 12,7 mm - fornecimento, instalação e injeção de nata de cimento</t>
  </si>
  <si>
    <t>4507844</t>
  </si>
  <si>
    <t>Bainha metálica redonda D = 85 mm para 15 cordoalhas D = 15,2 mm - fornecimento, instalação e injeção de nata de cimento</t>
  </si>
  <si>
    <t>4508186</t>
  </si>
  <si>
    <t>Bainha metálica redonda D = 85 mm para 21 cordoalhas D = 12,7 mm - fornecimento, instalação e injeção de nata de cimento</t>
  </si>
  <si>
    <t>4508187</t>
  </si>
  <si>
    <t>Bainha metálica redonda D = 85 mm para 22 cordoalhas D = 12,7 mm - fornecimento, instalação e injeção de nata de cimento</t>
  </si>
  <si>
    <t>4507845</t>
  </si>
  <si>
    <t>Bainha metálica redonda D = 85 mm para 24 cordoalhas D = 12,7 mm - fornecimento, instalação e injeção de nata de cimento</t>
  </si>
  <si>
    <t>4507846</t>
  </si>
  <si>
    <t>Bainha metálica redonda D = 85 mm para 25 cordoalhas D = 12,7 mm - fornecimento, instalação e injeção de nata de cimento</t>
  </si>
  <si>
    <t>4507847</t>
  </si>
  <si>
    <t>Bainha metálica redonda D = 90 mm para 16 cordoalhas D = 15,2 mm - fornecimento, instalação e injeção de nata de cimento</t>
  </si>
  <si>
    <t>4507848</t>
  </si>
  <si>
    <t>Bainha metálica redonda D = 90 mm para 18 cordoalhas D = 15,2 mm - fornecimento, instalação e injeção de nata de cimento</t>
  </si>
  <si>
    <t>4507849</t>
  </si>
  <si>
    <t>Bainha metálica redonda D = 90 mm para 27 cordoalhas D = 12,7 mm - fornecimento, instalação e injeção de nata de cimento</t>
  </si>
  <si>
    <t>4508176</t>
  </si>
  <si>
    <t>Bainha metálica redonda D = 95 mm para 19 cordoalhas D = 15,2 mm - fornecimento, instalação e injeção de nata de cimento</t>
  </si>
  <si>
    <t>4507850</t>
  </si>
  <si>
    <t>Bainha metálica redonda D = 95 mm para 20 cordoalhas D = 15,2 mm - fornecimento, instalação e injeção de nata de cimento</t>
  </si>
  <si>
    <t>4507956</t>
  </si>
  <si>
    <t>Cordoalha CP 190 RB D = 12,7 mm - fornecimento e instalação</t>
  </si>
  <si>
    <t>4507957</t>
  </si>
  <si>
    <t>Cordoalha CP 190 RB D = 15,2 mm - fornecimento e instalação</t>
  </si>
  <si>
    <t>4507958</t>
  </si>
  <si>
    <t>Cordoalha engraxada CP 190 RB D = 12,7 mm - fornecimento e instalação</t>
  </si>
  <si>
    <t>4507959</t>
  </si>
  <si>
    <t>Cordoalha engraxada CP 190 RB D = 15,2 mm - fornecimento e instalação</t>
  </si>
  <si>
    <t>4516138</t>
  </si>
  <si>
    <t>Gaiola metálica em cantoneira para armazenamento e manipulação de cordoalha - confecção</t>
  </si>
  <si>
    <t>4516137</t>
  </si>
  <si>
    <t>Nicho de madeira para dispositivo de ancoragem de protensão - confecção e instalação</t>
  </si>
  <si>
    <t>4805755</t>
  </si>
  <si>
    <t>Apiloamento manual</t>
  </si>
  <si>
    <t>4805756</t>
  </si>
  <si>
    <t>Apiloamento manual de superfície com espessura de 15 cm</t>
  </si>
  <si>
    <t>4816020</t>
  </si>
  <si>
    <t>Areia extraída com draga de sucção tipo bomba</t>
  </si>
  <si>
    <t>4816019</t>
  </si>
  <si>
    <t>Areia extraída com escavadeira hidráulica de longo alcance</t>
  </si>
  <si>
    <t>4816018</t>
  </si>
  <si>
    <t>Areia extraída com trator e carregadeira</t>
  </si>
  <si>
    <t>4816012</t>
  </si>
  <si>
    <t>Brita produzida em central de britagem de 80 m³/h</t>
  </si>
  <si>
    <t>4815805</t>
  </si>
  <si>
    <t>Calandragem de chapa metálica com espessura de 3 mm</t>
  </si>
  <si>
    <t>4815802</t>
  </si>
  <si>
    <t>Calandragem de chapa metálica com espessura de 5 mm</t>
  </si>
  <si>
    <t>4805754</t>
  </si>
  <si>
    <t>Compactação manual com soquete vibratório</t>
  </si>
  <si>
    <t>4816145</t>
  </si>
  <si>
    <t>Confecção de canaleta meia cana D = 0,30 m - areia e brita comerciais</t>
  </si>
  <si>
    <t>4816144</t>
  </si>
  <si>
    <t>Confecção de canaleta meia cana D = 0,30 m - areia extraída e brita produzida</t>
  </si>
  <si>
    <t>4816147</t>
  </si>
  <si>
    <t>Confecção de canaleta meia cana D = 0,40 m - areia e brita comerciais</t>
  </si>
  <si>
    <t>4816146</t>
  </si>
  <si>
    <t>Confecção de canaleta meia cana D = 0,40 m - areia extraída e brita produzida</t>
  </si>
  <si>
    <t>4816121</t>
  </si>
  <si>
    <t>Confecção de tubos de concreto D = 0,20 m - areia e brita comerciais</t>
  </si>
  <si>
    <t>4816120</t>
  </si>
  <si>
    <t>Confecção de tubos de concreto D = 0,20 m - areia extraída e brita produzida</t>
  </si>
  <si>
    <t>4816123</t>
  </si>
  <si>
    <t>Confecção de tubos de concreto D = 0,30 m - areia e brita comerciais</t>
  </si>
  <si>
    <t>4816122</t>
  </si>
  <si>
    <t>Confecção de tubos de concreto D = 0,30 m - areia extraída e brita produzida</t>
  </si>
  <si>
    <t>4816125</t>
  </si>
  <si>
    <t>Confecção de tubos de concreto D = 0,40 m - areia e brita comerciais</t>
  </si>
  <si>
    <t>4816124</t>
  </si>
  <si>
    <t>Confecção de tubos de concreto D = 0,40 m - areia extraída e brita produzida</t>
  </si>
  <si>
    <t>4816022</t>
  </si>
  <si>
    <t>Confecção de tubos de concreto D = 0,50 m - areia e brita comerciais</t>
  </si>
  <si>
    <t>4816021</t>
  </si>
  <si>
    <t>Confecção de tubos de concreto D = 0,50 m - areia extraída e brita produzida</t>
  </si>
  <si>
    <t>4816106</t>
  </si>
  <si>
    <t>Confecção de tubos de concreto perfurado D = 0,20 m - areia e brita comerciais</t>
  </si>
  <si>
    <t>4816105</t>
  </si>
  <si>
    <t>Confecção de tubos de concreto perfurado D = 0,20 m - areia extraída e brita produzida</t>
  </si>
  <si>
    <t>4816108</t>
  </si>
  <si>
    <t>Confecção de tubos de concreto perfurado D = 0,30 m - areia e brita comerciais</t>
  </si>
  <si>
    <t>4816107</t>
  </si>
  <si>
    <t>Confecção de tubos de concreto perfurado D = 0,30 m - areia extraída e brita produzida</t>
  </si>
  <si>
    <t>4816110</t>
  </si>
  <si>
    <t>Confecção de tubos de concreto perfurado D = 0,40 m - areia e brita comerciais</t>
  </si>
  <si>
    <t>4816109</t>
  </si>
  <si>
    <t>Confecção de tubos de concreto perfurado D = 0,40 m - areia extraída e brita produzida</t>
  </si>
  <si>
    <t>4816100</t>
  </si>
  <si>
    <t>Confecção de tubos de concreto poroso D = 0,20 m - areia e brita comerciais</t>
  </si>
  <si>
    <t>4816099</t>
  </si>
  <si>
    <t>Confecção de tubos de concreto poroso D = 0,20 m - areia extraída e brita produzida</t>
  </si>
  <si>
    <t>4816102</t>
  </si>
  <si>
    <t>Confecção de tubos de concreto poroso D = 0,30 m - areia e brita comerciais</t>
  </si>
  <si>
    <t>4816101</t>
  </si>
  <si>
    <t>Confecção de tubos de concreto poroso D = 0,30 m - areia extraída e brita produzida</t>
  </si>
  <si>
    <t>4816104</t>
  </si>
  <si>
    <t>Confecção de tubos de concreto poroso D = 0,40 m - areia e brita comerciais</t>
  </si>
  <si>
    <t>4816103</t>
  </si>
  <si>
    <t>Confecção de tubos de concreto poroso D = 0,40 m - areia extraída e brita produzida</t>
  </si>
  <si>
    <t>4815804</t>
  </si>
  <si>
    <t>Dobramento de chapas de alumínio com espessura de 1,5 mm e comprimento de dobra de até 500 mm</t>
  </si>
  <si>
    <t>4816002</t>
  </si>
  <si>
    <t>Escavação de tunnel liner em material de 3ª categoria</t>
  </si>
  <si>
    <t>4805765</t>
  </si>
  <si>
    <t>Escavação de vala em material de 3ª categoria</t>
  </si>
  <si>
    <t>4816000</t>
  </si>
  <si>
    <t>Escavação manual de tunnel liner em material de 1ª categoria</t>
  </si>
  <si>
    <t>4816001</t>
  </si>
  <si>
    <t>Escavação manual de tunnel liner em material de 2ª categoria</t>
  </si>
  <si>
    <t>4805749</t>
  </si>
  <si>
    <t>Escavação manual de vala em material de 1ª categoria</t>
  </si>
  <si>
    <t>4805751</t>
  </si>
  <si>
    <t>Escavação manual em material de 1ª categoria na profundidade de 1 a 2 m</t>
  </si>
  <si>
    <t>4805752</t>
  </si>
  <si>
    <t>Escavação manual em material de 1ª categoria na profundidade de 2 a 3 m</t>
  </si>
  <si>
    <t>4805753</t>
  </si>
  <si>
    <t>Escavação manual em material de 1ª categoria na profundidade de 3 a 4 m</t>
  </si>
  <si>
    <t>4805750</t>
  </si>
  <si>
    <t>Escavação manual em material de 1ª categoria na profundidade de até 1 m</t>
  </si>
  <si>
    <t>4805767</t>
  </si>
  <si>
    <t>Escavação manual em material de 2ª categoria na profundidade de 1 a 2 m</t>
  </si>
  <si>
    <t>4805769</t>
  </si>
  <si>
    <t>Escavação manual em material de 2ª categoria na profundidade de 2 a 3 m</t>
  </si>
  <si>
    <t>4805770</t>
  </si>
  <si>
    <t>Escavação manual em material de 2ª categoria na profundidade de 3 a 4 m</t>
  </si>
  <si>
    <t>4805760</t>
  </si>
  <si>
    <t>Escavação manual em material de 2ª categoria na profundidade de até 1 m</t>
  </si>
  <si>
    <t>4805757</t>
  </si>
  <si>
    <t>Escavação mecânica de vala em material de 1ª categoria</t>
  </si>
  <si>
    <t>4805762</t>
  </si>
  <si>
    <t>Escavação mecânica de vala em material de 2ª categoria</t>
  </si>
  <si>
    <t>4806395</t>
  </si>
  <si>
    <t>Fixação de parafuso em estrutura metálica</t>
  </si>
  <si>
    <t>4816003</t>
  </si>
  <si>
    <t>Iluminação provisória para tunnel liner</t>
  </si>
  <si>
    <t>4816017</t>
  </si>
  <si>
    <t>Material pétreo produzido em britador de mandíbulas móvel - camada final de aterro em rocha</t>
  </si>
  <si>
    <t>4816023</t>
  </si>
  <si>
    <t>Operação de mergulho autônomo em profundidade de até 20 m</t>
  </si>
  <si>
    <t>4816025</t>
  </si>
  <si>
    <t>Operação de mergulho dependente em profundidade de 30 a 50 m - inclusive descompressão</t>
  </si>
  <si>
    <t>4816024</t>
  </si>
  <si>
    <t>Operação de mergulho dependente em profundidade de até 30 m - inclusive descompressão</t>
  </si>
  <si>
    <t>4816005</t>
  </si>
  <si>
    <t>Pedra de mão produzida manualmente</t>
  </si>
  <si>
    <t>4800400</t>
  </si>
  <si>
    <t>Preparo e regularização de terreno em desnível</t>
  </si>
  <si>
    <t>4816016</t>
  </si>
  <si>
    <t>Rachão ou pedra de mão produzida</t>
  </si>
  <si>
    <t>4800412</t>
  </si>
  <si>
    <t>Raspagem e limpeza de terreno plano</t>
  </si>
  <si>
    <t>4815671</t>
  </si>
  <si>
    <t>Reaterro e compactação com soquete vibratório</t>
  </si>
  <si>
    <t>4815803</t>
  </si>
  <si>
    <t>Rebordeamento de chapa metálica com espessura de 5 mm</t>
  </si>
  <si>
    <t>4816011</t>
  </si>
  <si>
    <t>Recarga de cilindro com ar respirável para atividades de mergulho</t>
  </si>
  <si>
    <t>4816014</t>
  </si>
  <si>
    <t>Rocha para britagem com perfuratriz manual</t>
  </si>
  <si>
    <t>4816010</t>
  </si>
  <si>
    <t>Rocha para britagem com perfuratriz sobre esteira</t>
  </si>
  <si>
    <t>4816015</t>
  </si>
  <si>
    <t>Rocha para britagem com perfuratriz sobre esteira - camada final de aterro em rocha</t>
  </si>
  <si>
    <t>4816119</t>
  </si>
  <si>
    <t>Selo de argila apiloado (solo local)</t>
  </si>
  <si>
    <t>4816004</t>
  </si>
  <si>
    <t>Ventilação provisória para tunnel liner</t>
  </si>
  <si>
    <t>4915652</t>
  </si>
  <si>
    <t>Bico de adesão para injeção de adesivo estrutural à base de resina epóxi - fornecimento, instalação e retirada</t>
  </si>
  <si>
    <t>4915651</t>
  </si>
  <si>
    <t>Bico de perfuração para injeção de adesivo estrutural à base de resina epóxi - fornecimento, instalação e retirada</t>
  </si>
  <si>
    <t>4915723</t>
  </si>
  <si>
    <t>Caiação manual com fixador de cal</t>
  </si>
  <si>
    <t>4915724</t>
  </si>
  <si>
    <t>Caiação mecanizada com fixador de cal</t>
  </si>
  <si>
    <t>4915637</t>
  </si>
  <si>
    <t>Capa selante - areia comercial</t>
  </si>
  <si>
    <t>4915779</t>
  </si>
  <si>
    <t>Capa selante - areia extraída</t>
  </si>
  <si>
    <t>4915638</t>
  </si>
  <si>
    <t>Capa selante - brita produzida</t>
  </si>
  <si>
    <t>4915636</t>
  </si>
  <si>
    <t>Capa selante - pedrisco comercial</t>
  </si>
  <si>
    <t>4915744</t>
  </si>
  <si>
    <t>Capina manual</t>
  </si>
  <si>
    <t>4915700</t>
  </si>
  <si>
    <t>Combate à exsudação - areia comercial</t>
  </si>
  <si>
    <t>4915590</t>
  </si>
  <si>
    <t>Combate à exsudação - areia extraída</t>
  </si>
  <si>
    <t>4915591</t>
  </si>
  <si>
    <t>Combate à exsudação - brita produzida</t>
  </si>
  <si>
    <t>4915701</t>
  </si>
  <si>
    <t>Combate à exsudação - pedrisco comercial</t>
  </si>
  <si>
    <t>4915703</t>
  </si>
  <si>
    <t>Correção de defeitos com mistura betuminosa</t>
  </si>
  <si>
    <t>4915705</t>
  </si>
  <si>
    <t>Correção de defeitos por fresagem descontínua do revestimento asfáltico - espessura de 5 cm</t>
  </si>
  <si>
    <t>4915743</t>
  </si>
  <si>
    <t>Corte e limpeza de áreas gramadas</t>
  </si>
  <si>
    <t>4915768</t>
  </si>
  <si>
    <t>Corte e remoção de árvores</t>
  </si>
  <si>
    <t>4915713</t>
  </si>
  <si>
    <t>Desobstrução de bueiro</t>
  </si>
  <si>
    <t>4915655</t>
  </si>
  <si>
    <t>Fresagem contínua de revestimento asfáltico - espessura de 3 cm</t>
  </si>
  <si>
    <t>4915656</t>
  </si>
  <si>
    <t>Fresagem contínua de revestimento asfáltico - espessura de 4 cm</t>
  </si>
  <si>
    <t>4915657</t>
  </si>
  <si>
    <t>Fresagem contínua de revestimento asfáltico - espessura de 5 cm</t>
  </si>
  <si>
    <t>4915658</t>
  </si>
  <si>
    <t>Fresagem contínua de revestimento asfáltico - espessura de 6 cm</t>
  </si>
  <si>
    <t>4915659</t>
  </si>
  <si>
    <t>Fresagem contínua de revestimento asfáltico - espessura de 7 cm</t>
  </si>
  <si>
    <t>4915660</t>
  </si>
  <si>
    <t>Fresagem contínua de revestimento asfáltico - espessura de 8 cm</t>
  </si>
  <si>
    <t>4915661</t>
  </si>
  <si>
    <t>Fresagem descontínua de revestimento asfáltico - espessura de 3 cm</t>
  </si>
  <si>
    <t>4915662</t>
  </si>
  <si>
    <t>Fresagem descontínua de revestimento asfáltico - espessura de 4 cm</t>
  </si>
  <si>
    <t>4915663</t>
  </si>
  <si>
    <t>Fresagem descontínua de revestimento asfáltico - espessura de 5 cm</t>
  </si>
  <si>
    <t>4915664</t>
  </si>
  <si>
    <t>Fresagem descontínua de revestimento asfáltico - espessura de 6 cm</t>
  </si>
  <si>
    <t>4915665</t>
  </si>
  <si>
    <t>Fresagem descontínua de revestimento asfáltico - espessura de 7 cm</t>
  </si>
  <si>
    <t>4915666</t>
  </si>
  <si>
    <t>Fresagem descontínua de revestimento asfáltico - espessura de 8 cm</t>
  </si>
  <si>
    <t>4915650</t>
  </si>
  <si>
    <t>Injeção de adesivo estrutural à base de resina epóxi de baixa viscosidade para tratamento de fissuras em estruturas de concreto - fornecimento e aplicação manual</t>
  </si>
  <si>
    <t>4915645</t>
  </si>
  <si>
    <t>Injeção de adesivo estrutural à base de resina epóxi de baixa viscosidade para tratamento de fissuras em estruturas de concreto - fornecimento e aplicação mecanizada</t>
  </si>
  <si>
    <t>4915712</t>
  </si>
  <si>
    <t>Limpeza de bueiro</t>
  </si>
  <si>
    <t>4915711</t>
  </si>
  <si>
    <t>Limpeza de descida d'água</t>
  </si>
  <si>
    <t>4915718</t>
  </si>
  <si>
    <t>Limpeza de dispositivos de sinalização viária - placas e delineadores refletivos</t>
  </si>
  <si>
    <t>4915790</t>
  </si>
  <si>
    <t>Limpeza de emulsão asfáltica ou asfalto diluído derramados na pista - remoção com minicarregadeira com vassoura e descarga livre</t>
  </si>
  <si>
    <t>4915793</t>
  </si>
  <si>
    <t>Limpeza de líquidos combustíveis derramados na pista - remoção com minicarregadeira com vassoura e descarga livre</t>
  </si>
  <si>
    <t>4915792</t>
  </si>
  <si>
    <t>Limpeza de material asfáltico derramado fora da pista - remoção com escavadeira hidráulica e caminhão basculante</t>
  </si>
  <si>
    <t>4915672</t>
  </si>
  <si>
    <t>Limpeza de ponte</t>
  </si>
  <si>
    <t>4915708</t>
  </si>
  <si>
    <t>Limpeza de sarjeta e meio-fio</t>
  </si>
  <si>
    <t>4915710</t>
  </si>
  <si>
    <t>Limpeza de vala de drenagem</t>
  </si>
  <si>
    <t>4915709</t>
  </si>
  <si>
    <t>Limpeza de valeta de corte</t>
  </si>
  <si>
    <t>4915686</t>
  </si>
  <si>
    <t>Limpeza e desobstrução de dispositivos de drenagem em OAE</t>
  </si>
  <si>
    <t>4915687</t>
  </si>
  <si>
    <t>Limpeza e desobstrução de drenos de obras de contenção</t>
  </si>
  <si>
    <t>4915634</t>
  </si>
  <si>
    <t>Limpeza e desobstrução mecanizada de bueiros com diâmetro acima de 1,00 até 1,50 m</t>
  </si>
  <si>
    <t>4915633</t>
  </si>
  <si>
    <t>Limpeza e desobstrução mecanizada de bueiros com diâmetro de até 1,00 m</t>
  </si>
  <si>
    <t>4915714</t>
  </si>
  <si>
    <t>Limpeza e enchimento com resina epóxi de fissuras niveladas com abertura máxima de 0,4 mm e profundidade de 20 mm em pavimento de concreto que não atravessam toda a espessura da placa</t>
  </si>
  <si>
    <t>4915507</t>
  </si>
  <si>
    <t>Limpeza e remoção de vegetação entre escamas de concreto com o uso de herbicida em alturas acima de 4 metros</t>
  </si>
  <si>
    <t>4915587</t>
  </si>
  <si>
    <t>Limpeza e remoção de vegetação entre escamas de concreto com o uso de herbicida em alturas de até 4 metros</t>
  </si>
  <si>
    <t>4915759</t>
  </si>
  <si>
    <t>Limpeza e remoção de vegetação junto aos aparelhos de apoio de OAE com o uso de herbicida</t>
  </si>
  <si>
    <t>4915758</t>
  </si>
  <si>
    <t>Limpeza e remoção de vegetação nas juntas de dilatação com o uso de herbicida</t>
  </si>
  <si>
    <t>4915640</t>
  </si>
  <si>
    <t>Limpeza e remoção manual de material retido em terra firme em OAE</t>
  </si>
  <si>
    <t>4915639</t>
  </si>
  <si>
    <t>Limpeza em superfície de concreto com escova de aço</t>
  </si>
  <si>
    <t>4915508</t>
  </si>
  <si>
    <t>Limpeza em superfície de escamas de concreto com escova de aço em alturas acima de 4 metros</t>
  </si>
  <si>
    <t>4915588</t>
  </si>
  <si>
    <t>Limpeza em superfície de escamas de concreto com escova de aço em alturas de até 4 metros</t>
  </si>
  <si>
    <t>4915695</t>
  </si>
  <si>
    <t>Limpeza, serragem e enchimento de fissuras niveladas com abertura entre 0,4 mm e 1,0 mm e profundidade de 25 mm em pavimento de concreto com CAP</t>
  </si>
  <si>
    <t>4915696</t>
  </si>
  <si>
    <t>Limpeza, serragem e enchimento de fissuras niveladas com abertura entre 0,4 mm e 1,0 mm e profundidade de 25 mm em pavimento de concreto com CAP com polímero</t>
  </si>
  <si>
    <t>4915694</t>
  </si>
  <si>
    <t>Limpeza, serragem e enchimento de fissuras niveladas com abertura entre 0,4 mm e 1,0 mm e profundidade de 25 mm em pavimento de concreto com selante elástico a frio</t>
  </si>
  <si>
    <t>4915654</t>
  </si>
  <si>
    <t>Lixamento mecanizado em superfície de concreto</t>
  </si>
  <si>
    <t>4900001</t>
  </si>
  <si>
    <t>Material de base</t>
  </si>
  <si>
    <t>4915801</t>
  </si>
  <si>
    <t>Mistura betuminosa</t>
  </si>
  <si>
    <t>4916290</t>
  </si>
  <si>
    <t>Mistura betuminosa a frio executada em betoneira - faixa C - areia e brita comerciais</t>
  </si>
  <si>
    <t>4915765</t>
  </si>
  <si>
    <t>Poda de árvores com 5,0 m a 7,5 m de altura</t>
  </si>
  <si>
    <t>4915766</t>
  </si>
  <si>
    <t>Poda de árvores com 7,5 m a 10 m de altura</t>
  </si>
  <si>
    <t>4915764</t>
  </si>
  <si>
    <t>Poda de árvores com até 5 m de altura</t>
  </si>
  <si>
    <t>4915767</t>
  </si>
  <si>
    <t>Poda de árvores com mais de 10 m de altura</t>
  </si>
  <si>
    <t>4915777</t>
  </si>
  <si>
    <t>Reassentamento manual de meio-fio com material arrancado da pista</t>
  </si>
  <si>
    <t>4915618</t>
  </si>
  <si>
    <t>Recomposição de camada granular do pavimento com material de jazida - 100% Proctor modificado</t>
  </si>
  <si>
    <t>4915774</t>
  </si>
  <si>
    <t>Recomposição de erosão em corte ou aterro com material de jazida</t>
  </si>
  <si>
    <t>4915719</t>
  </si>
  <si>
    <t>Recomposição de placa de sinalização</t>
  </si>
  <si>
    <t>4915611</t>
  </si>
  <si>
    <t>Recomposição de revestimento primário com material de jazida - 100% Proctor intermediário</t>
  </si>
  <si>
    <t>4915733</t>
  </si>
  <si>
    <t>Recomposição manual de aterro com material de jazida</t>
  </si>
  <si>
    <t>4915734</t>
  </si>
  <si>
    <t>Recomposição mecanizada de aterro com material de jazida</t>
  </si>
  <si>
    <t>4915727</t>
  </si>
  <si>
    <t>Recomposição parcial de cerca com mourão de concreto - arame</t>
  </si>
  <si>
    <t>4915726</t>
  </si>
  <si>
    <t>Recomposição parcial de cerca com mourão de concreto seção quadrada - mourão - areia e brita comerciais</t>
  </si>
  <si>
    <t>4915594</t>
  </si>
  <si>
    <t>Recomposição parcial de cerca com mourão de concreto seção quadrada - mourão - areia extraída e brita produzida</t>
  </si>
  <si>
    <t>4915729</t>
  </si>
  <si>
    <t>Recomposição parcial de cerca com mourão de concreto seção triangular - mourão - areia e brita comerciais</t>
  </si>
  <si>
    <t>4915596</t>
  </si>
  <si>
    <t>Recomposição parcial de cerca com mourão de concreto seção triangular - mourão - areia extraída e brita comercial</t>
  </si>
  <si>
    <t>4915732</t>
  </si>
  <si>
    <t>Recomposição parcial de cerca com mourão de madeira - arame</t>
  </si>
  <si>
    <t>4915731</t>
  </si>
  <si>
    <t>Recomposição parcial de cerca com mourão de madeira - mourão</t>
  </si>
  <si>
    <t>4915725</t>
  </si>
  <si>
    <t>Recomposição total de cerca com mourão de concreto seção quadrada - areia e brita comerciais</t>
  </si>
  <si>
    <t>4915593</t>
  </si>
  <si>
    <t>Recomposição total de cerca com mourão de concreto seção quadrada - areia extraída e brita produzida</t>
  </si>
  <si>
    <t>4915728</t>
  </si>
  <si>
    <t>Recomposição total de cerca com mourão de concreto seção triangular - areia e brita comerciais</t>
  </si>
  <si>
    <t>4915595</t>
  </si>
  <si>
    <t>Recomposição total de cerca com mourão de concreto seção triangular - areia extraída e brita produzida</t>
  </si>
  <si>
    <t>4915730</t>
  </si>
  <si>
    <t>Recomposição total de cerca com mourão de madeira</t>
  </si>
  <si>
    <t>4915598</t>
  </si>
  <si>
    <t>Reconformação da plataforma</t>
  </si>
  <si>
    <t>4915748</t>
  </si>
  <si>
    <t>Recuperação de desgaste superficial em pavimentos de concreto</t>
  </si>
  <si>
    <t>4915608</t>
  </si>
  <si>
    <t>Regularização de taludes e valas com soquete vibratório</t>
  </si>
  <si>
    <t>4915613</t>
  </si>
  <si>
    <t>Regularização mecânica da faixa de domínio</t>
  </si>
  <si>
    <t>4915692</t>
  </si>
  <si>
    <t>Remendo profundo com imprimação com asfalto diluído - demolição manual</t>
  </si>
  <si>
    <t>4915746</t>
  </si>
  <si>
    <t>Remendo profundo com imprimação com asfalto diluído - demolição mecânica e corte com serra</t>
  </si>
  <si>
    <t>4915630</t>
  </si>
  <si>
    <t>Remendo profundo com imprimação com emulsão asfáltica - demolição manual</t>
  </si>
  <si>
    <t>4915631</t>
  </si>
  <si>
    <t>Remendo profundo com imprimação com emulsão asfáltica - demolição mecânica e corte com serra</t>
  </si>
  <si>
    <t>4915785</t>
  </si>
  <si>
    <t>Remoção de animais de grande porte mortos em rodovia - carga e descarga com guindauto</t>
  </si>
  <si>
    <t>4915786</t>
  </si>
  <si>
    <t>Remoção de animais de pequeno porte mortos em rodovia - carga manual</t>
  </si>
  <si>
    <t>4915795</t>
  </si>
  <si>
    <t>Remoção de emborrachados de pneus em rodovia</t>
  </si>
  <si>
    <t>4915800</t>
  </si>
  <si>
    <t>Remoção de espécimes arbóreos de 20 a 40 m tombados na pista</t>
  </si>
  <si>
    <t>4915799</t>
  </si>
  <si>
    <t>Remoção de espécimes arbóreos de até 20 m tombados na pista</t>
  </si>
  <si>
    <t>4915698</t>
  </si>
  <si>
    <t>Remoção de grãos, agregados e solos derramados na pista em rodovias</t>
  </si>
  <si>
    <t>4915794</t>
  </si>
  <si>
    <t>Remoção de sucatas derramadas em rodovia - cinta com utilização de 100 vezes</t>
  </si>
  <si>
    <t>4915789</t>
  </si>
  <si>
    <t>Remoção de veículos de grande porte incendiados em rodovia - carga e descarga com guindaste - cinta com utilização de 100 vezes</t>
  </si>
  <si>
    <t>4915798</t>
  </si>
  <si>
    <t>Remoção de veículos de grande porte tombados em rodovia - cinta com utilização de 100 vezes</t>
  </si>
  <si>
    <t>4915788</t>
  </si>
  <si>
    <t>Remoção de veículos de médio porte incendiados em rodovia - carga e descarga com guindaste - cinta com utilização de 100 vezes</t>
  </si>
  <si>
    <t>4915797</t>
  </si>
  <si>
    <t>Remoção de veículos de médio porte tombados em rodovia - cinta com utilização de 100 vezes</t>
  </si>
  <si>
    <t>4915787</t>
  </si>
  <si>
    <t>Remoção de veículos de pequeno porte incendiados em rodovia - carga e descarga com guindauto - cinta com utilização de 100 vezes</t>
  </si>
  <si>
    <t>4915796</t>
  </si>
  <si>
    <t>Remoção de veículos de pequeno porte tombados em rodovia - cinta com utilização de 100 vezes</t>
  </si>
  <si>
    <t>4915760</t>
  </si>
  <si>
    <t>Remoção de vestígios de óleo ou graxa na superfície do revestimento do pavimento</t>
  </si>
  <si>
    <t>4915699</t>
  </si>
  <si>
    <t>Remoção de vidros, caixas e engradados derramados na pista em rodovia</t>
  </si>
  <si>
    <t>4915736</t>
  </si>
  <si>
    <t>Remoção manual de barreira em rocha</t>
  </si>
  <si>
    <t>4915735</t>
  </si>
  <si>
    <t>Remoção manual de barreira em solo</t>
  </si>
  <si>
    <t>4915670</t>
  </si>
  <si>
    <t>Remoção manual de camada granular do pavimento</t>
  </si>
  <si>
    <t>4915668</t>
  </si>
  <si>
    <t>Remoção manual de revestimento asfáltico</t>
  </si>
  <si>
    <t>4915761</t>
  </si>
  <si>
    <t>Remoção manual de vegetação daninha</t>
  </si>
  <si>
    <t>4915762</t>
  </si>
  <si>
    <t>Remoção manual de vegetação daninha em frestas</t>
  </si>
  <si>
    <t>4915738</t>
  </si>
  <si>
    <t>Remoção mecanizada de barreira em rocha</t>
  </si>
  <si>
    <t>4915737</t>
  </si>
  <si>
    <t>Remoção mecanizada de barreira em solo</t>
  </si>
  <si>
    <t>4915669</t>
  </si>
  <si>
    <t>Remoção mecanizada de camada granular do pavimento</t>
  </si>
  <si>
    <t>4915667</t>
  </si>
  <si>
    <t>Remoção mecanizada de revestimento asfáltico</t>
  </si>
  <si>
    <t>4915632</t>
  </si>
  <si>
    <t>Reparo localizado com pintura de ligação - demolição mecânica e corte com serra</t>
  </si>
  <si>
    <t>4915753</t>
  </si>
  <si>
    <t>Reparo no interior de placa de pavimento de concreto</t>
  </si>
  <si>
    <t>4915776</t>
  </si>
  <si>
    <t>Roçada com roçadeira costal</t>
  </si>
  <si>
    <t>ha</t>
  </si>
  <si>
    <t>4915740</t>
  </si>
  <si>
    <t>Roçada manual</t>
  </si>
  <si>
    <t>4915741</t>
  </si>
  <si>
    <t>Roçada manual de capim colonião</t>
  </si>
  <si>
    <t>4915775</t>
  </si>
  <si>
    <t>Roçada mecanizada com roçadeira articulada</t>
  </si>
  <si>
    <t>4915742</t>
  </si>
  <si>
    <t>Roçada mecanizada com roçadeira de arraste</t>
  </si>
  <si>
    <t>4915626</t>
  </si>
  <si>
    <t>Selagem de trincas mecanizada em pavimento flexível com emulsão - areia comercial</t>
  </si>
  <si>
    <t>4915653</t>
  </si>
  <si>
    <t>Selagem superficial de fissuras com adesivo estrutural à base de resina epóxi de alta viscosidade, inclusive limpeza superficial - fornecimento e aplicação</t>
  </si>
  <si>
    <t>4915623</t>
  </si>
  <si>
    <t>Solo brita para base de remendo profundo - brita comercial</t>
  </si>
  <si>
    <t>4915625</t>
  </si>
  <si>
    <t>Solo melhorado com cimento para base de remendo profundo</t>
  </si>
  <si>
    <t>4915621</t>
  </si>
  <si>
    <t>Solo para base de remendo profundo</t>
  </si>
  <si>
    <t>4915720</t>
  </si>
  <si>
    <t>Substituição de balizador - areia e brita comerciais</t>
  </si>
  <si>
    <t>4915592</t>
  </si>
  <si>
    <t>Substituição de balizador - areia extraída e brita produzida</t>
  </si>
  <si>
    <t>4913703</t>
  </si>
  <si>
    <t>Substituição de cartucho de absorção de energia tipo A - fornecimento e instalação, e reposicionamento do amortecedor retrátil</t>
  </si>
  <si>
    <t>4913704</t>
  </si>
  <si>
    <t>Substituição de cartucho de absorção de energia tipo B - fornecimento, instalação e reposicionamento do amortecedor retrátil</t>
  </si>
  <si>
    <t>4915757</t>
  </si>
  <si>
    <t>Tapa buraco com pintura de ligação - demolição com serra corta piso</t>
  </si>
  <si>
    <t>4915678</t>
  </si>
  <si>
    <t>Tapa buraco com pintura de ligação - demolição manual</t>
  </si>
  <si>
    <t>4919547</t>
  </si>
  <si>
    <t>Tela de proteção para roçada em tubo galvanizado 4,0 X 1,5 m - confecção</t>
  </si>
  <si>
    <t>4915716</t>
  </si>
  <si>
    <t>Tratamento de fissuras do tipo rendilhado em pavimentos de concreto</t>
  </si>
  <si>
    <t>4915750</t>
  </si>
  <si>
    <t>Tratamento de fissuras transversais com abertura maior que 1,0 mm em pavimentos de concreto</t>
  </si>
  <si>
    <t>4915769</t>
  </si>
  <si>
    <t>Trituração de galhos e troncos com diâmetro de até 350 mm</t>
  </si>
  <si>
    <t>5213836</t>
  </si>
  <si>
    <t>Balizador cônico refletivo em polietileno semiflexível de 114 x 11 x 40 cm - utilização de 150 ciclos - fornecimento, 01 implantação e 01 retirada diária</t>
  </si>
  <si>
    <t>un.dia</t>
  </si>
  <si>
    <t>5213368</t>
  </si>
  <si>
    <t>Balizador de concreto - areia e brita comerciais - fornecimento e implantação</t>
  </si>
  <si>
    <t>5213367</t>
  </si>
  <si>
    <t>Balizador de concreto - areia extraída e brita produzida - fornecimento e implantação</t>
  </si>
  <si>
    <t>5213385</t>
  </si>
  <si>
    <t>Barreira de sinalização tipo I de direcionamento ou bloqueio - confecção</t>
  </si>
  <si>
    <t>5213343</t>
  </si>
  <si>
    <t>Barreira de sinalização tipo I de direcionamento ou bloqueio - utilização de 150 ciclos - fornecimento, 01 implantação e 01 retirada diária</t>
  </si>
  <si>
    <t>5213390</t>
  </si>
  <si>
    <t>Barreira de sinalização tipo I de direcionamento ou bloqueio contínua - confecção</t>
  </si>
  <si>
    <t>5213344</t>
  </si>
  <si>
    <t>Barreira de sinalização tipo I de direcionamento ou bloqueio contínua - utilização de 150 ciclos - fornecimento, 01 implantação e 01 retirada diária</t>
  </si>
  <si>
    <t>m.dia</t>
  </si>
  <si>
    <t>5213386</t>
  </si>
  <si>
    <t>Barreira de sinalização tipo II de direcionamento ou bloqueio - confecção</t>
  </si>
  <si>
    <t>5213345</t>
  </si>
  <si>
    <t>Barreira de sinalização tipo II de direcionamento ou bloqueio - utilização de 150 ciclos - fornecimento, 01 implantação e 01 retirada diária</t>
  </si>
  <si>
    <t>5213387</t>
  </si>
  <si>
    <t>Barreira de sinalização tipo III de direcionamento ou bloqueio - confecção</t>
  </si>
  <si>
    <t>5213346</t>
  </si>
  <si>
    <t>Barreira de sinalização tipo III de direcionamento ou bloqueio - utilização de 150 ciclos - fornecimento, 01 implantação e 01 retirada diária</t>
  </si>
  <si>
    <t>5213843</t>
  </si>
  <si>
    <t>Barreira plástica articulável modular 240 x 100 cm na cor amarela - utilização de 600 ciclos - fornecimento, 01 implantação e 01 retirada diária</t>
  </si>
  <si>
    <t>5213833</t>
  </si>
  <si>
    <t>Barreira plástica monobloco para canalização de trânsito - 101 x 50 x 55 cm - utilização de 600 ciclos - fornecimento, 01 implantação e 01 retirada diária</t>
  </si>
  <si>
    <t>5213834</t>
  </si>
  <si>
    <t>Barreira plástica para canalização de trânsito - 60 x 45 x 60 cm - utilização de 600 ciclos - fornecimento, 01 implantação e 01 retirada diária</t>
  </si>
  <si>
    <t>5219544</t>
  </si>
  <si>
    <t>Cavalete em perfil metálico para placa de sinalização - 1,00 m x 1,00 m - confecção</t>
  </si>
  <si>
    <t>5213383</t>
  </si>
  <si>
    <t>Cavalete em polietileno zebrado com faixa refletiva - H = 1,00 m - utilização de 600 ciclos - fornecimento, 01 implantação e 01 retirada diária</t>
  </si>
  <si>
    <t>5213380</t>
  </si>
  <si>
    <t>Cavalete em polietileno zebrado com faixa refletiva e com sinalizador a LED com bateria - H = 1,00 m - utilização de 600 ciclos - fornecimento, 01 implantação e 01 retirada diária</t>
  </si>
  <si>
    <t>5213838</t>
  </si>
  <si>
    <t>Cilindro canalizador de tráfego com base quadrada de 111 x 56 x 56 cm - utilização de 600 ciclos - fornecimento, 01 implantação e 01 retirada diária</t>
  </si>
  <si>
    <t>5213837</t>
  </si>
  <si>
    <t>Cilindro flexível delimitador de tráfego com duas faixas refletivas e chumbador - D = 20 cm e H = 80 cm</t>
  </si>
  <si>
    <t>5213835</t>
  </si>
  <si>
    <t>Cone plástico para canalização de trânsito - utilização de 150 ciclos - fornecimento, 01 implantação e 01 retirada diária</t>
  </si>
  <si>
    <t>5213839</t>
  </si>
  <si>
    <t>Dispositivo de direcionamento ou bloqueio tipo tapume - confecção</t>
  </si>
  <si>
    <t>5213347</t>
  </si>
  <si>
    <t>Dispositivo de direcionamento ou bloqueio tipo tapume - utilização de 150 ciclos - fornecimento, 01 implantação e 01 retirada diária</t>
  </si>
  <si>
    <t>m².dia</t>
  </si>
  <si>
    <t>5213840</t>
  </si>
  <si>
    <t>Dispositivo de direcionamento ou bloqueio tipo tela plástica com suporte fixo - confecção</t>
  </si>
  <si>
    <t>5213349</t>
  </si>
  <si>
    <t>Dispositivo de direcionamento ou bloqueio tipo tela plástica com suporte fixo - utilização de 150 ciclos - fornecimento, 01 implantação e 01 retirada diária</t>
  </si>
  <si>
    <t>5213841</t>
  </si>
  <si>
    <t>Dispositivo de direcionamento ou bloqueio tipo tela plástica com suporte móvel afixado em bloco de concreto - confecção</t>
  </si>
  <si>
    <t>5213348</t>
  </si>
  <si>
    <t>Dispositivo de direcionamento ou bloqueio tipo tela plástica com suporte móvel afixado em bloco de concreto - utilização de 150 ciclos - fornecimento, 01 implantação e 01 retirada diária</t>
  </si>
  <si>
    <t>5216116</t>
  </si>
  <si>
    <t>Fabricação de balizador de concreto - seção circular de 10 cm - areia e brita comerciais</t>
  </si>
  <si>
    <t>5216115</t>
  </si>
  <si>
    <t>Fabricação de balizador de concreto - seção circular de 10 cm - areia extraída e brita produzida</t>
  </si>
  <si>
    <t>5213842</t>
  </si>
  <si>
    <t>Fita zebrada para dispositivos de canalização de trânsito - fornecimento, implantação e retirada</t>
  </si>
  <si>
    <t>5213358</t>
  </si>
  <si>
    <t>Laminado elastoplástico para sinalização horizontal - espessura de 1,5 mm - fornecimento e implantação</t>
  </si>
  <si>
    <t>5213848</t>
  </si>
  <si>
    <t>Luz de advertência e bateria para dispositivos de sinalização - utilização de 200 ciclos - fornecimento, 01 implantação e 01 retirada diária</t>
  </si>
  <si>
    <t>5214012</t>
  </si>
  <si>
    <t>Manutenção/recomposição de sinalização - pintura de faixa com tinta acrílica - espessura de 0,4 mm</t>
  </si>
  <si>
    <t>5213356</t>
  </si>
  <si>
    <t>Manutenção/recomposição de sinalização - pintura de faixa com tinta acrílica - espessura de 0,6 mm</t>
  </si>
  <si>
    <t>5214011</t>
  </si>
  <si>
    <t>Manutenção/recomposição de sinalização - pintura de faixa com tinta acrílica emulsionada em água - espessura de 0,3 mm</t>
  </si>
  <si>
    <t>5213354</t>
  </si>
  <si>
    <t>Manutenção/recomposição de sinalização - pintura de faixa com tinta acrílica emulsionada em água - espessura de 0,4 mm</t>
  </si>
  <si>
    <t>5213355</t>
  </si>
  <si>
    <t>Manutenção/recomposição de sinalização - pintura de faixa com tinta acrílica emulsionada em água - espessura de 0,5 mm</t>
  </si>
  <si>
    <t>5213850</t>
  </si>
  <si>
    <t>Operação de sinalização por bandeirola de tecido ou com placa metálica</t>
  </si>
  <si>
    <t>5213846</t>
  </si>
  <si>
    <t>Painel com seta luminosa montado em chassi de caminhão com prancha</t>
  </si>
  <si>
    <t>5213847</t>
  </si>
  <si>
    <t>Painel com seta luminosa montado em chassi de caminhão com prancha e amortecedor retrátil</t>
  </si>
  <si>
    <t>5213845</t>
  </si>
  <si>
    <t>Painel de mensagens variáveis, portátil móvel, LED, com banco fotovoltaico de energia e montado em chassi com engate</t>
  </si>
  <si>
    <t>5213412</t>
  </si>
  <si>
    <t>Pintura de faixa com plástico a frio bicomponente à base de resinas metacrílicas por dispersão (estrutura)</t>
  </si>
  <si>
    <t>5213411</t>
  </si>
  <si>
    <t>Pintura de faixa com plástico a frio bicomponente à base de resinas metacrílicas por extrusão (alto relevo)</t>
  </si>
  <si>
    <t>5214009</t>
  </si>
  <si>
    <t>Pintura de faixa com plástico a frio bicomponente à base de resinas metacrílicas por extrusão (plano) - espessura de 1,5 mm</t>
  </si>
  <si>
    <t>5214010</t>
  </si>
  <si>
    <t>Pintura de faixa com plástico a frio bicomponente à base de resinas metacrílicas por extrusão (plano) - espessura de 3,0 mm</t>
  </si>
  <si>
    <t>5213413</t>
  </si>
  <si>
    <t>Pintura de faixa com plástico a frio tricomponente à base de resinas metacrílicas por aspersão - espessura de 0,6 mm</t>
  </si>
  <si>
    <t>5213410</t>
  </si>
  <si>
    <t>Pintura de faixa com termoplástico em alto relevo tipo I por extrusão - relevo duplo com base</t>
  </si>
  <si>
    <t>5214004</t>
  </si>
  <si>
    <t>Pintura de faixa com termoplástico em alto relevo tipo II por extrusão - relevo simples ranhurado com base</t>
  </si>
  <si>
    <t>5214005</t>
  </si>
  <si>
    <t>Pintura de faixa com termoplástico em alto relevo tipo III por extrusão - relevo simples com base</t>
  </si>
  <si>
    <t>5214006</t>
  </si>
  <si>
    <t>Pintura de faixa com termoplástico em alto relevo tipo IV por extrusão - relevo simples sem base</t>
  </si>
  <si>
    <t>5214007</t>
  </si>
  <si>
    <t>Pintura de faixa com termoplástico em alto relevo tipo V por extrusão - relevo multipontos sem base (gotas)</t>
  </si>
  <si>
    <t>5214008</t>
  </si>
  <si>
    <t>Pintura de faixa com termoplástico em alto relevo tipo VI por extrusão - relevo multipontos sem base (calotas)</t>
  </si>
  <si>
    <t>5213408</t>
  </si>
  <si>
    <t>Pintura de faixa com termoplástico por aspersão - espessura de 1,5 mm</t>
  </si>
  <si>
    <t>5213400</t>
  </si>
  <si>
    <t>Pintura de faixa com tinta acrílica - espessura de 0,4 mm</t>
  </si>
  <si>
    <t>5213401</t>
  </si>
  <si>
    <t>Pintura de faixa com tinta acrílica - espessura de 0,6 mm</t>
  </si>
  <si>
    <t>5214001</t>
  </si>
  <si>
    <t>Pintura de faixa com tinta acrílica emulsionada em água - espessura de 0,3 mm</t>
  </si>
  <si>
    <t>5213402</t>
  </si>
  <si>
    <t>Pintura de faixa com tinta acrílica emulsionada em água - espessura de 0,4 mm</t>
  </si>
  <si>
    <t>5213403</t>
  </si>
  <si>
    <t>Pintura de faixa com tinta acrílica emulsionada em água - espessura de 0,5 mm</t>
  </si>
  <si>
    <t>5214003</t>
  </si>
  <si>
    <t>Pintura de setas e zebrados com termoplástico por aspersão - espessura de 1,5 mm</t>
  </si>
  <si>
    <t>5213409</t>
  </si>
  <si>
    <t>Pintura de setas e zebrados com termoplástico por extrusão - espessura de 3,0 mm</t>
  </si>
  <si>
    <t>5213404</t>
  </si>
  <si>
    <t>Pintura de setas e zebrados com tinta acrílica - espessura de 0,4 mm</t>
  </si>
  <si>
    <t>5213405</t>
  </si>
  <si>
    <t>Pintura de setas e zebrados com tinta acrílica - espessura de 0,6 mm</t>
  </si>
  <si>
    <t>5214002</t>
  </si>
  <si>
    <t>Pintura de setas e zebrados com tinta acrílica emulsionada em água - espessura de 0,3 mm</t>
  </si>
  <si>
    <t>5213406</t>
  </si>
  <si>
    <t>Pintura de setas e zebrados com tinta acrílica emulsionada em água - espessura de 0,4 mm</t>
  </si>
  <si>
    <t>5213407</t>
  </si>
  <si>
    <t>Pintura de setas e zebrados com tinta acrílica emulsionada em água - espessura de 0,5 mm</t>
  </si>
  <si>
    <t>5212552</t>
  </si>
  <si>
    <t>Pintura eletrostática a pó com tinta poliéster em chapa de aço</t>
  </si>
  <si>
    <t>5213464</t>
  </si>
  <si>
    <t>Placa de advertência em aço, lado de 0,60 m - película retrorrefletiva tipo I + SI - fornecimento e implantação</t>
  </si>
  <si>
    <t>5213465</t>
  </si>
  <si>
    <t>Placa de advertência em aço, lado de 0,80 m - película retrorrefletiva tipo I + SI - fornecimento e implantação</t>
  </si>
  <si>
    <t>5213466</t>
  </si>
  <si>
    <t>Placa de advertência em aço, lado de 1,00 m - película retrorrefletiva tipo I + SI - fornecimento e implantação</t>
  </si>
  <si>
    <t>5213467</t>
  </si>
  <si>
    <t>Placa de advertência em aço, lado de 1,20 m - película retrorrefletiva tipo III + SI - fornecimento e implantação</t>
  </si>
  <si>
    <t>5213468</t>
  </si>
  <si>
    <t>Placa de advertência em fibra, lado de 0,60 m - película retrorrefletiva tipo I + SI - fornecimento e implantação</t>
  </si>
  <si>
    <t>5213469</t>
  </si>
  <si>
    <t>Placa de advertência em fibra, lado de 0,80 m - película retrorrefletiva tipo I + SI - fornecimento e implantação</t>
  </si>
  <si>
    <t>5213470</t>
  </si>
  <si>
    <t>Placa de advertência em fibra, lado de 1,00 m - película retrorrefletiva tipo I + SI - fornecimento e implantação</t>
  </si>
  <si>
    <t>5213471</t>
  </si>
  <si>
    <t>Placa de advertência em fibra, lado de 1,20 m - película retrorrefletiva tipo III + SI - fornecimento e implantação</t>
  </si>
  <si>
    <t>5212560</t>
  </si>
  <si>
    <t>Placa de advertência para sinalização de obras montada em suporte metálico móvel, lado 1,00 m - utilização de 600 ciclos - fornecimento, 01 implantação e 01 retirada diária</t>
  </si>
  <si>
    <t>5213472</t>
  </si>
  <si>
    <t>Placa de marco quilométrico em aço - 0,60 x 0,865 m - película retrorrefletiva tipo I + I - fornecimento e implantação</t>
  </si>
  <si>
    <t>5213473</t>
  </si>
  <si>
    <t>Placa de marco quilométrico em aço - 0,70 x 1,00 m - película retrorrefletiva tipo I + III - fornecimento e implantação</t>
  </si>
  <si>
    <t>5213474</t>
  </si>
  <si>
    <t>Placa de marco quilométrico em fibra - 0,60 x 0,865 m - película retrorrefletiva tipo I + I - fornecimento e implantação</t>
  </si>
  <si>
    <t>5213475</t>
  </si>
  <si>
    <t>Placa de marco quilométrico em fibra - 0,70 x 1,00 m - película retrorrefletiva tipo I + III - fornecimento e implantação</t>
  </si>
  <si>
    <t>5213440</t>
  </si>
  <si>
    <t>Placa de regulamentação em aço D = 0,60 m - película retrorrefletiva tipo I + SI - fornecimento e implantação</t>
  </si>
  <si>
    <t>5213441</t>
  </si>
  <si>
    <t>Placa de regulamentação em aço D = 0,80 m - película retrorrefletiva tipo I + SI - fornecimento e implantação</t>
  </si>
  <si>
    <t>5213442</t>
  </si>
  <si>
    <t>Placa de regulamentação em aço D = 1,00 m - película retrorrefletiva tipo I + SI - fornecimento e implantação</t>
  </si>
  <si>
    <t>5213443</t>
  </si>
  <si>
    <t>Placa de regulamentação em aço D = 1,20 m - película retrorrefletiva tipo III + SI - fornecimento e implantação</t>
  </si>
  <si>
    <t>5213444</t>
  </si>
  <si>
    <t>Placa de regulamentação em aço, R1 lado 0,248 m - película retrorrefletiva tipo I + SI - fornecimento e implantação</t>
  </si>
  <si>
    <t>5213445</t>
  </si>
  <si>
    <t>Placa de regulamentação em aço, R1 lado 0,331 m - película retrorrefletiva tipo I + SI - fornecimento e implantação</t>
  </si>
  <si>
    <t>5213446</t>
  </si>
  <si>
    <t>Placa de regulamentação em aço, R1 lado 0,414 m - película retrorrefletiva tipo I + SI - fornecimento e implantação</t>
  </si>
  <si>
    <t>5213447</t>
  </si>
  <si>
    <t>Placa de regulamentação em aço, R1 lado 0,497 m - película retrorrefletiva tipo III + SI - fornecimento e implantação</t>
  </si>
  <si>
    <t>5213448</t>
  </si>
  <si>
    <t>Placa de regulamentação em aço, R2 lado 0,60 m - película retrorrefletiva tipo I + SI - fornecimento e implantação</t>
  </si>
  <si>
    <t>5213449</t>
  </si>
  <si>
    <t>Placa de regulamentação em aço, R2 lado 0,80 m - película retrorrefletiva tipo I + SI - fornecimento e implantação</t>
  </si>
  <si>
    <t>5213450</t>
  </si>
  <si>
    <t>Placa de regulamentação em aço, R2 lado 1,00 m - película retrorrefletiva tipo I + SI - fornecimento e implantação</t>
  </si>
  <si>
    <t>5213451</t>
  </si>
  <si>
    <t>Placa de regulamentação em aço, R2 lado 1,20 m - película retrorrefletiva tipo III + SI - fornecimento e implantação</t>
  </si>
  <si>
    <t>5213452</t>
  </si>
  <si>
    <t>Placa de regulamentação em fibra, D = 0,60 m - película retrorrefletiva tipo I + SI - fornecimento e implantação</t>
  </si>
  <si>
    <t>5213453</t>
  </si>
  <si>
    <t>Placa de regulamentação em fibra, D = 0,80 m - película retrorrefletiva tipo I + SI - fornecimento e implantação</t>
  </si>
  <si>
    <t>5213454</t>
  </si>
  <si>
    <t>Placa de regulamentação em fibra, D = 1,00 m - película retrorrefletiva tipo I + SI - fornecimento e implantação</t>
  </si>
  <si>
    <t>5213455</t>
  </si>
  <si>
    <t>Placa de regulamentação em fibra, D = 1,20 m - película retrorrefletiva tipo III + SI - fornecimento e implantação</t>
  </si>
  <si>
    <t>5213456</t>
  </si>
  <si>
    <t>Placa de regulamentação em fibra, R1 lado 0,248 m - película retrorrefletiva tipo I + SI - fornecimento e implantação</t>
  </si>
  <si>
    <t>5213457</t>
  </si>
  <si>
    <t>Placa de regulamentação em fibra, R1 lado 0,331 m - película retrorrefletiva tipo I + SI - fornecimento e implantação</t>
  </si>
  <si>
    <t>5213458</t>
  </si>
  <si>
    <t>Placa de regulamentação em fibra, R1 lado 0,414 m - película retrorrefletiva tipo I + SI - fornecimento e implantação</t>
  </si>
  <si>
    <t>5213459</t>
  </si>
  <si>
    <t>Placa de regulamentação em fibra, R1 lado 0,497 m - película retrorrefletiva tipo III + SI - fornecimento e implantação</t>
  </si>
  <si>
    <t>5213460</t>
  </si>
  <si>
    <t>Placa de regulamentação em fibra, R2 lado 0,60 m - película retrorrefletiva tipo I + SI - fornecimento e implantação</t>
  </si>
  <si>
    <t>5213461</t>
  </si>
  <si>
    <t>Placa de regulamentação em fibra, R2 lado 0,80 m - película retrorrefletiva tipo I + SI - fornecimento e implantação</t>
  </si>
  <si>
    <t>5213462</t>
  </si>
  <si>
    <t>Placa de regulamentação em fibra, R2 lado 1,00 m - película retrorrefletiva tipo I + SI - fornecimento e implantação</t>
  </si>
  <si>
    <t>5213463</t>
  </si>
  <si>
    <t>Placa de regulamentação em fibra, R2 lado 1,20 m - película retrorrefletiva tipo I + SI - fornecimento e implantação</t>
  </si>
  <si>
    <t>5212557</t>
  </si>
  <si>
    <t>Placa de regulamentação para sinalização de obras montada em suporte metálico móvel - D = 1,00 m - utilização de 600 ciclos - fornecimento, 01 implantação e 01 retirada diária</t>
  </si>
  <si>
    <t>5212558</t>
  </si>
  <si>
    <t>Placa de regulamentação para sinalização de obras montada em suporte metálico móvel, R1 lado 0,414 m - utilização de 600 ciclos - fornecimento, 01 implantação e 01 retirada diária</t>
  </si>
  <si>
    <t>5212559</t>
  </si>
  <si>
    <t>Placa de regulamentação para sinalização de obras montada em suporte metálico móvel, R2 lado 1,00 m - utilização de 600 ciclos - fornecimento, 01 implantação e 01 retirada diária</t>
  </si>
  <si>
    <t>5213477</t>
  </si>
  <si>
    <t>Placa delineador em aço - 0,30 x 0,90 m - película retrorrefletiva tipo I + IV - fornecimento e implantação</t>
  </si>
  <si>
    <t>5213476</t>
  </si>
  <si>
    <t>Placa delineador em aço - 0,50 x 0,60 m - película retrorrefletiva tipo I + IV - fornecimento e implantação</t>
  </si>
  <si>
    <t>5213479</t>
  </si>
  <si>
    <t>Placa delineador em fibra - 0,30 x 0,90 m - película retrorrefletiva tipo I + IV - fornecimento e implantação</t>
  </si>
  <si>
    <t>5213478</t>
  </si>
  <si>
    <t>Placa delineador em fibra - 0,50 x 0,60 m - película retrorrefletiva tipo I + IV - fornecimento e implantação</t>
  </si>
  <si>
    <t>5213489</t>
  </si>
  <si>
    <t>Placa em aço - 2,00 x 1,00 m - película retrorrefletiva tipo I + I - fornecimento e implantação</t>
  </si>
  <si>
    <t>5213498</t>
  </si>
  <si>
    <t>Placa em aço - 2,00 x 1,00 m - película retrorrefletiva tipo I + III - fornecimento e implantação</t>
  </si>
  <si>
    <t>5213365</t>
  </si>
  <si>
    <t>Placa em aço - 2,00 x 1,00 m - película retrorrefletiva tipo I + X - fornecimento e implantação</t>
  </si>
  <si>
    <t>5213507</t>
  </si>
  <si>
    <t>Placa em aço - 2,00 x 1,00 m - película retrorrefletiva tipo III + III - fornecimento e implantação</t>
  </si>
  <si>
    <t>5213372</t>
  </si>
  <si>
    <t>Placa em aço - 2,00 x 1,00 m - película retrorrefletiva tipo III + X - fornecimento e implantação</t>
  </si>
  <si>
    <t>5213490</t>
  </si>
  <si>
    <t>Placa em aço - 3,00 x 1,50 m - película retrorrefletiva tipo I + I - fornecimento e implantação</t>
  </si>
  <si>
    <t>5213499</t>
  </si>
  <si>
    <t>Placa em aço - 3,00 x 1,50 m - película retrorrefletiva tipo I + III - fornecimento e implantação</t>
  </si>
  <si>
    <t>5213366</t>
  </si>
  <si>
    <t>Placa em aço - 3,00 x 1,50 m - película retrorrefletiva tipo I + X - fornecimento e implantação</t>
  </si>
  <si>
    <t>5213508</t>
  </si>
  <si>
    <t>Placa em aço - 3,00 x 1,50 m - película retrorrefletiva tipo III + III - fornecimento e implantação</t>
  </si>
  <si>
    <t>5213373</t>
  </si>
  <si>
    <t>Placa em aço - 3,00 x 1,50 m - película retrorrefletiva tipo III + X - fornecimento e implantação</t>
  </si>
  <si>
    <t>5213491</t>
  </si>
  <si>
    <t>Placa em aço - 3,00 x 2,00 m - película retrorrefletiva tipo I + I - fornecimento e implantação</t>
  </si>
  <si>
    <t>5213500</t>
  </si>
  <si>
    <t>Placa em aço - 3,00 x 2,00 m - película retrorrefletiva tipo I + III - fornecimento e implantação</t>
  </si>
  <si>
    <t>5213369</t>
  </si>
  <si>
    <t>Placa em aço - 3,00 x 2,00 m - película retrorrefletiva tipo I + X - fornecimento e implantação</t>
  </si>
  <si>
    <t>5213509</t>
  </si>
  <si>
    <t>Placa em aço - 3,00 x 2,00 m - película retrorrefletiva tipo III + III - fornecimento e implantação</t>
  </si>
  <si>
    <t>5213374</t>
  </si>
  <si>
    <t>Placa em aço - 3,00 x 2,00 m - película retrorrefletiva tipo III + X - fornecimento e implantação</t>
  </si>
  <si>
    <t>5213492</t>
  </si>
  <si>
    <t>Placa em aço - 4,00 x 2,00 m - película retrorrefletiva tipo I + I - fornecimento e implantação</t>
  </si>
  <si>
    <t>5213501</t>
  </si>
  <si>
    <t>Placa em aço - 4,00 x 2,00 m - película retrorrefletiva tipo I + III - fornecimento e implantação</t>
  </si>
  <si>
    <t>5213370</t>
  </si>
  <si>
    <t>Placa em aço - 4,00 x 2,00 m - película retrorrefletiva tipo I + X - fornecimento e implantação</t>
  </si>
  <si>
    <t>5213510</t>
  </si>
  <si>
    <t>Placa em aço - 4,00 x 2,00 m - película retrorrefletiva tipo III + III - fornecimento e implantação</t>
  </si>
  <si>
    <t>5213375</t>
  </si>
  <si>
    <t>Placa em aço - 4,00 x 2,00 m - película retrorrefletiva tipo III + X - fornecimento e implantação</t>
  </si>
  <si>
    <t>5213494</t>
  </si>
  <si>
    <t>Placa em aço - 4,00 x 3,00 m - película retrorrefletiva tipo I + I - fornecimento e implantação</t>
  </si>
  <si>
    <t>5213503</t>
  </si>
  <si>
    <t>Placa em aço - 4,00 x 3,00 m - película retrorrefletiva tipo I + III - fornecimento e implantação</t>
  </si>
  <si>
    <t>5213371</t>
  </si>
  <si>
    <t>Placa em aço - 4,00 x 3,00 m - película retrorrefletiva tipo I + X - fornecimento e implantação</t>
  </si>
  <si>
    <t>5213512</t>
  </si>
  <si>
    <t>Placa em aço - 4,00 x 3,00 m - película retrorrefletiva tipo III + III - fornecimento e implantação</t>
  </si>
  <si>
    <t>5213376</t>
  </si>
  <si>
    <t>Placa em aço - 4,00 x 3,00 m - película retrorrefletiva tipo III + X - fornecimento e implantação</t>
  </si>
  <si>
    <t>5213377</t>
  </si>
  <si>
    <t>Placa em aço - película I + I - chapa recuperada - fornecimento e implantação</t>
  </si>
  <si>
    <t>5213570</t>
  </si>
  <si>
    <t>Placa em aço - película I + I - fornecimento e implantação</t>
  </si>
  <si>
    <t>5213378</t>
  </si>
  <si>
    <t>Placa em aço - película I + III - chapa recuperada - fornecimento e implantação</t>
  </si>
  <si>
    <t>5213571</t>
  </si>
  <si>
    <t>Placa em aço - película I + III - fornecimento e implantação</t>
  </si>
  <si>
    <t>5213379</t>
  </si>
  <si>
    <t>Placa em aço - película III + III - chapa recuperada - fornecimento e implantação</t>
  </si>
  <si>
    <t>5213572</t>
  </si>
  <si>
    <t>Placa em aço - película III + III - fornecimento e implantação</t>
  </si>
  <si>
    <t>5212553</t>
  </si>
  <si>
    <t>Placa em aço nº 16 galvanizado com película retrorrefletiva tipo I + I - chapa recuperada - confecção</t>
  </si>
  <si>
    <t>5213416</t>
  </si>
  <si>
    <t>Placa em aço nº 16 galvanizado com película retrorrefletiva tipo I + I - confecção</t>
  </si>
  <si>
    <t>5212554</t>
  </si>
  <si>
    <t>Placa em aço nº 16 galvanizado com película retrorrefletiva tipo I + III - chapa recuperada - confecção</t>
  </si>
  <si>
    <t>5213417</t>
  </si>
  <si>
    <t>Placa em aço nº 16 galvanizado com película retrorrefletiva tipo I + III - confecção</t>
  </si>
  <si>
    <t>5213421</t>
  </si>
  <si>
    <t>Placa em aço nº 16 galvanizado com película retrorrefletiva tipo I + IV - confecção</t>
  </si>
  <si>
    <t>5213414</t>
  </si>
  <si>
    <t>Placa em aço nº 16 galvanizado com película retrorrefletiva tipo I + SI - confecção</t>
  </si>
  <si>
    <t>5213419</t>
  </si>
  <si>
    <t>Placa em aço nº 16 galvanizado com película retrorrefletiva tipo I + X - confecção</t>
  </si>
  <si>
    <t>5212555</t>
  </si>
  <si>
    <t>Placa em aço nº 16 galvanizado com película retrorrefletiva tipo III + III - chapa recuperada - confecção</t>
  </si>
  <si>
    <t>5213418</t>
  </si>
  <si>
    <t>Placa em aço nº 16 galvanizado com película retrorrefletiva tipo III + III - confecção</t>
  </si>
  <si>
    <t>5213415</t>
  </si>
  <si>
    <t>Placa em aço nº 16 galvanizado com película retrorrefletiva tipo III + SI - confecção</t>
  </si>
  <si>
    <t>5213420</t>
  </si>
  <si>
    <t>Placa em aço nº 16 galvanizado com película retrorrefletiva tipo III + X - confecção</t>
  </si>
  <si>
    <t>5213543</t>
  </si>
  <si>
    <t>Placa em aço, modulada - 2,00 x 1,00 m - película retrorrefletiva tipo I + I - fornecimento e implantação</t>
  </si>
  <si>
    <t>5213552</t>
  </si>
  <si>
    <t>Placa em aço, modulada - 2,00 x 1,00 m - película retrorrefletiva tipo I + III - fornecimento e implantação</t>
  </si>
  <si>
    <t>5213561</t>
  </si>
  <si>
    <t>Placa em aço, modulada - 2,00 x 1,00 m - película retrorrefletiva tipo III + III - fornecimento e implantação</t>
  </si>
  <si>
    <t>5213544</t>
  </si>
  <si>
    <t>Placa em aço, modulada - 3,00 x 1,50 m - película retrorrefletiva tipo I + I - fornecimento e implantação</t>
  </si>
  <si>
    <t>5213553</t>
  </si>
  <si>
    <t>Placa em aço, modulada - 3,00 x 1,50 m - película retrorrefletiva tipo I + III - fornecimento e implantação</t>
  </si>
  <si>
    <t>5213562</t>
  </si>
  <si>
    <t>Placa em aço, modulada - 3,00 x 1,50 m - película retrorrefletiva tipo III + III - fornecimento e implantação</t>
  </si>
  <si>
    <t>5213545</t>
  </si>
  <si>
    <t>Placa em aço, modulada - 3,00 x 2,00 m - película retrorrefletiva tipo I + I - fornecimento e implantação</t>
  </si>
  <si>
    <t>5213554</t>
  </si>
  <si>
    <t>Placa em aço, modulada - 3,00 x 2,00 m - película retrorrefletiva tipo I + III - fornecimento e implantação</t>
  </si>
  <si>
    <t>5213563</t>
  </si>
  <si>
    <t>Placa em aço, modulada - 3,00 x 2,00 m - película retrorrefletiva tipo III + III - fornecimento e implantação</t>
  </si>
  <si>
    <t>5213546</t>
  </si>
  <si>
    <t>Placa em aço, modulada - 4,00 x 2,00 m - película retrorrefletiva tipo I + I - fornecimento e implantação</t>
  </si>
  <si>
    <t>5213555</t>
  </si>
  <si>
    <t>Placa em aço, modulada - 4,00 x 2,00 m - película retrorrefletiva tipo I + III - fornecimento e implantação</t>
  </si>
  <si>
    <t>5213564</t>
  </si>
  <si>
    <t>Placa em aço, modulada - 4,00 x 2,00 m - película retrorrefletiva tipo III + III - fornecimento e implantação</t>
  </si>
  <si>
    <t>5213548</t>
  </si>
  <si>
    <t>Placa em aço, modulada - 4,00 x 3,00 m - película retrorrefletiva tipo I + I - fornecimento e implantação</t>
  </si>
  <si>
    <t>5213557</t>
  </si>
  <si>
    <t>Placa em aço, modulada - 4,00 x 3,00 m - película retrorrefletiva tipo I + III - fornecimento e implantação</t>
  </si>
  <si>
    <t>5213566</t>
  </si>
  <si>
    <t>Placa em aço, modulada - 4,00 x 3,00 m - película retrorrefletiva tipo III + III - fornecimento e implantação</t>
  </si>
  <si>
    <t>5213576</t>
  </si>
  <si>
    <t>Placa em aço, modulada - acima de 2 m² - película I + I - fornecimento e implantação</t>
  </si>
  <si>
    <t>5213577</t>
  </si>
  <si>
    <t>Placa em aço, modulada - acima de 2 m² - película I + III - fornecimento e implantação</t>
  </si>
  <si>
    <t>5213578</t>
  </si>
  <si>
    <t>Placa em aço, modulada - acima de 2 m² - película III + III - fornecimento e implantação</t>
  </si>
  <si>
    <t>5213425</t>
  </si>
  <si>
    <t>Placa em alumínio composto de 3 mm, modulada, aérea, com película retrorrefletiva tipo I + III - confecção</t>
  </si>
  <si>
    <t>5213426</t>
  </si>
  <si>
    <t>Placa em alumínio composto de 3 mm, modulada, aérea, com película retrorrefletiva tipo III + III - confecção</t>
  </si>
  <si>
    <t>5213427</t>
  </si>
  <si>
    <t>Placa em alumínio composto de 3 mm, modulada, aérea, com película retrorrefletiva tipo III + X - confecção</t>
  </si>
  <si>
    <t>5213567</t>
  </si>
  <si>
    <t>Placa em alumínio composto de 3 mm, modulada, aérea, com película retrorrefletiva tipo X + SI - confecção</t>
  </si>
  <si>
    <t>5213486</t>
  </si>
  <si>
    <t>Placa em alumínio composto, espessura de 3,0 mm, modulada, aérea - película retrorrefletiva tipo I + III - fornecimento e implantação</t>
  </si>
  <si>
    <t>5213487</t>
  </si>
  <si>
    <t>Placa em alumínio composto, espessura de 3,0 mm, modulada, aérea - película retrorrefletiva tipo III + III - fornecimento e implantação</t>
  </si>
  <si>
    <t>5213488</t>
  </si>
  <si>
    <t>Placa em alumínio composto, espessura de 3,0 mm, modulada, aérea - película retrorrefletiva tipo III + X - fornecimento e implantação</t>
  </si>
  <si>
    <t>5213568</t>
  </si>
  <si>
    <t>Placa em alumínio composto, espessura de 3,0 mm, modulada, aérea - película retrorrefletiva tipo X + SI - fornecimento e implantação</t>
  </si>
  <si>
    <t>5213483</t>
  </si>
  <si>
    <t>Placa em alumínio, espessura de 1,5 mm, modulada, aérea - película retrorrefletiva tipo I + III - fornecimento e implantação</t>
  </si>
  <si>
    <t>5213484</t>
  </si>
  <si>
    <t>Placa em alumínio, espessura de 1,5 mm, modulada, aérea - película retrorrefletiva tipo III + III - fornecimento e implantação</t>
  </si>
  <si>
    <t>5213485</t>
  </si>
  <si>
    <t>Placa em alumínio, espessura de 1,5 mm, modulada, aérea - película retrorrefletiva tipo III + X - fornecimento e implantação</t>
  </si>
  <si>
    <t>5213434</t>
  </si>
  <si>
    <t>Placa em alumínio, espessura de 1,5 mm, modulada, aérea, com película retrorrefletiva tipo I + III - confecção</t>
  </si>
  <si>
    <t>5213435</t>
  </si>
  <si>
    <t>Placa em alumínio, espessura de 1,5 mm, modulada, aérea, com película retrorrefletiva tipo III + III - confecção</t>
  </si>
  <si>
    <t>5213436</t>
  </si>
  <si>
    <t>Placa em alumínio, espessura de 1,5 mm, modulada, aérea, com película retrorrefletiva tipo III + X - confecção</t>
  </si>
  <si>
    <t>5213430</t>
  </si>
  <si>
    <t>Placa em chapa de poliéster reforçada com fibra de vidro com película retrorrefletiva tipo I + I - confecção</t>
  </si>
  <si>
    <t>5213431</t>
  </si>
  <si>
    <t>Placa em chapa de poliéster reforçada com fibra de vidro com película retrorrefletiva tipo I + III - confecção</t>
  </si>
  <si>
    <t>5213433</t>
  </si>
  <si>
    <t>Placa em chapa de poliéster reforçada com fibra de vidro com película retrorrefletiva tipo I + IV - confecção</t>
  </si>
  <si>
    <t>5213428</t>
  </si>
  <si>
    <t>Placa em chapa de poliéster reforçada com fibra de vidro com película retrorrefletiva tipo I + SI - confecção</t>
  </si>
  <si>
    <t>5213432</t>
  </si>
  <si>
    <t>Placa em chapa de poliéster reforçada com fibra de vidro com película retrorrefletiva tipo III + III - confecção</t>
  </si>
  <si>
    <t>5213429</t>
  </si>
  <si>
    <t>Placa em chapa de poliéster reforçada com fibra de vidro com película retrorrefletiva tipo III + SI - confecção</t>
  </si>
  <si>
    <t>5213516</t>
  </si>
  <si>
    <t>Placa em fibra - 2,00 x 1,00 m - película retrorrefletiva tipo I + I - fornecimento e implantação</t>
  </si>
  <si>
    <t>5213525</t>
  </si>
  <si>
    <t>Placa em fibra - 2,00 x 1,00 m - película retrorrefletiva tipo I + III - fornecimento e implantação</t>
  </si>
  <si>
    <t>5213534</t>
  </si>
  <si>
    <t>Placa em fibra - 2,00 x 1,00 m - película retrorrefletiva tipo III + III - fornecimento e implantação</t>
  </si>
  <si>
    <t>5213517</t>
  </si>
  <si>
    <t>Placa em fibra - 3,00 x 1,50 m - película retrorrefletiva tipo I + I - fornecimento e implantação</t>
  </si>
  <si>
    <t>5213526</t>
  </si>
  <si>
    <t>Placa em fibra - 3,00 x 1,50 m - película retrorrefletiva tipo I + III - fornecimento e implantação</t>
  </si>
  <si>
    <t>5213535</t>
  </si>
  <si>
    <t>Placa em fibra - 3,00 x 1,50 m - película retrorrefletiva tipo III + III - fornecimento e implantação</t>
  </si>
  <si>
    <t>5213518</t>
  </si>
  <si>
    <t>Placa em fibra - 3,00 x 2,00 m - película retrorrefletiva tipo I + I - fornecimento e implantação</t>
  </si>
  <si>
    <t>5213527</t>
  </si>
  <si>
    <t>Placa em fibra - 3,00 x 2,00 m - película retrorrefletiva tipo I + III - fornecimento e implantação</t>
  </si>
  <si>
    <t>5213536</t>
  </si>
  <si>
    <t>Placa em fibra - 3,00 x 2,00 m - película retrorrefletiva tipo III + III - fornecimento e implantação</t>
  </si>
  <si>
    <t>5213519</t>
  </si>
  <si>
    <t>Placa em fibra - 4,00 x 2,00 m - película retrorrefletiva tipo I + I - fornecimento e implantação</t>
  </si>
  <si>
    <t>5213528</t>
  </si>
  <si>
    <t>Placa em fibra - 4,00 x 2,00 m - película retrorrefletiva tipo I + III - fornecimento e implantação</t>
  </si>
  <si>
    <t>5213537</t>
  </si>
  <si>
    <t>Placa em fibra - 4,00 x 2,00 m - película retrorrefletiva tipo III + III - fornecimento e implantação</t>
  </si>
  <si>
    <t>5213521</t>
  </si>
  <si>
    <t>Placa em fibra - 4,00 x 3,00 m - película retrorrefletiva tipo I + I - fornecimento e implantação</t>
  </si>
  <si>
    <t>5213530</t>
  </si>
  <si>
    <t>Placa em fibra - 4,00 x 3,00 m - película retrorrefletiva tipo I + III - fornecimento e implantação</t>
  </si>
  <si>
    <t>5213539</t>
  </si>
  <si>
    <t>Placa em fibra - 4,00 x 3,00 m - película retrorrefletiva tipo III + III - fornecimento e implantação</t>
  </si>
  <si>
    <t>5213573</t>
  </si>
  <si>
    <t>Placa em fibra - película I + I - fornecimento e implantação</t>
  </si>
  <si>
    <t>5213574</t>
  </si>
  <si>
    <t>Placa em fibra - película I + III - fornecimento e implantação</t>
  </si>
  <si>
    <t>5213575</t>
  </si>
  <si>
    <t>Placa em fibra - película III + III - fornecimento e implantação</t>
  </si>
  <si>
    <t>5213480</t>
  </si>
  <si>
    <t>Placa em fibra, modulada, aérea - película retrorrefletiva tipo I + III - fornecimento e implantação</t>
  </si>
  <si>
    <t>5213481</t>
  </si>
  <si>
    <t>Placa em fibra, modulada, aérea - película retrorrefletiva tipo III + III - fornecimento e implantação</t>
  </si>
  <si>
    <t>5213482</t>
  </si>
  <si>
    <t>Placa em fibra, modulada, aérea - película retrorrefletiva tipo III + X - fornecimento e implantação</t>
  </si>
  <si>
    <t>5213422</t>
  </si>
  <si>
    <t>Placa modulada em aço nº 18 galvanizado com película retrorrefletiva tipo I + I - confecção</t>
  </si>
  <si>
    <t>5213423</t>
  </si>
  <si>
    <t>Placa modulada em aço nº 18 galvanizado com película retrorrefletiva tipo I + III - confecção</t>
  </si>
  <si>
    <t>5213424</t>
  </si>
  <si>
    <t>Placa modulada em aço nº 18 galvanizado com película retrorrefletiva tipo III + III - confecção</t>
  </si>
  <si>
    <t>5213437</t>
  </si>
  <si>
    <t>Placa modulada em chapa de poliéster reforçada com fibra de vidro, aérea, com película retrorrefletiva tipo I + III - confecção</t>
  </si>
  <si>
    <t>5213438</t>
  </si>
  <si>
    <t>Placa modulada em chapa de poliéster reforçada com fibra de vidro, aérea, com película retrorrefletiva tipo III + III - confecção</t>
  </si>
  <si>
    <t>5213439</t>
  </si>
  <si>
    <t>Placa modulada em chapa de poliéster reforçada com fibra de vidro, aérea, com película retrorrefletiva tipo III + X - confecção</t>
  </si>
  <si>
    <t>5212556</t>
  </si>
  <si>
    <t>Placa para sinalização de obras montada em cavalete metálico - 1,00 x 1,00 m - utilização de 600 ciclos - fornecimento, 01 implantação e 01 retirada diária</t>
  </si>
  <si>
    <t>5213649</t>
  </si>
  <si>
    <t>Pórtico metálico com vão de 15,9 m, vento de 35 m/s e área de exposição de até 23,85 m² - fornecimento e implantação - areia e brita comerciais</t>
  </si>
  <si>
    <t>5213591</t>
  </si>
  <si>
    <t>Pórtico metálico com vão de 15,9 m, vento de 35 m/s e área de exposição de até 23,85 m² - fornecimento e implantação - areia extraída e brita produzida</t>
  </si>
  <si>
    <t>5213718</t>
  </si>
  <si>
    <t>Pórtico metálico com vão de 15,9 m, vento de 40 m/s e área de exposição de até 23,85 m² - fornecimento e implantação - areia e brita comerciais</t>
  </si>
  <si>
    <t>5213741</t>
  </si>
  <si>
    <t>Pórtico metálico com vão de 15,9 m, vento de 40 m/s e área de exposição de até 23,85 m² - fornecimento e implantação - areia extraída e brita produzida</t>
  </si>
  <si>
    <t>5213776</t>
  </si>
  <si>
    <t>Pórtico metálico com vão de 15,9 m, vento de 45 m/s e área de exposição de até 23,85 m² - fornecimento e implantação - areia e brita comerciais</t>
  </si>
  <si>
    <t>5213799</t>
  </si>
  <si>
    <t>Pórtico metálico com vão de 15,9 m, vento de 45 m/s e área de exposição de até 23,85 m² - fornecimento e implantação - areia extraída e brita produzida</t>
  </si>
  <si>
    <t>5213363</t>
  </si>
  <si>
    <t>Recuperação de chapa em aço para placa de sinalização</t>
  </si>
  <si>
    <t>5213667</t>
  </si>
  <si>
    <t>Remoção da estrutura de pórtico metálico</t>
  </si>
  <si>
    <t>5213683</t>
  </si>
  <si>
    <t>Remoção da estrutura de semipórtico duplo metálico</t>
  </si>
  <si>
    <t>5213660</t>
  </si>
  <si>
    <t>Remoção da estrutura de semipórtico metálico</t>
  </si>
  <si>
    <t>5213364</t>
  </si>
  <si>
    <t>Remoção de placa de sinalização</t>
  </si>
  <si>
    <t>5213832</t>
  </si>
  <si>
    <t>Remoção de sinalização horizontal com maçarico</t>
  </si>
  <si>
    <t>5213830</t>
  </si>
  <si>
    <t>Remoção de sinalização horizontal por fresagem</t>
  </si>
  <si>
    <t>5213831</t>
  </si>
  <si>
    <t>Remoção de sinalização horizontal tipo pintura acrílica por jateamento abrasivo úmido com vidro - utilização de 3 vezes</t>
  </si>
  <si>
    <t>5213849</t>
  </si>
  <si>
    <t>Semáforo móvel com 3 lentes D = 200 mm</t>
  </si>
  <si>
    <t>5213636</t>
  </si>
  <si>
    <t>Semipórtico duplo metálico com vão de 2 x 8,3 m, vento de 35 m/s e área de exposição de até 2 x 12,45 m² - fornecimento e implantação - areia e brita comerciais</t>
  </si>
  <si>
    <t>5213642</t>
  </si>
  <si>
    <t>Semipórtico duplo metálico com vão de 2 x 8,3 m, vento de 35 m/s e área de exposição de até 2 x 12,45 m² - fornecimento e implantação - areia extraída e brita produzida</t>
  </si>
  <si>
    <t>5213757</t>
  </si>
  <si>
    <t>Semipórtico duplo metálico com vão de 2 x 8,3 m, vento de 40 m/s e área de exposição de até 2 x 12,45 m² - fornecimento e implantação - areia e brita comerciais</t>
  </si>
  <si>
    <t>5213763</t>
  </si>
  <si>
    <t>Semipórtico duplo metálico com vão de 2 x 8,3 m, vento de 40 m/s e área de exposição de até 2 x 12,45 m² - fornecimento e implantação - areia extraída e brita produzida</t>
  </si>
  <si>
    <t>5213815</t>
  </si>
  <si>
    <t>Semipórtico duplo metálico com vão de 2 x 8,3 m, vento de 45 m/s e área de exposição de até 2 x 12,45 m² - fornecimento e implantação - areia e brita comerciais</t>
  </si>
  <si>
    <t>5213821</t>
  </si>
  <si>
    <t>Semipórtico duplo metálico com vão de 2 x 8,3 m, vento de 45 m/s e área de exposição de até 2 x 12,45 m² - fornecimento e implantação - areia extraída e brita produzida</t>
  </si>
  <si>
    <t>5213630</t>
  </si>
  <si>
    <t>Semipórtico metálico com vão de 8,3 m, vento de 35 m/s e área de exposição de até 12,45 m² - fornecimento e implantação - areia e brita comerciais</t>
  </si>
  <si>
    <t>5213584</t>
  </si>
  <si>
    <t>Semipórtico metálico com vão de 8,3 m, vento de 35 m/s e área de exposição de até 12,45 m² - fornecimento e implantação - areia extraída e brita produzida</t>
  </si>
  <si>
    <t>5213711</t>
  </si>
  <si>
    <t>Semipórtico metálico com vão de 8,3 m, vento de 40 m/s e área de exposição de até 12,45 m² - fornecimento e implantação - areia e brita comerciais</t>
  </si>
  <si>
    <t>5213734</t>
  </si>
  <si>
    <t>Semipórtico metálico com vão de 8,3 m, vento de 40 m/s e área de exposição de até 12,45 m² - fornecimento e implantação - areia extraída e brita produzida</t>
  </si>
  <si>
    <t>5213769</t>
  </si>
  <si>
    <t>Semipórtico metálico com vão de 8,3 m, vento de 45 m/s e área de exposição de até 12,45 m² - fornecimento e implantação - areia e brita comerciais</t>
  </si>
  <si>
    <t>5213792</t>
  </si>
  <si>
    <t>Semipórtico metálico com vão de 8,3 m, vento de 45 m/s e área de exposição de até 12,45 m² - fornecimento e implantação - areia extraída e brita produzida</t>
  </si>
  <si>
    <t>5213844</t>
  </si>
  <si>
    <t>Sinalizador direcional móvel, LED, com banco fotovoltaico de energia e montado em chassi com engate</t>
  </si>
  <si>
    <t>5213869</t>
  </si>
  <si>
    <t>Suporte duplo metálico galvanizado para placas - 3,00 x 1,50 m - fornecimento e implantação</t>
  </si>
  <si>
    <t>5213870</t>
  </si>
  <si>
    <t>Suporte duplo metálico galvanizado para placas - 3,00 x 2,00 m - fornecimento e implantação</t>
  </si>
  <si>
    <t>5213871</t>
  </si>
  <si>
    <t>Suporte duplo metálico galvanizado para placas - 4,00 x 2,00 m - fornecimento e implantação</t>
  </si>
  <si>
    <t>5213872</t>
  </si>
  <si>
    <t>Suporte duplo metálico galvanizado para placas - 4,00 x 3,00 m - fornecimento e implantação</t>
  </si>
  <si>
    <t>5213867</t>
  </si>
  <si>
    <t>Suporte metálico galvanizado para marco quilométrico - fornecimento e implantação</t>
  </si>
  <si>
    <t>5213863</t>
  </si>
  <si>
    <t>Suporte metálico galvanizado para placa de advertência ou regulamentação - lado ou diâmetro de 0,60 m - fornecimento e implantação</t>
  </si>
  <si>
    <t>5213864</t>
  </si>
  <si>
    <t>Suporte metálico galvanizado para placa de advertência ou regulamentação - lado ou diâmetro de 0,80 m - fornecimento e implantação</t>
  </si>
  <si>
    <t>5213865</t>
  </si>
  <si>
    <t>Suporte metálico galvanizado para placa de advertência ou regulamentação - lado ou diâmetro de 1,00 m - fornecimento e implantação</t>
  </si>
  <si>
    <t>5213866</t>
  </si>
  <si>
    <t>Suporte metálico galvanizado para placa de advertência ou regulamentação - lado ou diâmetro de 1,20 m - fornecimento e implantação</t>
  </si>
  <si>
    <t>5213855</t>
  </si>
  <si>
    <t>Suporte metálico galvanizado para placa de regulamentação - R1 - lado de 0,248 m - fornecimento e implantação</t>
  </si>
  <si>
    <t>5213856</t>
  </si>
  <si>
    <t>Suporte metálico galvanizado para placa de regulamentação - R1 - lado de 0,331 m - fornecimento e implantação</t>
  </si>
  <si>
    <t>5213857</t>
  </si>
  <si>
    <t>Suporte metálico galvanizado para placa de regulamentação - R1 - lado de 0,414 m - fornecimento e implantação</t>
  </si>
  <si>
    <t>5213858</t>
  </si>
  <si>
    <t>Suporte metálico galvanizado para placa de regulamentação - R1 - lado de 0,497 m - fornecimento e implantação</t>
  </si>
  <si>
    <t>5213859</t>
  </si>
  <si>
    <t>Suporte metálico galvanizado para placa de regulamentação - R2 - lado de 0,60 m - fornecimento e implantação</t>
  </si>
  <si>
    <t>5213860</t>
  </si>
  <si>
    <t>Suporte metálico galvanizado para placa de regulamentação - R2 - lado de 0,80 m - fornecimento e implantação</t>
  </si>
  <si>
    <t>5213861</t>
  </si>
  <si>
    <t>Suporte metálico galvanizado para placa de regulamentação - R2 - lado de 1,00 m - fornecimento e implantação</t>
  </si>
  <si>
    <t>5213862</t>
  </si>
  <si>
    <t>Suporte metálico galvanizado para placa de regulamentação - R2 - lado de 1,20 m - fornecimento e implantação</t>
  </si>
  <si>
    <t>5213868</t>
  </si>
  <si>
    <t>Suporte metálico galvanizado para placas - 2,00 x 1,00 m - fornecimento e implantação</t>
  </si>
  <si>
    <t>5219546</t>
  </si>
  <si>
    <t>Suporte metálico móvel para placa de sinalização - confecção</t>
  </si>
  <si>
    <t>5216111</t>
  </si>
  <si>
    <t>Suporte para placa de sinalização em madeira de lei tratada 8 x 8 cm - fornecimento e implantação</t>
  </si>
  <si>
    <t>5213351</t>
  </si>
  <si>
    <t>Suporte polimérico ecológico maciço colapsível D = 6,5 cm para placa de sinalização - fornecimento e implantação</t>
  </si>
  <si>
    <t>5213350</t>
  </si>
  <si>
    <t>Suporte polimérico ecológico maciço colapsível quadrado de 10 cm para placa de sinalização - fornecimento e implantação</t>
  </si>
  <si>
    <t>5213352</t>
  </si>
  <si>
    <t>Suporte polimérico ecológico maciço colapsível quadrado de 8 cm para placa de sinalização - fornecimento e implantação</t>
  </si>
  <si>
    <t>5213353</t>
  </si>
  <si>
    <t>Suporte polimérico ecológico maciço colapsível retangular de 7 x 15 cm para placa de sinalização - fornecimento e implantação</t>
  </si>
  <si>
    <t>5213360</t>
  </si>
  <si>
    <t>Tacha refletiva em plástico injetado - bidirecional tipo I - com um pino - fornecimento e colocação</t>
  </si>
  <si>
    <t>5219605</t>
  </si>
  <si>
    <t>Tacha refletiva em plástico injetado - bidirecional tipo I - fornecimento e colocação</t>
  </si>
  <si>
    <t>5219606</t>
  </si>
  <si>
    <t>Tacha refletiva em plástico injetado - bidirecional tipo II - com um pino - fornecimento e colocação</t>
  </si>
  <si>
    <t>5219607</t>
  </si>
  <si>
    <t>Tacha refletiva em plástico injetado - bidirecional tipo II - fornecimento e colocação</t>
  </si>
  <si>
    <t>5219608</t>
  </si>
  <si>
    <t>Tacha refletiva em plástico injetado - bidirecional tipo III - com um pino - fornecimento e colocação</t>
  </si>
  <si>
    <t>5219609</t>
  </si>
  <si>
    <t>Tacha refletiva em plástico injetado - bidirecional tipo III - fornecimento e colocação</t>
  </si>
  <si>
    <t>5219610</t>
  </si>
  <si>
    <t>Tacha refletiva em plástico injetado - bidirecional tipo IV - com um pino - fornecimento e colocação</t>
  </si>
  <si>
    <t>5219611</t>
  </si>
  <si>
    <t>Tacha refletiva em plástico injetado - bidirecional tipo IV - fornecimento e colocação</t>
  </si>
  <si>
    <t>5213359</t>
  </si>
  <si>
    <t>Tacha refletiva em plástico injetado - monodirecional tipo I - com um pino - fornecimento e colocação</t>
  </si>
  <si>
    <t>5219612</t>
  </si>
  <si>
    <t>Tacha refletiva em plástico injetado - monodirecional tipo I - fornecimento e colocação</t>
  </si>
  <si>
    <t>5219613</t>
  </si>
  <si>
    <t>Tacha refletiva em plástico injetado - monodirecional tipo II - com um pino - fornecimento e colocação</t>
  </si>
  <si>
    <t>5219614</t>
  </si>
  <si>
    <t>Tacha refletiva em plástico injetado - monodirecional tipo II - fornecimento e colocação</t>
  </si>
  <si>
    <t>5219615</t>
  </si>
  <si>
    <t>Tacha refletiva em plástico injetado - monodirecional tipo III - com um pino - fornecimento e colocação</t>
  </si>
  <si>
    <t>5219616</t>
  </si>
  <si>
    <t>Tacha refletiva em plástico injetado - monodirecional tipo III - fornecimento e colocação</t>
  </si>
  <si>
    <t>5219617</t>
  </si>
  <si>
    <t>Tacha refletiva em plástico injetado - monodirecional tipo IV - com um pino - fornecimento e colocação</t>
  </si>
  <si>
    <t>5219618</t>
  </si>
  <si>
    <t>Tacha refletiva em plástico injetado - monodirecional tipo IV - fornecimento e colocação</t>
  </si>
  <si>
    <t>5219619</t>
  </si>
  <si>
    <t>Tacha refletiva em resina sintética - bidirecional tipo I - com um pino - fornecimento e colocação</t>
  </si>
  <si>
    <t>5219620</t>
  </si>
  <si>
    <t>Tacha refletiva em resina sintética - bidirecional tipo I - fornecimento e colocação</t>
  </si>
  <si>
    <t>5219621</t>
  </si>
  <si>
    <t>Tacha refletiva em resina sintética - bidirecional tipo II - com um pino - fornecimento e colocação</t>
  </si>
  <si>
    <t>5219622</t>
  </si>
  <si>
    <t>Tacha refletiva em resina sintética - bidirecional tipo II - fornecimento e colocação</t>
  </si>
  <si>
    <t>5219623</t>
  </si>
  <si>
    <t>Tacha refletiva em resina sintética - bidirecional tipo III - com um pino - fornecimento e colocação</t>
  </si>
  <si>
    <t>5219624</t>
  </si>
  <si>
    <t>Tacha refletiva em resina sintética - bidirecional tipo III - fornecimento e colocação</t>
  </si>
  <si>
    <t>5219625</t>
  </si>
  <si>
    <t>Tacha refletiva em resina sintética - bidirecional tipo IV - com um pino - fornecimento e colocação</t>
  </si>
  <si>
    <t>5219626</t>
  </si>
  <si>
    <t>Tacha refletiva em resina sintética - bidirecional tipo IV - fornecimento e colocação</t>
  </si>
  <si>
    <t>5219627</t>
  </si>
  <si>
    <t>Tacha refletiva em resina sintética - monodirecional tipo I - com um pino - fornecimento e colocação</t>
  </si>
  <si>
    <t>5219628</t>
  </si>
  <si>
    <t>Tacha refletiva em resina sintética - monodirecional tipo I - fornecimento e colocação</t>
  </si>
  <si>
    <t>5219629</t>
  </si>
  <si>
    <t>Tacha refletiva em resina sintética - monodirecional tipo II - com um pino - fornecimento e colocação</t>
  </si>
  <si>
    <t>5219630</t>
  </si>
  <si>
    <t>Tacha refletiva em resina sintética - monodirecional tipo II - fornecimento e colocação</t>
  </si>
  <si>
    <t>5219631</t>
  </si>
  <si>
    <t>Tacha refletiva em resina sintética - monodirecional tipo III - com um pino - fornecimento e colocação</t>
  </si>
  <si>
    <t>5219632</t>
  </si>
  <si>
    <t>Tacha refletiva em resina sintética - monodirecional tipo III - fornecimento e colocação</t>
  </si>
  <si>
    <t>5219633</t>
  </si>
  <si>
    <t>Tacha refletiva em resina sintética - monodirecional tipo IV - com um pino - fornecimento e colocação</t>
  </si>
  <si>
    <t>5219634</t>
  </si>
  <si>
    <t>Tacha refletiva em resina sintética - monodirecional tipo IV - fornecimento e colocação</t>
  </si>
  <si>
    <t>5213395</t>
  </si>
  <si>
    <t>Tacha refletiva metálica - bidirecional tipo II - com dois pinos - fornecimento e colocação</t>
  </si>
  <si>
    <t>5213394</t>
  </si>
  <si>
    <t>Tacha refletiva metálica - bidirecional tipo II - com um pino - fornecimento e colocação</t>
  </si>
  <si>
    <t>5219635</t>
  </si>
  <si>
    <t>Tacha refletiva metálica - bidirecional tipo III - com dois pinos - fornecimento e colocação</t>
  </si>
  <si>
    <t>5219636</t>
  </si>
  <si>
    <t>Tacha refletiva metálica - bidirecional tipo III - com um pino - fornecimento e colocação</t>
  </si>
  <si>
    <t>5219637</t>
  </si>
  <si>
    <t>Tacha refletiva metálica - bidirecional tipo IV - com dois pinos - fornecimento e colocação</t>
  </si>
  <si>
    <t>5219638</t>
  </si>
  <si>
    <t>Tacha refletiva metálica - bidirecional tipo IV - com um pino - fornecimento e colocação</t>
  </si>
  <si>
    <t>5213393</t>
  </si>
  <si>
    <t>Tacha refletiva metálica - monodirecional tipo II - com dois pinos - fornecimento e colocação</t>
  </si>
  <si>
    <t>5213392</t>
  </si>
  <si>
    <t>Tacha refletiva metálica - monodirecional tipo II - com um pino - fornecimento e colocação</t>
  </si>
  <si>
    <t>5219639</t>
  </si>
  <si>
    <t>Tacha refletiva metálica - monodirecional tipo III - com dois pinos - fornecimento e colocação</t>
  </si>
  <si>
    <t>5219640</t>
  </si>
  <si>
    <t>Tacha refletiva metálica - monodirecional tipo III - com um pino - fornecimento e colocação</t>
  </si>
  <si>
    <t>5219641</t>
  </si>
  <si>
    <t>Tacha refletiva metálica - monodirecional tipo IV - com dois pinos - fornecimento e colocação</t>
  </si>
  <si>
    <t>5219642</t>
  </si>
  <si>
    <t>Tacha refletiva metálica - monodirecional tipo IV - com um pino - fornecimento e colocação</t>
  </si>
  <si>
    <t>5213362</t>
  </si>
  <si>
    <t>Tachão refletivo em plástico injetado - bidirecional - fornecimento e colocação</t>
  </si>
  <si>
    <t>5213361</t>
  </si>
  <si>
    <t>Tachão refletivo em plástico injetado - monodirecional - fornecimento e colocação</t>
  </si>
  <si>
    <t>5219643</t>
  </si>
  <si>
    <t>Tachão refletivo em resina sintética - bidirecional - fornecimento e colocação</t>
  </si>
  <si>
    <t>5219644</t>
  </si>
  <si>
    <t>Tachão refletivo em resina sintética - monodirecional - fornecimento e colocação</t>
  </si>
  <si>
    <t>5214000</t>
  </si>
  <si>
    <t>Termoplástico pré-formado para sinalização horizontal - espessura de 2 mm - fornecimento e implantação</t>
  </si>
  <si>
    <t>5301014</t>
  </si>
  <si>
    <t>Comboio balizador em deslocamento</t>
  </si>
  <si>
    <t>5300995</t>
  </si>
  <si>
    <t>Confecção de corpo de boia flutuante cilíndrico D = 1,10m</t>
  </si>
  <si>
    <t>5300996</t>
  </si>
  <si>
    <t>Confecção de corpo de boia flutuante cilíndrico D = 1,10m - com lastro</t>
  </si>
  <si>
    <t>5300998</t>
  </si>
  <si>
    <t>Confecção de corpo de boia flutuante cilíndrico D = 1,42m - boia de amarração</t>
  </si>
  <si>
    <t>5300997</t>
  </si>
  <si>
    <t>Confecção de corpo de boia flutuante cilíndrico D = 1,43m - com lastro</t>
  </si>
  <si>
    <t>5300999</t>
  </si>
  <si>
    <t>Confecção de mangrulho H = 0,90m</t>
  </si>
  <si>
    <t>5301000</t>
  </si>
  <si>
    <t>Confecção de mangrulho H = 1,50m</t>
  </si>
  <si>
    <t>5301001</t>
  </si>
  <si>
    <t>Confecção de marca de tope de bombordo</t>
  </si>
  <si>
    <t>5301002</t>
  </si>
  <si>
    <t>Confecção de marca de tope de boreste</t>
  </si>
  <si>
    <t>5301003</t>
  </si>
  <si>
    <t>Confecção de marca de tope especial</t>
  </si>
  <si>
    <t>5301064</t>
  </si>
  <si>
    <t>Fornecimento e implantação de suporte duplo em madeira com travessa para placa de sinalização náutica em margem - altura total de 4,0 m</t>
  </si>
  <si>
    <t>5301046</t>
  </si>
  <si>
    <t>Fornecimento e implantação de suporte duplo em madeira com travessa para placa de sinalização náutica em margem - altura total de 4,0 m - com embarcação</t>
  </si>
  <si>
    <t>5301065</t>
  </si>
  <si>
    <t>Fornecimento e implantação de suporte duplo em madeira com travessa para placa de sinalização náutica em margem - altura total de 5,0 m</t>
  </si>
  <si>
    <t>5301047</t>
  </si>
  <si>
    <t>Fornecimento e implantação de suporte duplo em madeira com travessa para placa de sinalização náutica em margem - altura total de 5,0 m - com embarcação</t>
  </si>
  <si>
    <t>5301066</t>
  </si>
  <si>
    <t>Fornecimento e implantação de suporte duplo em madeira com travessa para placa de sinalização náutica em margem - altura total de 5,5 m</t>
  </si>
  <si>
    <t>5301048</t>
  </si>
  <si>
    <t>Fornecimento e implantação de suporte duplo em madeira com travessa para placa de sinalização náutica em margem - altura total de 5,5 m - com embarcação</t>
  </si>
  <si>
    <t>5301040</t>
  </si>
  <si>
    <t>Fornecimento e implantação de suporte duplo metálico galvanizado para placa de sinalização náutica em margem - altura total de 4 m - com embarcação</t>
  </si>
  <si>
    <t>5301058</t>
  </si>
  <si>
    <t>Fornecimento e implantação de suporte duplo metálico galvanizado para placa de sinalização náutica em margem - altura total de 4,0 m</t>
  </si>
  <si>
    <t>5301041</t>
  </si>
  <si>
    <t>Fornecimento e implantação de suporte duplo metálico galvanizado para placa de sinalização náutica em margem - altura total de 5 m - com embarcação</t>
  </si>
  <si>
    <t>5301059</t>
  </si>
  <si>
    <t>Fornecimento e implantação de suporte duplo metálico galvanizado para placa de sinalização náutica em margem - altura total de 5,0 m</t>
  </si>
  <si>
    <t>5301060</t>
  </si>
  <si>
    <t>Fornecimento e implantação de suporte duplo metálico galvanizado para placa de sinalização náutica em margem - altura total de 5,5 m</t>
  </si>
  <si>
    <t>5301042</t>
  </si>
  <si>
    <t>Fornecimento e implantação de suporte duplo metálico galvanizado para placa de sinalização náutica em margem - altura total de 5,5 m - com embarcação</t>
  </si>
  <si>
    <t>5301072</t>
  </si>
  <si>
    <t>Fornecimento e implantação de suporte duplo polimérico ecológico maciço quadrado de 10 cm para placa de sinalização náutica em margem - altura total de 5,5 m</t>
  </si>
  <si>
    <t>5301054</t>
  </si>
  <si>
    <t>Fornecimento e implantação de suporte duplo polimérico ecológico maciço quadrado de 10 cm para placa de sinalização náutica em margem - altura total de 5,5 m - com embarcação</t>
  </si>
  <si>
    <t>5301070</t>
  </si>
  <si>
    <t>Fornecimento e implantação de suporte duplo polimérico ecológico maciço quadrado de 8 cm para placa de sinalização náutica em margem - altura total de 4,0 m</t>
  </si>
  <si>
    <t>5301052</t>
  </si>
  <si>
    <t>Fornecimento e implantação de suporte duplo polimérico ecológico maciço quadrado de 8 cm para placa de sinalização náutica em margem - altura total de 4,0 m - com embarcação</t>
  </si>
  <si>
    <t>5301071</t>
  </si>
  <si>
    <t>Fornecimento e implantação de suporte duplo polimérico ecológico maciço quadrado de 8 cm para placa de sinalização náutica em margem - altura total de 5,0 m</t>
  </si>
  <si>
    <t>5301053</t>
  </si>
  <si>
    <t>Fornecimento e implantação de suporte duplo polimérico ecológico maciço quadrado de 8 cm para placa de sinalização náutica em margem - altura total de 5,0 m - com embarcação</t>
  </si>
  <si>
    <t>5301061</t>
  </si>
  <si>
    <t>Fornecimento e implantação de suporte simples em madeira com travessa para placa de sinalização náutica em margem - altura total de 4 m</t>
  </si>
  <si>
    <t>5301043</t>
  </si>
  <si>
    <t>Fornecimento e implantação de suporte simples em madeira com travessa para placa de sinalização náutica em margem - altura total de 4 m - com embarcação</t>
  </si>
  <si>
    <t>5301062</t>
  </si>
  <si>
    <t>Fornecimento e implantação de suporte simples em madeira com travessa para placa de sinalização náutica em margem - altura total de 5 m</t>
  </si>
  <si>
    <t>5301044</t>
  </si>
  <si>
    <t>Fornecimento e implantação de suporte simples em madeira com travessa para placa de sinalização náutica em margem - altura total de 5 m - com embarcação</t>
  </si>
  <si>
    <t>5301063</t>
  </si>
  <si>
    <t>Fornecimento e implantação de suporte simples em madeira com travessa para placa de sinalização náutica em margem - altura total de 5,5 m</t>
  </si>
  <si>
    <t>5301045</t>
  </si>
  <si>
    <t>Fornecimento e implantação de suporte simples em madeira com travessa para placa de sinalização náutica em margem - altura total de 5,5 m - com embarcação</t>
  </si>
  <si>
    <t>5301037</t>
  </si>
  <si>
    <t>Fornecimento e implantação de suporte simples metálico galvanizado para placa de sinalização náutica em margem - altura total de 4 m - com embarcação</t>
  </si>
  <si>
    <t>5301055</t>
  </si>
  <si>
    <t>Fornecimento e implantação de suporte simples metálico galvanizado para placa de sinalização náutica em margem - altura total de 4,0 m</t>
  </si>
  <si>
    <t>5301038</t>
  </si>
  <si>
    <t>Fornecimento e implantação de suporte simples metálico galvanizado para placa de sinalização náutica em margem - altura total de 5 m - com embarcação</t>
  </si>
  <si>
    <t>5301056</t>
  </si>
  <si>
    <t>Fornecimento e implantação de suporte simples metálico galvanizado para placa de sinalização náutica em margem - altura total de 5,0 m</t>
  </si>
  <si>
    <t>5301057</t>
  </si>
  <si>
    <t>Fornecimento e implantação de suporte simples metálico galvanizado para placa de sinalização náutica em margem - altura total de 5,5 m</t>
  </si>
  <si>
    <t>5301039</t>
  </si>
  <si>
    <t>Fornecimento e implantação de suporte simples metálico galvanizado para placa de sinalização náutica em margem - altura total de 5,5 m - com embarcação</t>
  </si>
  <si>
    <t>5301069</t>
  </si>
  <si>
    <t>Fornecimento e implantação de suporte simples polimérico ecológico maciço quadrado de 10 cm para placa de sinalização náutica em margem - altura total de 5,5 m</t>
  </si>
  <si>
    <t>5301051</t>
  </si>
  <si>
    <t>Fornecimento e implantação de suporte simples polimérico ecológico maciço quadrado de 10 cm para placa de sinalização náutica em margem - altura total de 5,5 m - com embarcação</t>
  </si>
  <si>
    <t>5301067</t>
  </si>
  <si>
    <t>Fornecimento e implantação de suporte simples polimérico ecológico maciço quadrado de 8 cm para placa de sinalização náutica em margem - altura total de 4 m</t>
  </si>
  <si>
    <t>5301049</t>
  </si>
  <si>
    <t>Fornecimento e implantação de suporte simples polimérico ecológico maciço quadrado de 8 cm para placa de sinalização náutica em margem - altura total de 4 m - com embarcação</t>
  </si>
  <si>
    <t>5301068</t>
  </si>
  <si>
    <t>Fornecimento e implantação de suporte simples polimérico ecológico maciço quadrado de 8 cm para placa de sinalização náutica em margem - altura total de 5 m</t>
  </si>
  <si>
    <t>5301050</t>
  </si>
  <si>
    <t>Fornecimento e implantação de suporte simples polimérico ecológico maciço quadrado de 8 cm para placa de sinalização náutica em margem - altura total de 5 m - com embarcação</t>
  </si>
  <si>
    <t>5301022</t>
  </si>
  <si>
    <t>Fornecimento e instalação de conjunto de acessórios para sistema de fundeio de boia de amarração náutica com 4 manilhas</t>
  </si>
  <si>
    <t>5301021</t>
  </si>
  <si>
    <t>Fornecimento e instalação de conjunto de acessórios para sistema de fundeio de boia de sinalização náutica com 7 manilhas</t>
  </si>
  <si>
    <t>5301020</t>
  </si>
  <si>
    <t>Fornecimento e instalação de corrente 1" para sistema de fundeio de boia de sinalização náutica</t>
  </si>
  <si>
    <t>5301018</t>
  </si>
  <si>
    <t>Fornecimento e instalação de corrente 1/2" para sistema de fundeio de boia de sinalização náutica</t>
  </si>
  <si>
    <t>5301019</t>
  </si>
  <si>
    <t>Fornecimento e instalação de corrente 3/4" para sistema de fundeio de boia de sinalização náutica</t>
  </si>
  <si>
    <t>5301077</t>
  </si>
  <si>
    <t>Fornecimento e instalação de lanterna de sinalização náutica com alcance luminoso de 2 MN em obra de arte especial - com embarcação</t>
  </si>
  <si>
    <t>5301078</t>
  </si>
  <si>
    <t>Fornecimento e instalação de lanterna de sinalização náutica com alcance luminoso de 3 MN em obra de arte especial - com embarcação</t>
  </si>
  <si>
    <t>5301079</t>
  </si>
  <si>
    <t>Fornecimento e instalação de lanterna de sinalização náutica com alcance luminoso de 4 MN em obra de arte especial - com embarcação</t>
  </si>
  <si>
    <t>5301080</t>
  </si>
  <si>
    <t>Fornecimento e instalação de lanterna de sinalização náutica com alcance luminoso de 5 MN em obra de arte especial - com embarcação</t>
  </si>
  <si>
    <t>5301081</t>
  </si>
  <si>
    <t>Fornecimento e instalação de lanterna de sinalização náutica com alcance luminoso de 8 MN em obra de arte especial - com embarcação</t>
  </si>
  <si>
    <t>5301023</t>
  </si>
  <si>
    <t>Fornecimento e instalação de suporte e lanterna de sinalização náutica com alcance luminoso de 2 MN em boia</t>
  </si>
  <si>
    <t>5301024</t>
  </si>
  <si>
    <t>Fornecimento e instalação de suporte e lanterna de sinalização náutica com alcance luminoso de 3 MN em boia</t>
  </si>
  <si>
    <t>5301025</t>
  </si>
  <si>
    <t>Fornecimento e instalação de suporte e lanterna de sinalização náutica com alcance luminoso de 4 MN em boia</t>
  </si>
  <si>
    <t>5301026</t>
  </si>
  <si>
    <t>Fornecimento e instalação de suporte e lanterna de sinalização náutica com alcance luminoso de 5 MN em boia</t>
  </si>
  <si>
    <t>5301027</t>
  </si>
  <si>
    <t>Fornecimento e instalação de suporte e lanterna de sinalização náutica com alcance luminoso de 8 MN em boia</t>
  </si>
  <si>
    <t>5301028</t>
  </si>
  <si>
    <t>Fornecimento e substituição de lanterna de sinalização náutica com alcance luminoso de 2 MN em boia</t>
  </si>
  <si>
    <t>5301082</t>
  </si>
  <si>
    <t>Fornecimento e substituição de lanterna de sinalização náutica com alcance luminoso de 2 MN em obra de arte especial - com embarcação</t>
  </si>
  <si>
    <t>5301029</t>
  </si>
  <si>
    <t>Fornecimento e substituição de lanterna de sinalização náutica com alcance luminoso de 3 MN em boia</t>
  </si>
  <si>
    <t>5301083</t>
  </si>
  <si>
    <t>Fornecimento e substituição de lanterna de sinalização náutica com alcance luminoso de 3 MN em obra de arte especial - com embarcação</t>
  </si>
  <si>
    <t>5301030</t>
  </si>
  <si>
    <t>Fornecimento e substituição de lanterna de sinalização náutica com alcance luminoso de 4 MN em boia</t>
  </si>
  <si>
    <t>5301084</t>
  </si>
  <si>
    <t>Fornecimento e substituição de lanterna de sinalização náutica com alcance luminoso de 4 MN em obra de arte especial - com embarcação</t>
  </si>
  <si>
    <t>5301031</t>
  </si>
  <si>
    <t>Fornecimento e substituição de lanterna de sinalização náutica com alcance luminoso de 5 MN em boia</t>
  </si>
  <si>
    <t>5301085</t>
  </si>
  <si>
    <t>Fornecimento e substituição de lanterna de sinalização náutica com alcance luminoso de 5 MN em obra de arte especial - com embarcação</t>
  </si>
  <si>
    <t>5301032</t>
  </si>
  <si>
    <t>Fornecimento e substituição de lanterna de sinalização náutica com alcance luminoso de 8 MN em boia</t>
  </si>
  <si>
    <t>5301086</t>
  </si>
  <si>
    <t>Fornecimento e substituição de lanterna de sinalização náutica com alcance luminoso de 8 MN em obra de arte especial - com embarcação</t>
  </si>
  <si>
    <t>5301033</t>
  </si>
  <si>
    <t>Implantação de placa de sinalização náutica em margem - equipamentos e mão de obra</t>
  </si>
  <si>
    <t>5301034</t>
  </si>
  <si>
    <t>Implantação de placa de sinalização náutica em margem - equipamentos e mão de obra - com embarcação</t>
  </si>
  <si>
    <t>5301073</t>
  </si>
  <si>
    <t>Implantação de placa de sinalização náutica em obra de arte especial - equipamentos e mão de obra</t>
  </si>
  <si>
    <t>5301074</t>
  </si>
  <si>
    <t>Implantação de placa de sinalização náutica em obra de arte especial - equipamentos e mão de obra - com embarcação</t>
  </si>
  <si>
    <t>5301015</t>
  </si>
  <si>
    <t>Lançamento de boia de sinalização náutica com sistema de fundeio - equipamentos e mão de obra</t>
  </si>
  <si>
    <t>5300992</t>
  </si>
  <si>
    <t>Pintura com epóxi óxido de ferro em chapa metálica com pistola a ar comprimido, uma demão, espessura de 35 µm</t>
  </si>
  <si>
    <t>5300994</t>
  </si>
  <si>
    <t>Pintura com esmalte poliuretano de dois componentes em chapa metálica com pistola a ar comprimido, uma demão, espessura de 35 µm</t>
  </si>
  <si>
    <t>5300993</t>
  </si>
  <si>
    <t>Pintura com fundo fosfatizante, uma demão, em chapa de alumínio com pistola a ar comprimido</t>
  </si>
  <si>
    <t>5301088</t>
  </si>
  <si>
    <t>Poita de concreto com 1.000 kg para boia de sinalização náutica</t>
  </si>
  <si>
    <t>5301004</t>
  </si>
  <si>
    <t>Poita de concreto com 1.500 kg para boia de sinalização náutica</t>
  </si>
  <si>
    <t>5301087</t>
  </si>
  <si>
    <t>Poita de concreto com 500 kg para boia de sinalização náutica</t>
  </si>
  <si>
    <t>5301005</t>
  </si>
  <si>
    <t>Reforma de corpo de boia flutuante cilíndrico D = 1,10m</t>
  </si>
  <si>
    <t>5301006</t>
  </si>
  <si>
    <t>Reforma de corpo de boia flutuante cilíndrico D = 1,10m - com lastro</t>
  </si>
  <si>
    <t>5301008</t>
  </si>
  <si>
    <t>Reforma de corpo de boia flutuante cilíndrico D = 1,42m - boia de amarração</t>
  </si>
  <si>
    <t>5301007</t>
  </si>
  <si>
    <t>Reforma de corpo de boia flutuante cilíndrico D = 1,43m - com lastro</t>
  </si>
  <si>
    <t>5301009</t>
  </si>
  <si>
    <t>Reforma de mangrulho H = 0,90m</t>
  </si>
  <si>
    <t>5301010</t>
  </si>
  <si>
    <t>Reforma de mangrulho H = 1,50m</t>
  </si>
  <si>
    <t>5301011</t>
  </si>
  <si>
    <t>Reforma de marca de tope de bombordo</t>
  </si>
  <si>
    <t>5301012</t>
  </si>
  <si>
    <t>Reforma de marca de tope de boreste</t>
  </si>
  <si>
    <t>5301013</t>
  </si>
  <si>
    <t>Reforma de marca de tope especial</t>
  </si>
  <si>
    <t>5301016</t>
  </si>
  <si>
    <t>Substituição de boia de sinalização náutica com sistema de fundeio - equipamentos e mão de obra</t>
  </si>
  <si>
    <t>5301017</t>
  </si>
  <si>
    <t>Substituição de boia de sinalização náutica sem sistema de fundeio - equipamentos e mão de obra</t>
  </si>
  <si>
    <t>5301035</t>
  </si>
  <si>
    <t>Substituição de placa de sinalização náutica em margem - equipamentos e mão de obra</t>
  </si>
  <si>
    <t>5301036</t>
  </si>
  <si>
    <t>Substituição de placa de sinalização náutica em margem - equipamentos e mão de obra - com embarcação</t>
  </si>
  <si>
    <t>5301075</t>
  </si>
  <si>
    <t>Substituição de placa de sinalização náutica em obra de arte especial - equipamentos e mão de obra</t>
  </si>
  <si>
    <t>5301076</t>
  </si>
  <si>
    <t>Substituição de placa de sinalização náutica em obra de arte especial - equipamentos e mão de obra - com embarcação</t>
  </si>
  <si>
    <t>5405977</t>
  </si>
  <si>
    <t>Aterro compactado em solo reforçado com fita metálica galvanizada - taxa 1,65 kg/m³ - material de jazida</t>
  </si>
  <si>
    <t>5406044</t>
  </si>
  <si>
    <t>Aterro compactado em solo reforçado com fita metálica galvanizada - taxa 12,40 kg/m³ - material de jazida</t>
  </si>
  <si>
    <t>5406045</t>
  </si>
  <si>
    <t>Aterro compactado em solo reforçado com fita metálica galvanizada - taxa 13,23 kg/m³ - material de jazida</t>
  </si>
  <si>
    <t>5406046</t>
  </si>
  <si>
    <t>Aterro compactado em solo reforçado com fita metálica galvanizada - taxa 14,88 kg/m³ - material de jazida</t>
  </si>
  <si>
    <t>5406047</t>
  </si>
  <si>
    <t>Aterro compactado em solo reforçado com fita metálica galvanizada - taxa 19,84 kg/m³ - material de jazida</t>
  </si>
  <si>
    <t>5405978</t>
  </si>
  <si>
    <t>Aterro compactado em solo reforçado com fita metálica galvanizada - taxa 3,31 kg/m³ - material de jazida</t>
  </si>
  <si>
    <t>5405982</t>
  </si>
  <si>
    <t>Aterro compactado em solo reforçado com fita metálica galvanizada - taxa 4,13 kg/m³ - material de jazida</t>
  </si>
  <si>
    <t>5405983</t>
  </si>
  <si>
    <t>Aterro compactado em solo reforçado com fita metálica galvanizada - taxa 4,96 kg/m³ - material de jazida</t>
  </si>
  <si>
    <t>5405984</t>
  </si>
  <si>
    <t>Aterro compactado em solo reforçado com fita metálica galvanizada - taxa 6,61 kg/m³ - material de jazida</t>
  </si>
  <si>
    <t>5405985</t>
  </si>
  <si>
    <t>Aterro compactado em solo reforçado com fita metálica galvanizada - taxa 8,27 kg/m³ - material de jazida</t>
  </si>
  <si>
    <t>5406043</t>
  </si>
  <si>
    <t>Aterro compactado em solo reforçado com fita metálica galvanizada - taxa 9,92 kg/m³ - material de jazida</t>
  </si>
  <si>
    <t>5405975</t>
  </si>
  <si>
    <t>Escoramento da primeira linha de escamas de concreto armado em solo reforçado com fita metálica – utilização de 3 vezes - confecção, instalação e retirada</t>
  </si>
  <si>
    <t>5405970</t>
  </si>
  <si>
    <t>Fabricação de escama de concreto armado para solo reforçado com fita metálica - 2 a 5 ligações - areia e brita comerciais</t>
  </si>
  <si>
    <t>5405972</t>
  </si>
  <si>
    <t>Fabricação de escama de concreto armado para solo reforçado com fita metálica - 2 a 5 ligações - areia extraída e brita produzida</t>
  </si>
  <si>
    <t>5405971</t>
  </si>
  <si>
    <t>Fabricação de escama de concreto armado para solo reforçado com fita metálica - 6 a 8 ligações - areia e brita comerciais</t>
  </si>
  <si>
    <t>5405973</t>
  </si>
  <si>
    <t>Fabricação de escama de concreto armado para solo reforçado com fita metálica - 6 a 8 ligações - areia extraída e brita produzida</t>
  </si>
  <si>
    <t>5405986</t>
  </si>
  <si>
    <t>Moldes metálicos para escama de concreto armado para solo reforçado com fita metálica - formato cruciforme de 1,50 x 1,50 m - utilização de 100 vezes</t>
  </si>
  <si>
    <t>5405976</t>
  </si>
  <si>
    <t>Montagem das escamas de concreto armado em solo reforçado com fita metálica</t>
  </si>
  <si>
    <t>5406023</t>
  </si>
  <si>
    <t>Muro de escama de concreto armado em solo reforçado com fita metálica com altura até 4 m - tipo 1 - areia e brita comerciais</t>
  </si>
  <si>
    <t>5406033</t>
  </si>
  <si>
    <t>Muro de escama de concreto armado em solo reforçado com fita metálica com altura até 4 m - tipo 1 - areia extraída e brita produzida</t>
  </si>
  <si>
    <t>5406024</t>
  </si>
  <si>
    <t>Muro de escama de concreto armado em solo reforçado com fita metálica com altura até 4 m - tipo 2 - areia e brita comerciais</t>
  </si>
  <si>
    <t>5406034</t>
  </si>
  <si>
    <t>Muro de escama de concreto armado em solo reforçado com fita metálica com altura até 4 m - tipo 2 - areia extraída e brita produzida</t>
  </si>
  <si>
    <t>5406031</t>
  </si>
  <si>
    <t>Muro de escama de concreto armado em solo reforçado com fita metálica com altura de 10,0 a 12 m - tipo 1 - areia e brita comerciais</t>
  </si>
  <si>
    <t>5406041</t>
  </si>
  <si>
    <t>Muro de escama de concreto armado em solo reforçado com fita metálica com altura de 10,0 a 12 m - tipo 1 - areia extraída e brita produzida</t>
  </si>
  <si>
    <t>5406032</t>
  </si>
  <si>
    <t>Muro de escama de concreto armado em solo reforçado com fita metálica com altura de 10,0 a 12 m - tipo 2 - areia e brita comerciais</t>
  </si>
  <si>
    <t>5406042</t>
  </si>
  <si>
    <t>Muro de escama de concreto armado em solo reforçado com fita metálica com altura de 10,0 a 12 m - tipo 2 - areia extraída e brita produzida</t>
  </si>
  <si>
    <t>5406025</t>
  </si>
  <si>
    <t>Muro de escama de concreto armado em solo reforçado com fita metálica com altura de 4,0 a 6 m - tipo 1 - areia e brita comerciais</t>
  </si>
  <si>
    <t>5406035</t>
  </si>
  <si>
    <t>Muro de escama de concreto armado em solo reforçado com fita metálica com altura de 4,0 a 6 m - tipo 1 - areia extraída e brita produzida</t>
  </si>
  <si>
    <t>5406026</t>
  </si>
  <si>
    <t>Muro de escama de concreto armado em solo reforçado com fita metálica com altura de 4,0 a 6 m - tipo 2 - areia e brita comerciais</t>
  </si>
  <si>
    <t>5406036</t>
  </si>
  <si>
    <t>Muro de escama de concreto armado em solo reforçado com fita metálica com altura de 4,0 a 6 m - tipo 2 - areia extraída e brita produzida</t>
  </si>
  <si>
    <t>5406027</t>
  </si>
  <si>
    <t>Muro de escama de concreto armado em solo reforçado com fita metálica com altura de 6,0 a 8 m - tipo 1 - areia e brita comerciais</t>
  </si>
  <si>
    <t>5406037</t>
  </si>
  <si>
    <t>Muro de escama de concreto armado em solo reforçado com fita metálica com altura de 6,0 a 8 m - tipo 1 - areia extraída e brita produzida</t>
  </si>
  <si>
    <t>5406028</t>
  </si>
  <si>
    <t>Muro de escama de concreto armado em solo reforçado com fita metálica com altura de 6,0 a 8 m - tipo 2 - areia e brita comerciais</t>
  </si>
  <si>
    <t>5406038</t>
  </si>
  <si>
    <t>Muro de escama de concreto armado em solo reforçado com fita metálica com altura de 6,0 a 8 m - tipo 2 - areia extraída e brita produzida</t>
  </si>
  <si>
    <t>5406029</t>
  </si>
  <si>
    <t>Muro de escama de concreto armado em solo reforçado com fita metálica com altura de 8,0 a 10 m - tipo 1 - areia e brita comerciais</t>
  </si>
  <si>
    <t>5406039</t>
  </si>
  <si>
    <t>Muro de escama de concreto armado em solo reforçado com fita metálica com altura de 8,0 a 10 m - tipo 1 - areia extraída e brita produzida</t>
  </si>
  <si>
    <t>5406030</t>
  </si>
  <si>
    <t>Muro de escama de concreto armado em solo reforçado com fita metálica com altura de 8,0 a 10 m - tipo 2 - areia e brita comerciais</t>
  </si>
  <si>
    <t>5406040</t>
  </si>
  <si>
    <t>Muro de escama de concreto armado em solo reforçado com fita metálica com altura de 8,0 a 10 m - tipo 2 - areia extraída e brita produzida</t>
  </si>
  <si>
    <t>5405987</t>
  </si>
  <si>
    <t>Travador de madeira para escama de concreto armado - utilização de 10 vezes</t>
  </si>
  <si>
    <t>5405979</t>
  </si>
  <si>
    <t>Travamento e nivelamento de escama de concreto armado em solo reforçado com fita metálica</t>
  </si>
  <si>
    <t>5502806</t>
  </si>
  <si>
    <t>Camada drenante com conformação de trator de esteira - areia comercial</t>
  </si>
  <si>
    <t>5502807</t>
  </si>
  <si>
    <t>Camada drenante com conformação de trator de esteira - areia extraída</t>
  </si>
  <si>
    <t>5503041</t>
  </si>
  <si>
    <t>Compactação de aterros a 100% do Proctor intermediário</t>
  </si>
  <si>
    <t>5502978</t>
  </si>
  <si>
    <t>Compactação de aterros a 100% do Proctor normal</t>
  </si>
  <si>
    <t>5502822</t>
  </si>
  <si>
    <t>Compactação de camada final de aterro de rocha</t>
  </si>
  <si>
    <t>5502979</t>
  </si>
  <si>
    <t>Construção de corpo de aterro com material de 3ª categoria oriundo de corte</t>
  </si>
  <si>
    <t>5501700</t>
  </si>
  <si>
    <t>Desmatamento, destocamento e limpeza de área com árvores de diâmetro até 0,15 m</t>
  </si>
  <si>
    <t>5500991</t>
  </si>
  <si>
    <t>Desmonte de blocos de rocha com martelete pneumático</t>
  </si>
  <si>
    <t>5515739</t>
  </si>
  <si>
    <t>Desmonte de matacões ou bloco de rocha por meio de explosivos</t>
  </si>
  <si>
    <t>5505766</t>
  </si>
  <si>
    <t>Desmonte de material de 3ª categoria a frio com argamassa expansiva a céu aberto</t>
  </si>
  <si>
    <t>5501701</t>
  </si>
  <si>
    <t>Destocamento de árvores com diâmetro de 0,15 a 0,30 m</t>
  </si>
  <si>
    <t>5501702</t>
  </si>
  <si>
    <t>Destocamento de árvores com diâmetro maior que 0,30 m</t>
  </si>
  <si>
    <t>5502972</t>
  </si>
  <si>
    <t>Escavação de vala em material de 3ª categoria - resistência à compressão acima de 110 MPa - com escavadeira e rompedor hidráulico 1.700 kg</t>
  </si>
  <si>
    <t>5502968</t>
  </si>
  <si>
    <t>Escavação de vala em material de 3ª categoria - resistência à compressão até 50 MPa - com escavadeira e rompedor hidráulico 1.700 kg</t>
  </si>
  <si>
    <t>5502969</t>
  </si>
  <si>
    <t>Escavação de vala em material de 3ª categoria - resistência à compressão de 50 a 70 MPa - com escavadeira e rompedor hidráulico 1.700 kg</t>
  </si>
  <si>
    <t>5502970</t>
  </si>
  <si>
    <t>Escavação de vala em material de 3ª categoria - resistência à compressão de 70 a 90 MPa - com escavadeira e rompedor hidráulico 1.700 kg</t>
  </si>
  <si>
    <t>5502971</t>
  </si>
  <si>
    <t>Escavação de vala em material de 3ª categoria - resistência à compressão de 90 a 110 MPa - com escavadeira e rompedor hidráulico 1.700 kg</t>
  </si>
  <si>
    <t>5502663</t>
  </si>
  <si>
    <t>Escavação e transporte de material de 3ª categoria - DMT de 0 a 50 m</t>
  </si>
  <si>
    <t>5502993</t>
  </si>
  <si>
    <t>Escavação em material de 3ª categoria</t>
  </si>
  <si>
    <t>5502967</t>
  </si>
  <si>
    <t>Escavação em material de 3ª categoria - resistência à compressão acima de 110 MPa - com escavadeira e rompedor hidráulico 1.700 kg</t>
  </si>
  <si>
    <t>5502963</t>
  </si>
  <si>
    <t>Escavação em material de 3ª categoria - resistência à compressão até 50 MPa - com escavadeira e rompedor hidráulico 1.700 kg</t>
  </si>
  <si>
    <t>5502964</t>
  </si>
  <si>
    <t>Escavação em material de 3ª categoria - resistência à compressão de 50 a 70 MPa - com escavadeira e rompedor hidráulico 1.700 kg</t>
  </si>
  <si>
    <t>5502965</t>
  </si>
  <si>
    <t>Escavação em material de 3ª categoria - resistência à compressão de 70 a 90 MPa - com escavadeira e rompedor hidráulico 1.700 kg</t>
  </si>
  <si>
    <t>5502966</t>
  </si>
  <si>
    <t>Escavação em material de 3ª categoria - resistência à compressão de 90 a 110 MPa - com escavadeira e rompedor hidráulico 1.700 kg</t>
  </si>
  <si>
    <t>5501706</t>
  </si>
  <si>
    <t>Escavação mecânica com retroescavadeira em material de 1ª categoria</t>
  </si>
  <si>
    <t>5501880</t>
  </si>
  <si>
    <t>Escavação, carga e transporte de material de 1ª categoria - DMT de 1.000 a 1.200 m - caminho de serviço em leito natural - com carregadeira e caminhão basculante de 14 m³</t>
  </si>
  <si>
    <t>5502114</t>
  </si>
  <si>
    <t>Escavação, carga e transporte de material de 1ª categoria - DMT de 1.000 a 1.200 m - caminho de serviço em leito natural - com escavadeira e caminhão basculante de 14 m³</t>
  </si>
  <si>
    <t>5501906</t>
  </si>
  <si>
    <t>Escavação, carga e transporte de material de 1ª categoria - DMT de 1.000 a 1.200 m - caminho de serviço em revestimento primário - com carregadeira e caminhão basculante de 14 m³</t>
  </si>
  <si>
    <t>5502140</t>
  </si>
  <si>
    <t>Escavação, carga e transporte de material de 1ª categoria - DMT de 1.000 a 1.200 m - caminho de serviço em revestimento primário - com escavadeira e caminhão basculante de 14 m³</t>
  </si>
  <si>
    <t>5501932</t>
  </si>
  <si>
    <t>Escavação, carga e transporte de material de 1ª categoria - DMT de 1.000 a 1.200 m - caminho de serviço pavimentado - com carregadeira e caminhão basculante de 14 m³</t>
  </si>
  <si>
    <t>5502166</t>
  </si>
  <si>
    <t>Escavação, carga e transporte de material de 1ª categoria - DMT de 1.000 a 1.200 m - caminho de serviço pavimentado - com escavadeira e caminhão basculante de 14 m³</t>
  </si>
  <si>
    <t>5501881</t>
  </si>
  <si>
    <t>Escavação, carga e transporte de material de 1ª categoria - DMT de 1.200 a 1.400 m - caminho de serviço em leito natural - com carregadeira e caminhão basculante de 14 m³</t>
  </si>
  <si>
    <t>5502115</t>
  </si>
  <si>
    <t>Escavação, carga e transporte de material de 1ª categoria - DMT de 1.200 a 1.400 m - caminho de serviço em leito natural - com escavadeira e caminhão basculante de 14 m³</t>
  </si>
  <si>
    <t>5501907</t>
  </si>
  <si>
    <t>Escavação, carga e transporte de material de 1ª categoria - DMT de 1.200 a 1.400 m - caminho de serviço em revestimento primário - com carregadeira e caminhão basculante de 14 m³</t>
  </si>
  <si>
    <t>5502141</t>
  </si>
  <si>
    <t>Escavação, carga e transporte de material de 1ª categoria - DMT de 1.200 a 1.400 m - caminho de serviço em revestimento primário - com escavadeira e caminhão basculante de 14 m³</t>
  </si>
  <si>
    <t>5501933</t>
  </si>
  <si>
    <t>Escavação, carga e transporte de material de 1ª categoria - DMT de 1.200 a 1.400 m - caminho de serviço pavimentado - com carregadeira e caminhão basculante de 14 m³</t>
  </si>
  <si>
    <t>5502167</t>
  </si>
  <si>
    <t>Escavação, carga e transporte de material de 1ª categoria - DMT de 1.200 a 1.400 m - caminho de serviço pavimentado - com escavadeira e caminhão basculante de 14 m³</t>
  </si>
  <si>
    <t>5501882</t>
  </si>
  <si>
    <t>Escavação, carga e transporte de material de 1ª categoria - DMT de 1.400 a 1.600 m - caminho de serviço em leito natural - com carregadeira e caminhão basculante de 14 m³</t>
  </si>
  <si>
    <t>5502116</t>
  </si>
  <si>
    <t>Escavação, carga e transporte de material de 1ª categoria - DMT de 1.400 a 1.600 m - caminho de serviço em leito natural - com escavadeira e caminhão basculante de 14 m³</t>
  </si>
  <si>
    <t>5501908</t>
  </si>
  <si>
    <t>Escavação, carga e transporte de material de 1ª categoria - DMT de 1.400 a 1.600 m - caminho de serviço em revestimento primário - com carregadeira e caminhão basculante de 14 m³</t>
  </si>
  <si>
    <t>5502142</t>
  </si>
  <si>
    <t>Escavação, carga e transporte de material de 1ª categoria - DMT de 1.400 a 1.600 m - caminho de serviço em revestimento primário - com escavadeira e caminhão basculante de 14 m³</t>
  </si>
  <si>
    <t>5501934</t>
  </si>
  <si>
    <t>Escavação, carga e transporte de material de 1ª categoria - DMT de 1.400 a 1.600 m - caminho de serviço pavimentado - com carregadeira e caminhão basculante de 14 m³</t>
  </si>
  <si>
    <t>5502168</t>
  </si>
  <si>
    <t>Escavação, carga e transporte de material de 1ª categoria - DMT de 1.400 a 1.600 m - caminho de serviço pavimentado - com escavadeira e caminhão basculante de 14 m³</t>
  </si>
  <si>
    <t>5501883</t>
  </si>
  <si>
    <t>Escavação, carga e transporte de material de 1ª categoria - DMT de 1.600 a 1.800 m - caminho de serviço em leito natural - com carregadeira e caminhão basculante de 14 m³</t>
  </si>
  <si>
    <t>5502117</t>
  </si>
  <si>
    <t>Escavação, carga e transporte de material de 1ª categoria - DMT de 1.600 a 1.800 m - caminho de serviço em leito natural - com escavadeira e caminhão basculante de 14 m³</t>
  </si>
  <si>
    <t>5501909</t>
  </si>
  <si>
    <t>Escavação, carga e transporte de material de 1ª categoria - DMT de 1.600 a 1.800 m - caminho de serviço em revestimento primário - com carregadeira e caminhão basculante de 14 m³</t>
  </si>
  <si>
    <t>5502143</t>
  </si>
  <si>
    <t>Escavação, carga e transporte de material de 1ª categoria - DMT de 1.600 a 1.800 m - caminho de serviço em revestimento primário - com escavadeira e caminhão basculante de 14 m³</t>
  </si>
  <si>
    <t>5501935</t>
  </si>
  <si>
    <t>Escavação, carga e transporte de material de 1ª categoria - DMT de 1.600 a 1.800 m - caminho de serviço pavimentado - com carregadeira e caminhão basculante de 14 m³</t>
  </si>
  <si>
    <t>5502169</t>
  </si>
  <si>
    <t>Escavação, carga e transporte de material de 1ª categoria - DMT de 1.600 a 1.800 m - caminho de serviço pavimentado - com escavadeira e caminhão basculante de 14 m³</t>
  </si>
  <si>
    <t>5501884</t>
  </si>
  <si>
    <t>Escavação, carga e transporte de material de 1ª categoria - DMT de 1.800 a 2.000 m - caminho de serviço em leito natural - com carregadeira e caminhão basculante de 14 m³</t>
  </si>
  <si>
    <t>5502118</t>
  </si>
  <si>
    <t>Escavação, carga e transporte de material de 1ª categoria - DMT de 1.800 a 2.000 m - caminho de serviço em leito natural - com escavadeira e caminhão basculante de 14 m³</t>
  </si>
  <si>
    <t>5501910</t>
  </si>
  <si>
    <t>Escavação, carga e transporte de material de 1ª categoria - DMT de 1.800 a 2.000 m - caminho de serviço em revestimento primário - com carregadeira e caminhão basculante de 14 m³</t>
  </si>
  <si>
    <t>5502144</t>
  </si>
  <si>
    <t>Escavação, carga e transporte de material de 1ª categoria - DMT de 1.800 a 2.000 m - caminho de serviço em revestimento primário - com escavadeira e caminhão basculante de 14 m³</t>
  </si>
  <si>
    <t>5501936</t>
  </si>
  <si>
    <t>Escavação, carga e transporte de material de 1ª categoria - DMT de 1.800 a 2.000 m - caminho de serviço pavimentado - com carregadeira e caminhão basculante de 14 m³</t>
  </si>
  <si>
    <t>5502170</t>
  </si>
  <si>
    <t>Escavação, carga e transporte de material de 1ª categoria - DMT de 1.800 a 2.000 m - caminho de serviço pavimentado - com escavadeira e caminhão basculante de 14 m³</t>
  </si>
  <si>
    <t>5501885</t>
  </si>
  <si>
    <t>Escavação, carga e transporte de material de 1ª categoria - DMT de 2.000 a 2.500 m - caminho de serviço em leito natural - com carregadeira e caminhão basculante de 14 m³</t>
  </si>
  <si>
    <t>5502119</t>
  </si>
  <si>
    <t>Escavação, carga e transporte de material de 1ª categoria - DMT de 2.000 a 2.500 m - caminho de serviço em leito natural - com escavadeira e caminhão basculante de 14 m³</t>
  </si>
  <si>
    <t>5501911</t>
  </si>
  <si>
    <t>Escavação, carga e transporte de material de 1ª categoria - DMT de 2.000 a 2.500 m - caminho de serviço em revestimento primário - com carregadeira e caminhão basculante de 14 m³</t>
  </si>
  <si>
    <t>5502145</t>
  </si>
  <si>
    <t>Escavação, carga e transporte de material de 1ª categoria - DMT de 2.000 a 2.500 m - caminho de serviço em revestimento primário - com escavadeira e caminhão basculante de 14 m³</t>
  </si>
  <si>
    <t>5501937</t>
  </si>
  <si>
    <t>Escavação, carga e transporte de material de 1ª categoria - DMT de 2.000 a 2.500 m - caminho de serviço pavimentado - com carregadeira e caminhão basculante de 14 m³</t>
  </si>
  <si>
    <t>5502171</t>
  </si>
  <si>
    <t>Escavação, carga e transporte de material de 1ª categoria - DMT de 2.000 a 2.500 m - caminho de serviço pavimentado - com escavadeira e caminhão basculante de 14 m³</t>
  </si>
  <si>
    <t>5501886</t>
  </si>
  <si>
    <t>Escavação, carga e transporte de material de 1ª categoria - DMT de 2.500 a 3.000 m - caminho de serviço em leito natural - com carregadeira e caminhão basculante de 14 m³</t>
  </si>
  <si>
    <t>5502120</t>
  </si>
  <si>
    <t>Escavação, carga e transporte de material de 1ª categoria - DMT de 2.500 a 3.000 m - caminho de serviço em leito natural - com escavadeira e caminhão basculante de 14 m³</t>
  </si>
  <si>
    <t>5501912</t>
  </si>
  <si>
    <t>Escavação, carga e transporte de material de 1ª categoria - DMT de 2.500 a 3.000 m - caminho de serviço em revestimento primário - com carregadeira e caminhão basculante de 14 m³</t>
  </si>
  <si>
    <t>5502146</t>
  </si>
  <si>
    <t>Escavação, carga e transporte de material de 1ª categoria - DMT de 2.500 a 3.000 m - caminho de serviço em revestimento primário - com escavadeira e caminhão basculante de 14 m³</t>
  </si>
  <si>
    <t>5501938</t>
  </si>
  <si>
    <t>Escavação, carga e transporte de material de 1ª categoria - DMT de 2.500 a 3.000 m - caminho de serviço pavimentado - com carregadeira e caminhão basculante de 14 m³</t>
  </si>
  <si>
    <t>5502172</t>
  </si>
  <si>
    <t>Escavação, carga e transporte de material de 1ª categoria - DMT de 2.500 a 3.000 m - caminho de serviço pavimentado - com escavadeira e caminhão basculante de 14 m³</t>
  </si>
  <si>
    <t>5501876</t>
  </si>
  <si>
    <t>Escavação, carga e transporte de material de 1ª categoria - DMT de 200 a 400 m - caminho de serviço em leito natural - com carregadeira e caminhão basculante de 14 m³</t>
  </si>
  <si>
    <t>5502110</t>
  </si>
  <si>
    <t>Escavação, carga e transporte de material de 1ª categoria - DMT de 200 a 400 m - caminho de serviço em leito natural - com escavadeira e caminhão basculante de 14 m³</t>
  </si>
  <si>
    <t>5501902</t>
  </si>
  <si>
    <t>Escavação, carga e transporte de material de 1ª categoria - DMT de 200 a 400 m - caminho de serviço em revestimento primário - com carregadeira e caminhão basculante de 14 m³</t>
  </si>
  <si>
    <t>5502136</t>
  </si>
  <si>
    <t>Escavação, carga e transporte de material de 1ª categoria - DMT de 200 a 400 m - caminho de serviço em revestimento primário - com escavadeira e caminhão basculante de 14 m³</t>
  </si>
  <si>
    <t>5501928</t>
  </si>
  <si>
    <t>Escavação, carga e transporte de material de 1ª categoria - DMT de 200 a 400 m - caminho de serviço pavimentado - com carregadeira e caminhão basculante de 14 m³</t>
  </si>
  <si>
    <t>5502162</t>
  </si>
  <si>
    <t>Escavação, carga e transporte de material de 1ª categoria - DMT de 200 a 400 m - caminho de serviço pavimentado - com escavadeira e caminhão basculante de 14 m³</t>
  </si>
  <si>
    <t>5501877</t>
  </si>
  <si>
    <t>Escavação, carga e transporte de material de 1ª categoria - DMT de 400 a 600 m - caminho de serviço em leito natural - com carregadeira e caminhão basculante de 14 m³</t>
  </si>
  <si>
    <t>5502111</t>
  </si>
  <si>
    <t>Escavação, carga e transporte de material de 1ª categoria - DMT de 400 a 600 m - caminho de serviço em leito natural - com escavadeira e caminhão basculante de 14 m³</t>
  </si>
  <si>
    <t>5501903</t>
  </si>
  <si>
    <t>Escavação, carga e transporte de material de 1ª categoria - DMT de 400 a 600 m - caminho de serviço em revestimento primário - com carregadeira e caminhão basculante de 14 m³</t>
  </si>
  <si>
    <t>5502137</t>
  </si>
  <si>
    <t>Escavação, carga e transporte de material de 1ª categoria - DMT de 400 a 600 m - caminho de serviço em revestimento primário - com escavadeira e caminhão basculante de 14 m³</t>
  </si>
  <si>
    <t>5501929</t>
  </si>
  <si>
    <t>Escavação, carga e transporte de material de 1ª categoria - DMT de 400 a 600 m - caminho de serviço pavimentado - com carregadeira e caminhão basculante de 14 m³</t>
  </si>
  <si>
    <t>5502163</t>
  </si>
  <si>
    <t>Escavação, carga e transporte de material de 1ª categoria - DMT de 400 a 600 m - caminho de serviço pavimentado - com escavadeira e caminhão basculante de 14 m³</t>
  </si>
  <si>
    <t>5501875</t>
  </si>
  <si>
    <t>Escavação, carga e transporte de material de 1ª categoria - DMT de 50 a 200 m - caminho de serviço em leito natural - com carregadeira e caminhão basculante de 14 m³</t>
  </si>
  <si>
    <t>5502109</t>
  </si>
  <si>
    <t>Escavação, carga e transporte de material de 1ª categoria - DMT de 50 a 200 m - caminho de serviço em leito natural - com escavadeira e caminhão basculante de 14 m³</t>
  </si>
  <si>
    <t>5501901</t>
  </si>
  <si>
    <t>Escavação, carga e transporte de material de 1ª categoria - DMT de 50 a 200 m - caminho de serviço em revestimento primário - com carregadeira e caminhão basculante de 14 m³</t>
  </si>
  <si>
    <t>5502135</t>
  </si>
  <si>
    <t>Escavação, carga e transporte de material de 1ª categoria - DMT de 50 a 200 m - caminho de serviço em revestimento primário - com escavadeira e caminhão basculante de 14 m³</t>
  </si>
  <si>
    <t>5501927</t>
  </si>
  <si>
    <t>Escavação, carga e transporte de material de 1ª categoria - DMT de 50 a 200 m - caminho de serviço pavimentado - com carregadeira e caminhão basculante de 14 m³</t>
  </si>
  <si>
    <t>5502161</t>
  </si>
  <si>
    <t>Escavação, carga e transporte de material de 1ª categoria - DMT de 50 a 200 m - caminho de serviço pavimentado - com escavadeira e caminhão basculante de 14 m³</t>
  </si>
  <si>
    <t>5501878</t>
  </si>
  <si>
    <t>Escavação, carga e transporte de material de 1ª categoria - DMT de 600 a 800 m - caminho de serviço em leito natural - com carregadeira e caminhão basculante de 14 m³</t>
  </si>
  <si>
    <t>5502112</t>
  </si>
  <si>
    <t>Escavação, carga e transporte de material de 1ª categoria - DMT de 600 a 800 m - caminho de serviço em leito natural - com escavadeira e caminhão basculante de 14 m³</t>
  </si>
  <si>
    <t>5501904</t>
  </si>
  <si>
    <t>Escavação, carga e transporte de material de 1ª categoria - DMT de 600 a 800 m - caminho de serviço em revestimento primário - com carregadeira e caminhão basculante de 14 m³</t>
  </si>
  <si>
    <t>5502138</t>
  </si>
  <si>
    <t>Escavação, carga e transporte de material de 1ª categoria - DMT de 600 a 800 m - caminho de serviço em revestimento primário - com escavadeira e caminhão basculante de 14 m³</t>
  </si>
  <si>
    <t>5501930</t>
  </si>
  <si>
    <t>Escavação, carga e transporte de material de 1ª categoria - DMT de 600 a 800 m - caminho de serviço pavimentado - com carregadeira e caminhão basculante de 14 m³</t>
  </si>
  <si>
    <t>5502164</t>
  </si>
  <si>
    <t>Escavação, carga e transporte de material de 1ª categoria - DMT de 600 a 800 m - caminho de serviço pavimentado - com escavadeira e caminhão basculante de 14 m³</t>
  </si>
  <si>
    <t>5501879</t>
  </si>
  <si>
    <t>Escavação, carga e transporte de material de 1ª categoria - DMT de 800 a 1.000 m - caminho de serviço em leito natural - com carregadeira e caminhão basculante de 14 m³</t>
  </si>
  <si>
    <t>5502113</t>
  </si>
  <si>
    <t>Escavação, carga e transporte de material de 1ª categoria - DMT de 800 a 1.000 m - caminho de serviço em leito natural - com escavadeira e caminhão basculante de 14 m³</t>
  </si>
  <si>
    <t>5501905</t>
  </si>
  <si>
    <t>Escavação, carga e transporte de material de 1ª categoria - DMT de 800 a 1.000 m - caminho de serviço em revestimento primário - com carregadeira e caminhão basculante de 14 m³</t>
  </si>
  <si>
    <t>5502139</t>
  </si>
  <si>
    <t>Escavação, carga e transporte de material de 1ª categoria - DMT de 800 a 1.000 m - caminho de serviço em revestimento primário - com escavadeira e caminhão basculante de 14 m³</t>
  </si>
  <si>
    <t>5501931</t>
  </si>
  <si>
    <t>Escavação, carga e transporte de material de 1ª categoria - DMT de 800 a 1.000 m - caminho de serviço pavimentado - com carregadeira e caminhão basculante de 14 m³</t>
  </si>
  <si>
    <t>5502165</t>
  </si>
  <si>
    <t>Escavação, carga e transporte de material de 1ª categoria - DMT de 800 a 1.000 m - caminho de serviço pavimentado - com escavadeira e caminhão basculante de 14 m³</t>
  </si>
  <si>
    <t>5502825</t>
  </si>
  <si>
    <t>Escavação, carga e transporte de material de 1ª categoria na distância de 3.000 m - caminho de serviço em leito natural - com carregadeira e caminhão basculante de 14 m³</t>
  </si>
  <si>
    <t>5502834</t>
  </si>
  <si>
    <t>Escavação, carga e transporte de material de 1ª categoria na distância de 3.000 m - caminho de serviço em leito natural - com escavadeira e caminhão basculante de 14 m³</t>
  </si>
  <si>
    <t>5502826</t>
  </si>
  <si>
    <t>Escavação, carga e transporte de material de 1ª categoria na distância de 3.000 m - caminho de serviço em revestimento primário - com carregadeira e caminhão basculante de 14 m³</t>
  </si>
  <si>
    <t>5502835</t>
  </si>
  <si>
    <t>Escavação, carga e transporte de material de 1ª categoria na distância de 3.000 m - caminho de serviço em revestimento primário - com escavadeira e caminhão basculante de 14 m³</t>
  </si>
  <si>
    <t>5502827</t>
  </si>
  <si>
    <t>Escavação, carga e transporte de material de 1ª categoria na distância de 3.000 m - caminho de serviço pavimentado - com carregadeira e caminhão basculante de 14 m³</t>
  </si>
  <si>
    <t>5502836</t>
  </si>
  <si>
    <t>Escavação, carga e transporte de material de 1ª categoria na distância de 3.000 m - caminho de serviço pavimentado - com escavadeira e caminhão basculante de 14 m³</t>
  </si>
  <si>
    <t>5502356</t>
  </si>
  <si>
    <t>Escavação, carga e transporte de material de 2ª categoria - DMT de 1.000 a 1.200 m - caminho de serviço em leito natural - com carregadeira e caminhão basculante de 14 m³</t>
  </si>
  <si>
    <t>5502590</t>
  </si>
  <si>
    <t>Escavação, carga e transporte de material de 2ª categoria - DMT de 1.000 a 1.200 m - caminho de serviço em leito natural - com escavadeira e caminhão basculante de 14 m³</t>
  </si>
  <si>
    <t>5502382</t>
  </si>
  <si>
    <t>Escavação, carga e transporte de material de 2ª categoria - DMT de 1.000 a 1.200 m - caminho de serviço em revestimento primário - com carregadeira e caminhão basculante de 14 m³</t>
  </si>
  <si>
    <t>5502616</t>
  </si>
  <si>
    <t>Escavação, carga e transporte de material de 2ª categoria - DMT de 1.000 a 1.200 m - caminho de serviço em revestimento primário - com escavadeira e caminhão basculante de 14 m³</t>
  </si>
  <si>
    <t>5502408</t>
  </si>
  <si>
    <t>Escavação, carga e transporte de material de 2ª categoria - DMT de 1.000 a 1.200 m - caminho de serviço pavimentado - com carregadeira e caminhão basculante de 14 m³</t>
  </si>
  <si>
    <t>5502642</t>
  </si>
  <si>
    <t>Escavação, carga e transporte de material de 2ª categoria - DMT de 1.000 a 1.200 m - caminho de serviço pavimentado - com escavadeira e caminhão basculante de 14 m³</t>
  </si>
  <si>
    <t>5502357</t>
  </si>
  <si>
    <t>Escavação, carga e transporte de material de 2ª categoria - DMT de 1.200 a 1.400 m - caminho de serviço em leito natural - com carregadeira e caminhão basculante de 14 m³</t>
  </si>
  <si>
    <t>5502591</t>
  </si>
  <si>
    <t>Escavação, carga e transporte de material de 2ª categoria - DMT de 1.200 a 1.400 m - caminho de serviço em leito natural - com escavadeira e caminhão basculante de 14 m³</t>
  </si>
  <si>
    <t>5502383</t>
  </si>
  <si>
    <t>Escavação, carga e transporte de material de 2ª categoria - DMT de 1.200 a 1.400 m - caminho de serviço em revestimento primário - com carregadeira e caminhão basculante de 14 m³</t>
  </si>
  <si>
    <t>5502617</t>
  </si>
  <si>
    <t>Escavação, carga e transporte de material de 2ª categoria - DMT de 1.200 a 1.400 m - caminho de serviço em revestimento primário - com escavadeira e caminhão basculante de 14 m³</t>
  </si>
  <si>
    <t>5502409</t>
  </si>
  <si>
    <t>Escavação, carga e transporte de material de 2ª categoria - DMT de 1.200 a 1.400 m - caminho de serviço pavimentado - com carregadeira e caminhão basculante de 14 m³</t>
  </si>
  <si>
    <t>5502643</t>
  </si>
  <si>
    <t>Escavação, carga e transporte de material de 2ª categoria - DMT de 1.200 a 1.400 m - caminho de serviço pavimentado - com escavadeira e caminhão basculante de 14 m³</t>
  </si>
  <si>
    <t>5502358</t>
  </si>
  <si>
    <t>Escavação, carga e transporte de material de 2ª categoria - DMT de 1.400 a 1.600 m - caminho de serviço em leito natural - com carregadeira e caminhão basculante de 14 m³</t>
  </si>
  <si>
    <t>5502592</t>
  </si>
  <si>
    <t>Escavação, carga e transporte de material de 2ª categoria - DMT de 1.400 a 1.600 m - caminho de serviço em leito natural - com escavadeira e caminhão basculante de 14 m³</t>
  </si>
  <si>
    <t>5502384</t>
  </si>
  <si>
    <t>Escavação, carga e transporte de material de 2ª categoria - DMT de 1.400 a 1.600 m - caminho de serviço em revestimento primário - com carregadeira e caminhão basculante de 14 m³</t>
  </si>
  <si>
    <t>5502618</t>
  </si>
  <si>
    <t>Escavação, carga e transporte de material de 2ª categoria - DMT de 1.400 a 1.600 m - caminho de serviço em revestimento primário - com escavadeira e caminhão basculante de 14 m³</t>
  </si>
  <si>
    <t>5502410</t>
  </si>
  <si>
    <t>Escavação, carga e transporte de material de 2ª categoria - DMT de 1.400 a 1.600 m - caminho de serviço pavimentado - com carregadeira e caminhão basculante de 14 m³</t>
  </si>
  <si>
    <t>5502644</t>
  </si>
  <si>
    <t>Escavação, carga e transporte de material de 2ª categoria - DMT de 1.400 a 1.600 m - caminho de serviço pavimentado - com escavadeira e caminhão basculante de 14 m³</t>
  </si>
  <si>
    <t>5502359</t>
  </si>
  <si>
    <t>Escavação, carga e transporte de material de 2ª categoria - DMT de 1.600 a 1.800 m - caminho de serviço em leito natural - com carregadeira e caminhão basculante de 14 m³</t>
  </si>
  <si>
    <t>5502593</t>
  </si>
  <si>
    <t>Escavação, carga e transporte de material de 2ª categoria - DMT de 1.600 a 1.800 m - caminho de serviço em leito natural - com escavadeira e caminhão basculante de 14 m³</t>
  </si>
  <si>
    <t>5502385</t>
  </si>
  <si>
    <t>Escavação, carga e transporte de material de 2ª categoria - DMT de 1.600 a 1.800 m - caminho de serviço em revestimento primário - com carregadeira e caminhão basculante de 14 m³</t>
  </si>
  <si>
    <t>5502619</t>
  </si>
  <si>
    <t>Escavação, carga e transporte de material de 2ª categoria - DMT de 1.600 a 1.800 m - caminho de serviço em revestimento primário - com escavadeira e caminhão basculante de 14 m³</t>
  </si>
  <si>
    <t>5502411</t>
  </si>
  <si>
    <t>Escavação, carga e transporte de material de 2ª categoria - DMT de 1.600 a 1.800 m - caminho de serviço pavimentado - com carregadeira e caminhão basculante de 14 m³</t>
  </si>
  <si>
    <t>5502645</t>
  </si>
  <si>
    <t>Escavação, carga e transporte de material de 2ª categoria - DMT de 1.600 a 1.800 m - caminho de serviço pavimentado - com escavadeira e caminhão basculante de 14 m³</t>
  </si>
  <si>
    <t>5502360</t>
  </si>
  <si>
    <t>Escavação, carga e transporte de material de 2ª categoria - DMT de 1.800 a 2.000 m - caminho de serviço em leito natural - com carregadeira e caminhão basculante de 14 m³</t>
  </si>
  <si>
    <t>5502594</t>
  </si>
  <si>
    <t>Escavação, carga e transporte de material de 2ª categoria - DMT de 1.800 a 2.000 m - caminho de serviço em leito natural - com escavadeira e caminhão basculante de 14 m³</t>
  </si>
  <si>
    <t>5502386</t>
  </si>
  <si>
    <t>Escavação, carga e transporte de material de 2ª categoria - DMT de 1.800 a 2.000 m - caminho de serviço em revestimento primário - com carregadeira e caminhão basculante de 14 m³</t>
  </si>
  <si>
    <t>5502620</t>
  </si>
  <si>
    <t>Escavação, carga e transporte de material de 2ª categoria - DMT de 1.800 a 2.000 m - caminho de serviço em revestimento primário - com escavadeira e caminhão basculante de 14 m³</t>
  </si>
  <si>
    <t>5502412</t>
  </si>
  <si>
    <t>Escavação, carga e transporte de material de 2ª categoria - DMT de 1.800 a 2.000 m - caminho de serviço pavimentado - com carregadeira e caminhão basculante de 14 m³</t>
  </si>
  <si>
    <t>5502646</t>
  </si>
  <si>
    <t>Escavação, carga e transporte de material de 2ª categoria - DMT de 1.800 a 2.000 m - caminho de serviço pavimentado - com escavadeira e caminhão basculante de 14 m³</t>
  </si>
  <si>
    <t>5502361</t>
  </si>
  <si>
    <t>Escavação, carga e transporte de material de 2ª categoria - DMT de 2.000 a 2.500 m - caminho de serviço em leito natural - com carregadeira e caminhão basculante de 14 m³</t>
  </si>
  <si>
    <t>5502595</t>
  </si>
  <si>
    <t>Escavação, carga e transporte de material de 2ª categoria - DMT de 2.000 a 2.500 m - caminho de serviço em leito natural - com escavadeira e caminhão basculante de 14 m³</t>
  </si>
  <si>
    <t>5502387</t>
  </si>
  <si>
    <t>Escavação, carga e transporte de material de 2ª categoria - DMT de 2.000 a 2.500 m - caminho de serviço em revestimento primário - com carregadeira e caminhão basculante de 14 m³</t>
  </si>
  <si>
    <t>5502621</t>
  </si>
  <si>
    <t>Escavação, carga e transporte de material de 2ª categoria - DMT de 2.000 a 2.500 m - caminho de serviço em revestimento primário - com escavadeira e caminhão basculante de 14 m³</t>
  </si>
  <si>
    <t>5502413</t>
  </si>
  <si>
    <t>Escavação, carga e transporte de material de 2ª categoria - DMT de 2.000 a 2.500 m - caminho de serviço pavimentado - com carregadeira e caminhão basculante de 14 m³</t>
  </si>
  <si>
    <t>5502647</t>
  </si>
  <si>
    <t>Escavação, carga e transporte de material de 2ª categoria - DMT de 2.000 a 2.500 m - caminho de serviço pavimentado - com escavadeira e caminhão basculante de 14 m³</t>
  </si>
  <si>
    <t>5502362</t>
  </si>
  <si>
    <t>Escavação, carga e transporte de material de 2ª categoria - DMT de 2.500 a 3.000 m - caminho de serviço em leito natural - com carregadeira e caminhão basculante de 14 m³</t>
  </si>
  <si>
    <t>5502596</t>
  </si>
  <si>
    <t>Escavação, carga e transporte de material de 2ª categoria - DMT de 2.500 a 3.000 m - caminho de serviço em leito natural - com escavadeira e caminhão basculante de 14 m³</t>
  </si>
  <si>
    <t>5502388</t>
  </si>
  <si>
    <t>Escavação, carga e transporte de material de 2ª categoria - DMT de 2.500 a 3.000 m - caminho de serviço em revestimento primário - com carregadeira e caminhão basculante de 14 m³</t>
  </si>
  <si>
    <t>5502622</t>
  </si>
  <si>
    <t>Escavação, carga e transporte de material de 2ª categoria - DMT de 2.500 a 3.000 m - caminho de serviço em revestimento primário - com escavadeira e caminhão basculante de 14 m³</t>
  </si>
  <si>
    <t>5502414</t>
  </si>
  <si>
    <t>Escavação, carga e transporte de material de 2ª categoria - DMT de 2.500 a 3.000 m - caminho de serviço pavimentado - com carregadeira e caminhão basculante de 14 m³</t>
  </si>
  <si>
    <t>5502648</t>
  </si>
  <si>
    <t>Escavação, carga e transporte de material de 2ª categoria - DMT de 2.500 a 3.000 m - caminho de serviço pavimentado - com escavadeira e caminhão basculante de 14 m³</t>
  </si>
  <si>
    <t>5502352</t>
  </si>
  <si>
    <t>Escavação, carga e transporte de material de 2ª categoria - DMT de 200 a 400 m - caminho de serviço em leito natural - com carregadeira e caminhão basculante de 14 m³</t>
  </si>
  <si>
    <t>5502586</t>
  </si>
  <si>
    <t>Escavação, carga e transporte de material de 2ª categoria - DMT de 200 a 400 m - caminho de serviço em leito natural - com escavadeira e caminhão basculante de 14 m³</t>
  </si>
  <si>
    <t>5502378</t>
  </si>
  <si>
    <t>Escavação, carga e transporte de material de 2ª categoria - DMT de 200 a 400 m - caminho de serviço em revestimento primário - com carregadeira e caminhão basculante de 14 m³</t>
  </si>
  <si>
    <t>5502612</t>
  </si>
  <si>
    <t>Escavação, carga e transporte de material de 2ª categoria - DMT de 200 a 400 m - caminho de serviço em revestimento primário - com escavadeira e caminhão basculante de 14 m³</t>
  </si>
  <si>
    <t>5502404</t>
  </si>
  <si>
    <t>Escavação, carga e transporte de material de 2ª categoria - DMT de 200 a 400 m - caminho de serviço pavimentado - com carregadeira e caminhão basculante de 14 m³</t>
  </si>
  <si>
    <t>5502638</t>
  </si>
  <si>
    <t>Escavação, carga e transporte de material de 2ª categoria - DMT de 200 a 400 m - caminho de serviço pavimentado - com escavadeira e caminhão basculante de 14 m³</t>
  </si>
  <si>
    <t>5502353</t>
  </si>
  <si>
    <t>Escavação, carga e transporte de material de 2ª categoria - DMT de 400 a 600 m - caminho de serviço em leito natural - com carregadeira e caminhão basculante de 14 m³</t>
  </si>
  <si>
    <t>5502587</t>
  </si>
  <si>
    <t>Escavação, carga e transporte de material de 2ª categoria - DMT de 400 a 600 m - caminho de serviço em leito natural - com escavadeira e caminhão basculante de 14 m³</t>
  </si>
  <si>
    <t>5502379</t>
  </si>
  <si>
    <t>Escavação, carga e transporte de material de 2ª categoria - DMT de 400 a 600 m - caminho de serviço em revestimento primário - com carregadeira e caminhão basculante de 14 m³</t>
  </si>
  <si>
    <t>5502613</t>
  </si>
  <si>
    <t>Escavação, carga e transporte de material de 2ª categoria - DMT de 400 a 600 m - caminho de serviço em revestimento primário - com escavadeira e caminhão basculante de 14 m³</t>
  </si>
  <si>
    <t>5502405</t>
  </si>
  <si>
    <t>Escavação, carga e transporte de material de 2ª categoria - DMT de 400 a 600 m - caminho de serviço pavimentado - com carregadeira e caminhão basculante de 14 m³</t>
  </si>
  <si>
    <t>5502639</t>
  </si>
  <si>
    <t>Escavação, carga e transporte de material de 2ª categoria - DMT de 400 a 600 m - caminho de serviço pavimentado - com escavadeira e caminhão basculante de 14 m³</t>
  </si>
  <si>
    <t>5502351</t>
  </si>
  <si>
    <t>Escavação, carga e transporte de material de 2ª categoria - DMT de 50 a 200 m - caminho de serviço em leito natural - com carregadeira e caminhão basculante de 14 m³</t>
  </si>
  <si>
    <t>5502585</t>
  </si>
  <si>
    <t>Escavação, carga e transporte de material de 2ª categoria - DMT de 50 a 200 m - caminho de serviço em leito natural - com escavadeira e caminhão basculante de 14 m³</t>
  </si>
  <si>
    <t>5502377</t>
  </si>
  <si>
    <t>Escavação, carga e transporte de material de 2ª categoria - DMT de 50 a 200 m - caminho de serviço em revestimento primário - com carregadeira e caminhão basculante de 14 m³</t>
  </si>
  <si>
    <t>5502611</t>
  </si>
  <si>
    <t>Escavação, carga e transporte de material de 2ª categoria - DMT de 50 a 200 m - caminho de serviço em revestimento primário - com escavadeira e caminhão basculante de 14 m³</t>
  </si>
  <si>
    <t>5502403</t>
  </si>
  <si>
    <t>Escavação, carga e transporte de material de 2ª categoria - DMT de 50 a 200 m - caminho de serviço pavimentado - com carregadeira e caminhão basculante de 14 m³</t>
  </si>
  <si>
    <t>5502637</t>
  </si>
  <si>
    <t>Escavação, carga e transporte de material de 2ª categoria - DMT de 50 a 200 m - caminho de serviço pavimentado - com escavadeira e caminhão basculante de 14 m³</t>
  </si>
  <si>
    <t>5502187</t>
  </si>
  <si>
    <t>Escavação, carga e transporte de material de 2ª categoria - DMT de 50 m</t>
  </si>
  <si>
    <t>5502354</t>
  </si>
  <si>
    <t>Escavação, carga e transporte de material de 2ª categoria - DMT de 600 a 800 m - caminho de serviço em leito natural - com carregadeira e caminhão basculante de 14 m³</t>
  </si>
  <si>
    <t>5502588</t>
  </si>
  <si>
    <t>Escavação, carga e transporte de material de 2ª categoria - DMT de 600 a 800 m - caminho de serviço em leito natural - com escavadeira e caminhão basculante de 14 m³</t>
  </si>
  <si>
    <t>5502380</t>
  </si>
  <si>
    <t>Escavação, carga e transporte de material de 2ª categoria - DMT de 600 a 800 m - caminho de serviço em revestimento primário - com carregadeira e caminhão basculante de 14 m³</t>
  </si>
  <si>
    <t>5502614</t>
  </si>
  <si>
    <t>Escavação, carga e transporte de material de 2ª categoria - DMT de 600 a 800 m - caminho de serviço em revestimento primário - com escavadeira e caminhão basculante de 14 m³</t>
  </si>
  <si>
    <t>5502406</t>
  </si>
  <si>
    <t>Escavação, carga e transporte de material de 2ª categoria - DMT de 600 a 800 m - caminho de serviço pavimentado - com carregadeira e caminhão basculante de 14 m³</t>
  </si>
  <si>
    <t>5502640</t>
  </si>
  <si>
    <t>Escavação, carga e transporte de material de 2ª categoria - DMT de 600 a 800 m - caminho de serviço pavimentado - com escavadeira e caminhão basculante de 14 m³</t>
  </si>
  <si>
    <t>5502355</t>
  </si>
  <si>
    <t>Escavação, carga e transporte de material de 2ª categoria - DMT de 800 a 1.000 m - caminho de serviço em leito natural - com carregadeira e caminhão basculante de 14 m³</t>
  </si>
  <si>
    <t>5502589</t>
  </si>
  <si>
    <t>Escavação, carga e transporte de material de 2ª categoria - DMT de 800 a 1.000 m - caminho de serviço em leito natural - com escavadeira e caminhão basculante de 14 m³</t>
  </si>
  <si>
    <t>5502381</t>
  </si>
  <si>
    <t>Escavação, carga e transporte de material de 2ª categoria - DMT de 800 a 1.000 m - caminho de serviço em revestimento primário - com carregadeira e caminhão basculante de 14 m³</t>
  </si>
  <si>
    <t>5502615</t>
  </si>
  <si>
    <t>Escavação, carga e transporte de material de 2ª categoria - DMT de 800 a 1.000 m - caminho de serviço em revestimento primário - com escavadeira e caminhão basculante de 14 m³</t>
  </si>
  <si>
    <t>5502407</t>
  </si>
  <si>
    <t>Escavação, carga e transporte de material de 2ª categoria - DMT de 800 a 1.000 m - caminho de serviço pavimentado - com carregadeira e caminhão basculante de 14 m³</t>
  </si>
  <si>
    <t>5502641</t>
  </si>
  <si>
    <t>Escavação, carga e transporte de material de 2ª categoria - DMT de 800 a 1.000 m - caminho de serviço pavimentado - com escavadeira e caminhão basculante de 14 m³</t>
  </si>
  <si>
    <t>5502880</t>
  </si>
  <si>
    <t>Escavação, carga e transporte de material de 2ª categoria na distância de 3.000 m - caminho de serviço em leito natural - com escavadeira e caminhão basculante de 14 m³</t>
  </si>
  <si>
    <t>5502857</t>
  </si>
  <si>
    <t>Escavação, carga e transporte de material de 2ª categoria na distância de 3.000 m - caminho de serviço em leito natural com carregadeira e caminhão basculante de 14 m³</t>
  </si>
  <si>
    <t>5502881</t>
  </si>
  <si>
    <t>Escavação, carga e transporte de material de 2ª categoria na distância de 3.000 m - caminho de serviço em revestimento primário - com escavadeira e caminhão basculante de 14 m³</t>
  </si>
  <si>
    <t>5502859</t>
  </si>
  <si>
    <t>Escavação, carga e transporte de material de 2ª categoria na distância de 3.000 m - caminho de serviço pavimentado - com carregadeira e caminhão basculante de 14 m³</t>
  </si>
  <si>
    <t>5502882</t>
  </si>
  <si>
    <t>Escavação, carga e transporte de material de 2ª categoria na distância de 3.000 m - caminho de serviço pavimentado - com escavadeira e caminhão basculante de 14 m³</t>
  </si>
  <si>
    <t>5502858</t>
  </si>
  <si>
    <t>Escavação, carga e transporte de material de 2ª categoria na distância de 3.000 m -caminho de serviço com revestimento primário com carregadeira e caminhão basculante de 14 m³</t>
  </si>
  <si>
    <t>5502747</t>
  </si>
  <si>
    <t>Escavação, carga e transporte de material de 3ª categoria - DMT de 1.000 a 1.200 m - caminho de serviço em leito natural com caminhão basculante de 12 m³</t>
  </si>
  <si>
    <t>5502773</t>
  </si>
  <si>
    <t>Escavação, carga e transporte de material de 3ª categoria - DMT de 1.000 a 1.200 m - caminho de serviço em revestimento primário - com caminhão basculante de 12 m³</t>
  </si>
  <si>
    <t>5502799</t>
  </si>
  <si>
    <t>Escavação, carga e transporte de material de 3ª categoria - DMT de 1.000 a 1.200 m - caminho de serviço pavimentado - com caminhão basculante de 12 m³</t>
  </si>
  <si>
    <t>5502748</t>
  </si>
  <si>
    <t>Escavação, carga e transporte de material de 3ª categoria - DMT de 1.200 a 1.400 m - caminho de serviço em leito natural com caminhão basculante de 12 m³</t>
  </si>
  <si>
    <t>5502774</t>
  </si>
  <si>
    <t>Escavação, carga e transporte de material de 3ª categoria - DMT de 1.200 a 1.400 m - caminho de serviço em revestimento primário - com caminhão basculante de 12 m³</t>
  </si>
  <si>
    <t>5502800</t>
  </si>
  <si>
    <t>Escavação, carga e transporte de material de 3ª categoria - DMT de 1.200 a 1.400 m - caminho de serviço pavimentado - com caminhão basculante de 12 m³</t>
  </si>
  <si>
    <t>5502749</t>
  </si>
  <si>
    <t>Escavação, carga e transporte de material de 3ª categoria - DMT de 1.400 a 1.600 m - caminho de serviço em leito natural com caminhão basculante de 12 m³</t>
  </si>
  <si>
    <t>5502775</t>
  </si>
  <si>
    <t>Escavação, carga e transporte de material de 3ª categoria - DMT de 1.400 a 1.600 m - caminho de serviço em revestimento primário - com caminhão basculante de 12 m³</t>
  </si>
  <si>
    <t>5502801</t>
  </si>
  <si>
    <t>Escavação, carga e transporte de material de 3ª categoria - DMT de 1.400 a 1.600 m - caminho de serviço pavimentado - com caminhão basculante de 12 m³</t>
  </si>
  <si>
    <t>5502750</t>
  </si>
  <si>
    <t>Escavação, carga e transporte de material de 3ª categoria - DMT de 1.600 a 1.800 m - caminho de serviço em leito natural com caminhão basculante de 12 m³</t>
  </si>
  <si>
    <t>5502776</t>
  </si>
  <si>
    <t>Escavação, carga e transporte de material de 3ª categoria - DMT de 1.600 a 1.800 m - caminho de serviço em revestimento primário - com caminhão basculante de 12 m³</t>
  </si>
  <si>
    <t>5502802</t>
  </si>
  <si>
    <t>Escavação, carga e transporte de material de 3ª categoria - DMT de 1.600 a 1.800 m - caminho de serviço pavimentado - com caminhão basculante de 12 m³</t>
  </si>
  <si>
    <t>5502751</t>
  </si>
  <si>
    <t>Escavação, carga e transporte de material de 3ª categoria - DMT de 1.800 a 2.000 m - caminho de serviço em leito natural com caminhão basculante de 12 m³</t>
  </si>
  <si>
    <t>5502777</t>
  </si>
  <si>
    <t>Escavação, carga e transporte de material de 3ª categoria - DMT de 1.800 a 2.000 m - caminho de serviço em revestimento primário - com caminhão basculante de 12 m³</t>
  </si>
  <si>
    <t>5502803</t>
  </si>
  <si>
    <t>Escavação, carga e transporte de material de 3ª categoria - DMT de 1.800 a 2.000 m - caminho de serviço pavimentado - com caminhão basculante de 12 m³</t>
  </si>
  <si>
    <t>5502752</t>
  </si>
  <si>
    <t>Escavação, carga e transporte de material de 3ª categoria - DMT de 2.000 a 2.500 m - caminho de serviço em leito natural com caminhão basculante de 12 m³</t>
  </si>
  <si>
    <t>5502778</t>
  </si>
  <si>
    <t>Escavação, carga e transporte de material de 3ª categoria - DMT de 2.000 a 2.500 m - caminho de serviço em revestimento primário - com caminhão basculante de 12 m³</t>
  </si>
  <si>
    <t>5502804</t>
  </si>
  <si>
    <t>Escavação, carga e transporte de material de 3ª categoria - DMT de 2.000 a 2.500 m - caminho de serviço pavimentado - com caminhão basculante de 12 m³</t>
  </si>
  <si>
    <t>5502753</t>
  </si>
  <si>
    <t>Escavação, carga e transporte de material de 3ª categoria - DMT de 2.500 a 3.000 m - caminho de serviço em leito natural com caminhão basculante de 12 m³</t>
  </si>
  <si>
    <t>5502779</t>
  </si>
  <si>
    <t>Escavação, carga e transporte de material de 3ª categoria - DMT de 2.500 a 3.000 m - caminho de serviço em revestimento primário - com caminhão basculante de 12 m³</t>
  </si>
  <si>
    <t>5502805</t>
  </si>
  <si>
    <t>Escavação, carga e transporte de material de 3ª categoria - DMT de 2.500 a 3.000 m - caminho de serviço pavimentado - com caminhão basculante de 12 m³</t>
  </si>
  <si>
    <t>5502743</t>
  </si>
  <si>
    <t>Escavação, carga e transporte de material de 3ª categoria - DMT de 200 a 400 m - caminho de serviço em leito natural com caminhão basculante de 12 m³</t>
  </si>
  <si>
    <t>5502769</t>
  </si>
  <si>
    <t>Escavação, carga e transporte de material de 3ª categoria - DMT de 200 a 400 m - caminho de serviço em revestimento primário - com caminhão basculante de 12 m³</t>
  </si>
  <si>
    <t>5502795</t>
  </si>
  <si>
    <t>Escavação, carga e transporte de material de 3ª categoria - DMT de 200 a 400 m - caminho de serviço pavimentado - com caminhão basculante de 12 m³</t>
  </si>
  <si>
    <t>5502744</t>
  </si>
  <si>
    <t>Escavação, carga e transporte de material de 3ª categoria - DMT de 400 a 600 m - caminho de serviço em leito natural com caminhão basculante de 12 m³</t>
  </si>
  <si>
    <t>5502770</t>
  </si>
  <si>
    <t>Escavação, carga e transporte de material de 3ª categoria - DMT de 400 a 600 m - caminho de serviço em revestimento primário - com caminhão basculante de 12 m³</t>
  </si>
  <si>
    <t>5502796</t>
  </si>
  <si>
    <t>Escavação, carga e transporte de material de 3ª categoria - DMT de 400 a 600 m - caminho de serviço pavimentado - com caminhão basculante de 12 m³</t>
  </si>
  <si>
    <t>5502742</t>
  </si>
  <si>
    <t>Escavação, carga e transporte de material de 3ª categoria - DMT de 50 a 200 m - caminho de serviço em leito natural com caminhão basculante de 12 m³</t>
  </si>
  <si>
    <t>5502768</t>
  </si>
  <si>
    <t>Escavação, carga e transporte de material de 3ª categoria - DMT de 50 a 200 m - caminho de serviço em revestimento primário - com caminhão basculante de 12 m³</t>
  </si>
  <si>
    <t>5502794</t>
  </si>
  <si>
    <t>Escavação, carga e transporte de material de 3ª categoria - DMT de 50 a 200 m - caminho de serviço pavimentado - com caminhão basculante de 12 m³</t>
  </si>
  <si>
    <t>5502745</t>
  </si>
  <si>
    <t>Escavação, carga e transporte de material de 3ª categoria - DMT de 600 a 800 m - caminho de serviço em leito natural com caminhão basculante de 12 m³</t>
  </si>
  <si>
    <t>5502771</t>
  </si>
  <si>
    <t>Escavação, carga e transporte de material de 3ª categoria - DMT de 600 a 800 m - caminho de serviço em revestimento primário - com caminhão basculante de 12 m³</t>
  </si>
  <si>
    <t>5502797</t>
  </si>
  <si>
    <t>Escavação, carga e transporte de material de 3ª categoria - DMT de 600 a 800 m - caminho de serviço pavimentado - com caminhão basculante de 12 m³</t>
  </si>
  <si>
    <t>5502746</t>
  </si>
  <si>
    <t>Escavação, carga e transporte de material de 3ª categoria - DMT de 800 a 1.000 m - caminho de serviço em leito natural com caminhão basculante de 12 m³</t>
  </si>
  <si>
    <t>5502772</t>
  </si>
  <si>
    <t>Escavação, carga e transporte de material de 3ª categoria - DMT de 800 a 1.000 m - caminho de serviço em revestimento primário - com caminhão basculante de 12 m³</t>
  </si>
  <si>
    <t>5502798</t>
  </si>
  <si>
    <t>Escavação, carga e transporte de material de 3ª categoria - DMT de 800 a 1.000 m - caminho de serviço pavimentado - com caminhão basculante de 12 m³</t>
  </si>
  <si>
    <t>5502886</t>
  </si>
  <si>
    <t>Escavação, carga e transporte de material de 3ª categoria na distância de 3.000 m - caminho de serviço em leito natural com caminhão basculante de 12 m³</t>
  </si>
  <si>
    <t>5502887</t>
  </si>
  <si>
    <t>Escavação, carga e transporte de material de 3ª categoria na distância de 3.000 m - caminho de serviço em revestimento primário - com caminhão basculante de 12 m³</t>
  </si>
  <si>
    <t>5502888</t>
  </si>
  <si>
    <t>Escavação, carga e transporte de material de 3ª categoria na distância de 3.000 m - caminho de serviço pavimentado - com caminhão basculante de 12 m³</t>
  </si>
  <si>
    <t>5502820</t>
  </si>
  <si>
    <t>Escavação, carga e transporte de solos moles - DMT de 0 a 50 m</t>
  </si>
  <si>
    <t>5502904</t>
  </si>
  <si>
    <t>Escavação, carga e transporte de solos moles - DMT de 1.000 a 1.200 m - caminho de serviço em leito natural - com caminhão basculante de 14 m³</t>
  </si>
  <si>
    <t>5502930</t>
  </si>
  <si>
    <t>Escavação, carga e transporte de solos moles - DMT de 1.000 a 1.200 m - caminho de serviço em revestimento primário - com caminhão basculante de 14 m³</t>
  </si>
  <si>
    <t>5502956</t>
  </si>
  <si>
    <t>Escavação, carga e transporte de solos moles - DMT de 1.000 a 1.200 m - caminho de serviço pavimentado - com caminhão basculante de 14 m³</t>
  </si>
  <si>
    <t>5502905</t>
  </si>
  <si>
    <t>Escavação, carga e transporte de solos moles - DMT de 1.200 a 1.400 m - caminho de serviço em leito natural - com caminhão basculante de 14 m³</t>
  </si>
  <si>
    <t>5502931</t>
  </si>
  <si>
    <t>Escavação, carga e transporte de solos moles - DMT de 1.200 a 1.400 m - caminho de serviço em revestimento primário - com caminhão basculante de 14 m³</t>
  </si>
  <si>
    <t>5502957</t>
  </si>
  <si>
    <t>Escavação, carga e transporte de solos moles - DMT de 1.200 a 1.400 m - caminho de serviço pavimentado - com caminhão basculante de 14 m³</t>
  </si>
  <si>
    <t>5502906</t>
  </si>
  <si>
    <t>Escavação, carga e transporte de solos moles - DMT de 1.400 a 1.600 m - caminho de serviço em leito natural - com caminhão basculante de 14 m³</t>
  </si>
  <si>
    <t>5502932</t>
  </si>
  <si>
    <t>Escavação, carga e transporte de solos moles - DMT de 1.400 a 1.600 m - caminho de serviço em revestimento primário - com caminhão basculante de 14 m³</t>
  </si>
  <si>
    <t>5502958</t>
  </si>
  <si>
    <t>Escavação, carga e transporte de solos moles - DMT de 1.400 a 1.600 m - caminho de serviço pavimentado - com caminhão basculante de 14 m³</t>
  </si>
  <si>
    <t>5502907</t>
  </si>
  <si>
    <t>Escavação, carga e transporte de solos moles - DMT de 1.600 a 1.800 m - caminho de serviço em leito natural - com caminhão basculante de 14 m³</t>
  </si>
  <si>
    <t>5502933</t>
  </si>
  <si>
    <t>Escavação, carga e transporte de solos moles - DMT de 1.600 a 1.800 m - caminho de serviço em revestimento primário - com caminhão basculante de 14 m³</t>
  </si>
  <si>
    <t>5502959</t>
  </si>
  <si>
    <t>Escavação, carga e transporte de solos moles - DMT de 1.600 a 1.800 m - caminho de serviço pavimentado - com caminhão basculante de 14 m³</t>
  </si>
  <si>
    <t>5502908</t>
  </si>
  <si>
    <t>Escavação, carga e transporte de solos moles - DMT de 1.800 a 2.000 m - caminho de serviço em leito natural - com caminhão basculante de 14 m³</t>
  </si>
  <si>
    <t>5502934</t>
  </si>
  <si>
    <t>Escavação, carga e transporte de solos moles - DMT de 1.800 a 2.000 m - caminho de serviço em revestimento primário - com caminhão basculante de 14 m³</t>
  </si>
  <si>
    <t>5502960</t>
  </si>
  <si>
    <t>Escavação, carga e transporte de solos moles - DMT de 1.800 a 2.000 m - caminho de serviço pavimentado - com caminhão basculante de 14 m³</t>
  </si>
  <si>
    <t>5502909</t>
  </si>
  <si>
    <t>Escavação, carga e transporte de solos moles - DMT de 2.000 a 2.500 m - caminho de serviço em leito natural - com caminhão basculante de 14 m³</t>
  </si>
  <si>
    <t>5502935</t>
  </si>
  <si>
    <t>Escavação, carga e transporte de solos moles - DMT de 2.000 a 2.500 m - caminho de serviço em revestimento primário - com caminhão basculante de 14 m³</t>
  </si>
  <si>
    <t>5502961</t>
  </si>
  <si>
    <t>Escavação, carga e transporte de solos moles - DMT de 2.000 a 2.500 m - caminho de serviço pavimentado - com caminhão basculante de 14 m³</t>
  </si>
  <si>
    <t>5502910</t>
  </si>
  <si>
    <t>Escavação, carga e transporte de solos moles - DMT de 2.500 a 3.000 m - caminho de serviço em leito natural - com caminhão basculante de 14 m³</t>
  </si>
  <si>
    <t>5502936</t>
  </si>
  <si>
    <t>Escavação, carga e transporte de solos moles - DMT de 2.500 a 3.000 m - caminho de serviço em revestimento primário - com caminhão basculante de 14 m³</t>
  </si>
  <si>
    <t>5502962</t>
  </si>
  <si>
    <t>Escavação, carga e transporte de solos moles - DMT de 2.500 a 3.000 m - caminho de serviço pavimentado - com caminhão basculante de 14 m³</t>
  </si>
  <si>
    <t>5502900</t>
  </si>
  <si>
    <t>Escavação, carga e transporte de solos moles - DMT de 200 a 400 m - caminho de serviço em leito natural - com caminhão basculante de 14 m³</t>
  </si>
  <si>
    <t>5502926</t>
  </si>
  <si>
    <t>Escavação, carga e transporte de solos moles - DMT de 200 a 400 m - caminho de serviço em revestimento primário - com caminhão basculante de 14 m³</t>
  </si>
  <si>
    <t>5502952</t>
  </si>
  <si>
    <t>Escavação, carga e transporte de solos moles - DMT de 200 a 400 m - caminho de serviço pavimentado - com caminhão basculante de 14 m³</t>
  </si>
  <si>
    <t>5502901</t>
  </si>
  <si>
    <t>Escavação, carga e transporte de solos moles - DMT de 400 a 600 m - caminho de serviço em leito natural - com caminhão basculante de 14 m³</t>
  </si>
  <si>
    <t>5502927</t>
  </si>
  <si>
    <t>Escavação, carga e transporte de solos moles - DMT de 400 a 600 m - caminho de serviço em revestimento primário - com caminhão basculante de 14 m³</t>
  </si>
  <si>
    <t>5502953</t>
  </si>
  <si>
    <t>Escavação, carga e transporte de solos moles - DMT de 400 a 600 m - caminho de serviço pavimentado - com caminhão basculante de 14 m³</t>
  </si>
  <si>
    <t>5502899</t>
  </si>
  <si>
    <t>Escavação, carga e transporte de solos moles - DMT de 50 a 200 m - caminho de serviço em leito natural - com caminhão basculante de 14 m³</t>
  </si>
  <si>
    <t>5502925</t>
  </si>
  <si>
    <t>Escavação, carga e transporte de solos moles - DMT de 50 a 200 m - caminho de serviço em revestimento primário - com caminhão basculante de 14 m³</t>
  </si>
  <si>
    <t>5502951</t>
  </si>
  <si>
    <t>Escavação, carga e transporte de solos moles - DMT de 50 a 200 m - caminho de serviço pavimentado - com caminhão basculante de 14 m³</t>
  </si>
  <si>
    <t>5502902</t>
  </si>
  <si>
    <t>Escavação, carga e transporte de solos moles - DMT de 600 a 800 m - caminho de serviço em leito natural - com caminhão basculante de 14 m³</t>
  </si>
  <si>
    <t>5502928</t>
  </si>
  <si>
    <t>Escavação, carga e transporte de solos moles - DMT de 600 a 800 m - caminho de serviço em revestimento primário - com caminhão basculante de 14 m³</t>
  </si>
  <si>
    <t>5502954</t>
  </si>
  <si>
    <t>Escavação, carga e transporte de solos moles - DMT de 600 a 800 m - caminho de serviço pavimentado - com caminhão basculante de 14 m³</t>
  </si>
  <si>
    <t>5502903</t>
  </si>
  <si>
    <t>Escavação, carga e transporte de solos moles - DMT de 800 a 1.000 m - caminho de serviço em leito natural - com caminhão basculante de 14 m³</t>
  </si>
  <si>
    <t>5502929</t>
  </si>
  <si>
    <t>Escavação, carga e transporte de solos moles - DMT de 800 a 1.000 m - caminho de serviço em revestimento primário - com caminhão basculante de 14 m³</t>
  </si>
  <si>
    <t>5502955</t>
  </si>
  <si>
    <t>Escavação, carga e transporte de solos moles - DMT de 800 a 1.000 m - caminho de serviço pavimentado - com caminhão basculante de 14 m³</t>
  </si>
  <si>
    <t>5502889</t>
  </si>
  <si>
    <t>Escavação, carga e transporte de solos moles na distância de 3.000 m - caminho de serviço em leito natural - com caminhão basculante de 14 m³</t>
  </si>
  <si>
    <t>5502996</t>
  </si>
  <si>
    <t>Escavação, carga e transporte de solos moles na distância de 3.000 m - caminho de serviço em revestimento primário - com caminhão basculante de 14 m³</t>
  </si>
  <si>
    <t>5502997</t>
  </si>
  <si>
    <t>Escavação, carga e transporte de solos moles na distância de 3.000 m - caminho de serviço pavimentado - com caminhão basculante de 14 m³</t>
  </si>
  <si>
    <t>5501716</t>
  </si>
  <si>
    <t>Escavação, carga e transporte em material de 1ª categoria - DMT de 1.000 a 1.200 m com motoscraper</t>
  </si>
  <si>
    <t>5501717</t>
  </si>
  <si>
    <t>Escavação, carga e transporte em material de 1ª categoria - DMT de 1.200 a 1.400 m com motoscraper</t>
  </si>
  <si>
    <t>5501712</t>
  </si>
  <si>
    <t>Escavação, carga e transporte em material de 1ª categoria - DMT de 200 a 400 m com motoscraper</t>
  </si>
  <si>
    <t>5501713</t>
  </si>
  <si>
    <t>Escavação, carga e transporte em material de 1ª categoria - DMT de 400 a 600 m com motoscraper</t>
  </si>
  <si>
    <t>5501711</t>
  </si>
  <si>
    <t>Escavação, carga e transporte em material de 1ª categoria - DMT de 50 a 200 m com motoscraper</t>
  </si>
  <si>
    <t>5501710</t>
  </si>
  <si>
    <t>Escavação, carga e transporte em material de 1ª categoria - DMT de 50 m</t>
  </si>
  <si>
    <t>5501714</t>
  </si>
  <si>
    <t>Escavação, carga e transporte em material de 1ª categoria - DMT de 600 a 800 m com motoscraper</t>
  </si>
  <si>
    <t>5501715</t>
  </si>
  <si>
    <t>Escavação, carga e transporte em material de 1ª categoria - DMT de 800 a 1.000 m com motoscraper</t>
  </si>
  <si>
    <t>5502986</t>
  </si>
  <si>
    <t>Expurgo de jazida</t>
  </si>
  <si>
    <t>5502977</t>
  </si>
  <si>
    <t>Fragmentação de blocos de rocha com escavadeira e rompedor hidráulico 1.700 kg</t>
  </si>
  <si>
    <t>5502985</t>
  </si>
  <si>
    <t>Limpeza mecanizada da camada vegetal</t>
  </si>
  <si>
    <t>5503018</t>
  </si>
  <si>
    <t>Manutenção de caminho de serviço</t>
  </si>
  <si>
    <t>5505768</t>
  </si>
  <si>
    <t>Pré-fissuramento de material de 3ª categoria</t>
  </si>
  <si>
    <t>5503020</t>
  </si>
  <si>
    <t>Umedecimento de caminho de serviço</t>
  </si>
  <si>
    <t>5605798</t>
  </si>
  <si>
    <t>Chumbador de aço CA-50 - D = 20 mm com perfuratriz sobre pneus - ancorado na rocha com cartucho de cimento - fornecimento, perfuração e instalação</t>
  </si>
  <si>
    <t>5605925</t>
  </si>
  <si>
    <t>Chumbador de aço CA-50 - D = 20 mm com perfuratriz sobre pneus - ancorado na rocha com injeção de nata de cimento - fornecimento, perfuração e instalação</t>
  </si>
  <si>
    <t>5605799</t>
  </si>
  <si>
    <t>Chumbador de aço CA-50 - D = 22 mm com perfuratriz sobre pneus - ancorado na rocha com cartucho de cimento - fornecimento, perfuração e instalação</t>
  </si>
  <si>
    <t>5605800</t>
  </si>
  <si>
    <t>Chumbador de aço CA-50 - D = 25 mm com perfuratriz sobre pneus - ancorado na rocha com cartucho de cimento - fornecimento, perfuração e instalação</t>
  </si>
  <si>
    <t>5613944</t>
  </si>
  <si>
    <t>Chumbador de aço CA-50 - D = 32 mm com martelete perfurador manual - ancorado na rocha com cartucho de cimento - fornecimento, perfuração e instalação</t>
  </si>
  <si>
    <t>5605894</t>
  </si>
  <si>
    <t>Grampo de aço CA-50 D = 12,5 mm para solo grampeado com capacidade de 30 kN - fornecimento, perfuração e instalação</t>
  </si>
  <si>
    <t>5605895</t>
  </si>
  <si>
    <t>Grampo de aço CA-50 D = 16 mm para solo grampeado com capacidade de 50 kN - fornecimento, perfuração e instalação</t>
  </si>
  <si>
    <t>5605896</t>
  </si>
  <si>
    <t>Grampo de aço CA-50 D = 20 mm para solo grampeado com capacidade de 80 kN - fornecimento, perfuração e instalação</t>
  </si>
  <si>
    <t>5605911</t>
  </si>
  <si>
    <t>Perfuração para tirante permanente protendido autoinjetável em material de 1ª categoria com diâmetro de até 120 mm</t>
  </si>
  <si>
    <t>5605912</t>
  </si>
  <si>
    <t>Perfuração para tirante permanente protendido autoinjetável em material de 2ª categoria com diâmetro de até 87 mm</t>
  </si>
  <si>
    <t>5605938</t>
  </si>
  <si>
    <t>Perfuração para tirantes em material de 1ª categoria com diâmetro de até 120 mm</t>
  </si>
  <si>
    <t>5605939</t>
  </si>
  <si>
    <t>Perfuração para tirantes em material de 2ª categoria com diâmetro de até 120 mm</t>
  </si>
  <si>
    <t>5605940</t>
  </si>
  <si>
    <t>Perfuração para tirantes em material de 3ª categoria com diâmetro de até 120 mm</t>
  </si>
  <si>
    <t>5605942</t>
  </si>
  <si>
    <t>Pintura eletrostática com tinta em pó à base de resina epóxi - E = 200 µm</t>
  </si>
  <si>
    <t>5605955</t>
  </si>
  <si>
    <t>Protensão de tirante com 10 cordoalhas D = 12,7 mm aço CP 190 RB, com capacidade de 860 kN - inclusive ancoragem e grauteamento da cabeça</t>
  </si>
  <si>
    <t>5605956</t>
  </si>
  <si>
    <t>Protensão de tirante com 12 cordoalhas D = 12,7 mm aço CP 190 RB, com capacidade de 1.040 kN - inclusive ancoragem e grauteamento da cabeça</t>
  </si>
  <si>
    <t>5605953</t>
  </si>
  <si>
    <t>Protensão de tirante com 6 cordoalhas D = 12,7 mm aço CP 190 RB, com capacidade de 520 kN - inclusive ancoragem e grauteamento da cabeça</t>
  </si>
  <si>
    <t>5605954</t>
  </si>
  <si>
    <t>Protensão de tirante com 8 cordoalhas D = 12,7 mm aço CP 190 RB, com capacidade de 690 kN - inclusive ancoragem e grauteamento da cabeça</t>
  </si>
  <si>
    <t>5605909</t>
  </si>
  <si>
    <t>Protensão de tirante permanente autoinjetável de aço D = 40 mm, seção de 684 mm², tensão de escoamento = 440 MPa e tensão de ruptura = 580 MPa - inclusive ancoragem e grauteamento da cabeça</t>
  </si>
  <si>
    <t>5605908</t>
  </si>
  <si>
    <t>Protensão de tirante permanente autoinjetável de aço D = 40 mm, seção de 822 mm², tensão de escoamento = 470 MPa e tensão de ruptura = 600 MPa - inclusive ancoragem e grauteamento da cabeça</t>
  </si>
  <si>
    <t>5605907</t>
  </si>
  <si>
    <t>Protensão de tirante permanente autoinjetável de aço D = 40 mm, seção de 936 mm², tensão de escoamento = 700 MPa e tensão de ruptura = 830 MPa - inclusive ancoragem e grauteamento da cabeça</t>
  </si>
  <si>
    <t>5605906</t>
  </si>
  <si>
    <t>Protensão de tirante permanente autoinjetável de aço D = 50 mm, seção de 1.330 mm², tensão de escoamento = 630 MPa e tensão de ruptura = 740 MPa - inclusive ancoragem e grauteamento da cabeça</t>
  </si>
  <si>
    <t>5605905</t>
  </si>
  <si>
    <t>Protensão de tirante permanente autoinjetável de aço D = 50 mm, seção de 1.569 mm², tensão de escoamento = 630 MPa e tensão de ruptura = 740 MP - inclusive ancoragem e grauteamento da cabeça</t>
  </si>
  <si>
    <t>5605944</t>
  </si>
  <si>
    <t>Protensão de tirante permanente protendido de aço D = 30 mm, tensão de escoamento = 600 MPa e tensão de ruptura = 720 MPa - inclusive ancoragem e grauteamento da cabeça</t>
  </si>
  <si>
    <t>5605910</t>
  </si>
  <si>
    <t>Protensão de tirante permanente protendido de aço D = 32 mm, tensão de escoamento = 520 MPa e tensão de ruptura = 690 MPa - inclusive ancoragem e grauteamento da cabeça</t>
  </si>
  <si>
    <t>5605945</t>
  </si>
  <si>
    <t>Protensão de tirante permanente protendido de aço D = 32 mm, tensão de escoamento = 950 MPa e tensão de ruptura = 1.050 MPa - inclusive ancoragem e grauteamento da cabeça</t>
  </si>
  <si>
    <t>5605946</t>
  </si>
  <si>
    <t>Protensão de tirante permanente protendido de aço D = 40 mm, tensão de escoamento = 600 MPa e tensão de ruptura = 720 MPa - inclusive ancoragem e grauteamento da cabeça</t>
  </si>
  <si>
    <t>5605947</t>
  </si>
  <si>
    <t>Protensão de tirante permanente protendido de aço D = 44 mm, tensão de escoamento = 680 MPa e tensão de ruptura = 870 MPa - inclusive ancoragem e grauteamento da cabeça</t>
  </si>
  <si>
    <t>5605948</t>
  </si>
  <si>
    <t>Protensão de tirante permanente protendido de aço D = 50 mm, tensão de escoamento = 600 MPa e tensão de ruptura = 720 MPa - inclusive ancoragem e grauteamento da cabeça</t>
  </si>
  <si>
    <t>5605949</t>
  </si>
  <si>
    <t>Protensão de tirante permanente protendido de aço D = 53 mm, tensão de escoamento = 600 MPa e tensão de ruptura = 720 MPa - inclusive ancoragem e grauteamento da cabeça</t>
  </si>
  <si>
    <t>5605950</t>
  </si>
  <si>
    <t>Protensão de tirante permanente protendido de aço D = 57 mm, tensão de escoamento = 600 MPa e tensão de ruptura = 720 MPa - inclusive ancoragem e grauteamento da cabeça</t>
  </si>
  <si>
    <t>5605951</t>
  </si>
  <si>
    <t>Protensão de tirante permanente protendido de aço D = 63 mm, tensão de escoamento = 600 MPa e tensão de ruptura = 720 MPa - inclusive ancoragem e grauteamento da cabeça</t>
  </si>
  <si>
    <t>5605952</t>
  </si>
  <si>
    <t>Protensão de tirante permanente protendido de aço D = 69 mm, tensão de escoamento = 600 MPa e tensão de ruptura = 720 MPa - inclusive ancoragem e grauteamento da cabeça</t>
  </si>
  <si>
    <t>5605932</t>
  </si>
  <si>
    <t>Tirante de barra de aço ancorado na rocha com resina de poliéster, D = 19 mm, tensão de escoamento = 700 MPa e tensão de ruptura = 800 MPa - fornecimento, perfuração e instalação</t>
  </si>
  <si>
    <t>5605934</t>
  </si>
  <si>
    <t>Tirante de barra de aço ancorado na rocha com resina de poliéster, D = 22 mm, tensão de escoamento = 700 MPa e tensão de ruptura = 800 MPa - fornecimento, perfuração e instalação</t>
  </si>
  <si>
    <t>5605928</t>
  </si>
  <si>
    <t>Tirante de barra de aço ancorado na rocha com resina de poliéster, D = 25 mm, tensão de escoamento = 520 MPa e tensão de ruptura = 690 MPa - fornecimento, perfuração e instalação</t>
  </si>
  <si>
    <t>5605935</t>
  </si>
  <si>
    <t>Tirante de barra de aço ancorado na rocha com resina de poliéster, D = 25 mm, tensão de escoamento = 700 MPa, tensão de ruptura = 800 MPa - fornecimento, perfuração e instalação</t>
  </si>
  <si>
    <t>5605936</t>
  </si>
  <si>
    <t>Tirante de barra de aço ancorado na rocha com resina de poliéster, D = 32 mm, tensão de escoamento = 700 MPa, tensão de ruptura = 800 MPa - fornecimento, perfuração e instalação</t>
  </si>
  <si>
    <t>5605937</t>
  </si>
  <si>
    <t>Tirante de barra de aço ancorado na rocha com resina de poliéster, D = 36 mm, tensão de escoamento = 700 MPa e tensão de ruptura = 800 MPa - fornecimento, perfuração e instalação</t>
  </si>
  <si>
    <t>5605957</t>
  </si>
  <si>
    <t>Tirante permanente protendido autoinjetável de aço D = 40 mm, seção de 684 mm², tensão de escoamento = 440 MPa e tensão de ruptura = 580 MPa - exceto perfuração</t>
  </si>
  <si>
    <t>5605958</t>
  </si>
  <si>
    <t>Tirante permanente protendido autoinjetável de aço D = 40 mm, seção de 822 mm², tensão de escoamento = 470 MPa e tensão de ruptura = 600 MPa - exceto perfuração</t>
  </si>
  <si>
    <t>5605959</t>
  </si>
  <si>
    <t>Tirante permanente protendido autoinjetável de aço D = 40 mm, seção de 936 mm², tensão de escoamento = 700 MPa e tensão de ruptura = 830 MPa - exceto perfuração</t>
  </si>
  <si>
    <t>5605960</t>
  </si>
  <si>
    <t>Tirante permanente protendido autoinjetável de aço D = 50 mm, seção de 1.330 mm², tensão de escoamento = 630 MPa e tensão de ruptura = 740 MPa - exceto perfuração</t>
  </si>
  <si>
    <t>5605961</t>
  </si>
  <si>
    <t>Tirante permanente protendido autoinjetável de aço D = 50 mm, seção de 1.569 mm², tensão de escoamento = 630 MPa e tensão de ruptura = 740 MPa - exceto perfuração</t>
  </si>
  <si>
    <t>5605885</t>
  </si>
  <si>
    <t>Tirante permanente protendido com 10 cordoalhas D = 12,7 mm, aço CP 190 RB, com capacidade de 860 kN - exceto perfuração</t>
  </si>
  <si>
    <t>5605886</t>
  </si>
  <si>
    <t>Tirante permanente protendido com 12 cordoalhas D = 12,7 mm, aço CP 190 RB, com capacidade de 1.030 kN - exceto perfuração</t>
  </si>
  <si>
    <t>5605883</t>
  </si>
  <si>
    <t>Tirante permanente protendido com 6 cordoalhas D = 12,7 mm, aço CP 190 RB, com capacidade de 510 kN - exceto perfuração</t>
  </si>
  <si>
    <t>5605884</t>
  </si>
  <si>
    <t>Tirante permanente protendido com 8 cordoalhas D = 12,7 mm, aço CP 190 RB, com capacidade de 690 kN - exceto perfuração</t>
  </si>
  <si>
    <t>5605962</t>
  </si>
  <si>
    <t>Tirante permanente protendido de aço D = 30 mm, tensão de escoamento = 600 MPa e tensão de ruptura = 720 MPa - exceto perfuração</t>
  </si>
  <si>
    <t>5605881</t>
  </si>
  <si>
    <t>Tirante permanente protendido de aço D = 32 mm, tensão de escoamento = 520 MPa e tensão de ruptura = 690 MPa - exceto perfuração</t>
  </si>
  <si>
    <t>5605882</t>
  </si>
  <si>
    <t>Tirante permanente protendido de aço D = 32 mm, tensão de escoamento = 950 MPa e tensão de ruptura = 1.050 MPa - exceto perfuração</t>
  </si>
  <si>
    <t>5605963</t>
  </si>
  <si>
    <t>Tirante permanente protendido de aço D = 40 mm, tensão de escoamento = 600 MPa e tensão de ruptura = 720 MPa - exceto perfuração</t>
  </si>
  <si>
    <t>5605964</t>
  </si>
  <si>
    <t>Tirante permanente protendido de aço D = 44 mm, tensão de escoamento = 680 MPa e tensão de ruptura = 870 MPa - exceto perfuração</t>
  </si>
  <si>
    <t>5605965</t>
  </si>
  <si>
    <t>Tirante permanente protendido de aço D = 50 mm, tensão de escoamento = 600 MPa e tensão de ruptura = 720 MPa - exceto perfuração</t>
  </si>
  <si>
    <t>5605966</t>
  </si>
  <si>
    <t>Tirante permanente protendido de aço D = 53mm, tensão de escoamento = 600 MPa e tensão de ruptura = 720 MPa - exceto perfuração</t>
  </si>
  <si>
    <t>5605967</t>
  </si>
  <si>
    <t>Tirante permanente protendido de aço D = 57 mm, tensão de escoamento = 600 MPa e tensão de ruptura = 720 MPa - exceto perfuração</t>
  </si>
  <si>
    <t>5605968</t>
  </si>
  <si>
    <t>Tirante permanente protendido de aço D = 63 mm, tensão de escoamento = 600 MPa e tensão de ruptura = 720 MPa - exceto perfuração</t>
  </si>
  <si>
    <t>5605969</t>
  </si>
  <si>
    <t>Tirante permanente protendido de aço D = 69 mm, tensão de escoamento = 600 MPa e tensão de ruptura = 720 MPa - exceto perfuração</t>
  </si>
  <si>
    <t>5909130</t>
  </si>
  <si>
    <t>Carga e manobra de aduelas de concreto pré-moldadas em cavalo mecânico com semirreboque 20 t - carga com caminhão guindauto com capacidade de elevação de 11,9 t</t>
  </si>
  <si>
    <t>5914703</t>
  </si>
  <si>
    <t>Carga e manobra de brita para lastro com locomotiva diesel-elétrica em vagão hopper aberto com capacidade de 45 m³ - carga com carregadeira e descarga automática - bitola métrica</t>
  </si>
  <si>
    <t>5914704</t>
  </si>
  <si>
    <t>Carga e manobra de brita para lastro com locomotiva diesel-elétrica em vagão hopper aberto com capacidade de 63 m³ - carga com carregadeira e descarga automática - bitola larga</t>
  </si>
  <si>
    <t>5914710</t>
  </si>
  <si>
    <t>Carga e manobra de dormentes de concreto de bitola larga com locomotiva diesel-elétrica e vagão plataforma com capacidade de 98 t - carga com carregadeira - bitola larga</t>
  </si>
  <si>
    <t>5914711</t>
  </si>
  <si>
    <t>Carga e manobra de dormentes de concreto de bitola métrica com locomotiva diesel-elétrica e vagão plataforma com capacidade de 82 t - carga com carregadeira - bitola métrica</t>
  </si>
  <si>
    <t>5914712</t>
  </si>
  <si>
    <t>Carga e manobra de dormentes de concreto de bitola mista com locomotiva diesel-elétrica e vagão plataforma com capacidade de 98 t - carga com carregadeira - bitola larga</t>
  </si>
  <si>
    <t>5915369</t>
  </si>
  <si>
    <t>Carga, descarga e manobra de vigas pré-moldadas de 1.000 a 1.250 kN em cavalo mecânico com reboques de 5 e 4 eixos com capacidade de 130 t</t>
  </si>
  <si>
    <t>5915401</t>
  </si>
  <si>
    <t>Carga, descarga e manobra de vigas pré-moldadas de 500 a 750 kN em cavalo mecânico com dollys de 3 e 4 eixos com capacidade de 77 t</t>
  </si>
  <si>
    <t>5915402</t>
  </si>
  <si>
    <t>Carga, descarga e manobra de vigas pré-moldadas de 750 a 1.000 kN em cavalo mecânico com dollys de 5 e 4 eixos com capacidade de 111 t</t>
  </si>
  <si>
    <t>5915400</t>
  </si>
  <si>
    <t>Carga, descarga e manobra de vigas pré-moldadas de até 500 kN em cavalo mecânico com dolly de 4 eixos com capacidade de 57 t</t>
  </si>
  <si>
    <t>5914651</t>
  </si>
  <si>
    <t>Carga, manobra e descarga de agregados ou solos em caminhão basculante de 10 m³ - carga com carregadeira de 3,40 m³ (exclusa) e descarga em distribuidor autopropelido</t>
  </si>
  <si>
    <t>5914648</t>
  </si>
  <si>
    <t>Carga, manobra e descarga de agregados ou solos em caminhão basculante de 10 m³ - carga com carregadeira de 3,40 m³ (exclusa) e descarga em distribuidor rebocável</t>
  </si>
  <si>
    <t>5914647</t>
  </si>
  <si>
    <t>Carga, manobra e descarga de agregados ou solos em caminhão basculante de 10 m³ - carga com carregadeira de 3,40 m³ (exclusa) e descarga livre</t>
  </si>
  <si>
    <t>5915411</t>
  </si>
  <si>
    <t>Carga, manobra e descarga de agregados ou solos em caminhão basculante de 10 m³ - carga com carregadeira de 3,40 m³ e descarga em distribuidor autopropelido</t>
  </si>
  <si>
    <t>5915409</t>
  </si>
  <si>
    <t>Carga, manobra e descarga de agregados ou solos em caminhão basculante de 10 m³ - carga com carregadeira de 3,40 m³ e descarga em distribuidor rebocável</t>
  </si>
  <si>
    <t>5915407</t>
  </si>
  <si>
    <t>Carga, manobra e descarga de agregados ou solos em caminhão basculante de 10 m³ - carga com carregadeira de 3,40 m³ e descarga livre</t>
  </si>
  <si>
    <t>5914354</t>
  </si>
  <si>
    <t>Carga, manobra e descarga de agregados ou solos em caminhão basculante de 10 m³ - carga com escavadeira de 1,56 m³ (exclusa) e descarga livre</t>
  </si>
  <si>
    <t>5915406</t>
  </si>
  <si>
    <t>Carga, manobra e descarga de agregados ou solos em caminhão basculante de 10 m³ - carga em usina de 60 t/h (PMF) e descarga livre</t>
  </si>
  <si>
    <t>5914652</t>
  </si>
  <si>
    <t>Carga, manobra e descarga de agregados ou solos em caminhão basculante de 10 m³ - carga em usina de solos de 300 t/h e descarga em distribuidor autopropelido</t>
  </si>
  <si>
    <t>5915417</t>
  </si>
  <si>
    <t>Carga, manobra e descarga de agregados ou solos em caminhão basculante de 10 m³ - carga em usina de solos de 300 t/h e descarga em vibroacabadora</t>
  </si>
  <si>
    <t>5915414</t>
  </si>
  <si>
    <t>Carga, manobra e descarga de agregados ou solos em caminhão basculante de 10 m³ - carga em usina de solos de 300 t/h e descarga livre</t>
  </si>
  <si>
    <t>5914351</t>
  </si>
  <si>
    <t>Carga, manobra e descarga de agregados ou solos em caminhão basculante de 14 m³ - carga com carregadeira de 3,40 m³ e descarga livre</t>
  </si>
  <si>
    <t>5914645</t>
  </si>
  <si>
    <t>Carga, manobra e descarga de agregados ou solos em caminhão basculante de 6 m³ - carga com carregadeira de 1,72 m³ (exclusa) e descarga em distribuidor autopropelido</t>
  </si>
  <si>
    <t>5914642</t>
  </si>
  <si>
    <t>Carga, manobra e descarga de agregados ou solos em caminhão basculante de 6 m³ - carga com carregadeira de 1,72 m³ (exclusa) e descarga em distribuidor rebocável</t>
  </si>
  <si>
    <t>5914641</t>
  </si>
  <si>
    <t>Carga, manobra e descarga de agregados ou solos em caminhão basculante de 6 m³ - carga com carregadeira de 1,72 m³ (exclusa) e descarga livre</t>
  </si>
  <si>
    <t>5915456</t>
  </si>
  <si>
    <t>Carga, manobra e descarga de agregados ou solos em caminhão basculante de 6 m³ - carga com carregadeira de 1,72 m³ e descarga em distribuidor autopropelido</t>
  </si>
  <si>
    <t>5915454</t>
  </si>
  <si>
    <t>Carga, manobra e descarga de agregados ou solos em caminhão basculante de 6 m³ - carga com carregadeira de 1,72 m³ e descarga em distribuidor rebocável</t>
  </si>
  <si>
    <t>5915399</t>
  </si>
  <si>
    <t>Carga, manobra e descarga de agregados ou solos em caminhão basculante de 6 m³ - carga com carregadeira de 1,72 m³ e descarga livre</t>
  </si>
  <si>
    <t>5914353</t>
  </si>
  <si>
    <t>Carga, manobra e descarga de agregados ou solos em caminhão basculante de 6 m³ - carga com escavadeira de 1,56 m³ (exclusa) e descarga livre</t>
  </si>
  <si>
    <t>5915470</t>
  </si>
  <si>
    <t>Carga, manobra e descarga de agregados ou solos em caminhão basculante de 6 m³ - carga com escavadeira de 1,56 m³ e descarga livre</t>
  </si>
  <si>
    <t>5915459</t>
  </si>
  <si>
    <t>Carga, manobra e descarga de agregados ou solos em caminhão basculante de 6 m³ - carga com minicarregadeira de 0,45 m³ e descarga livre</t>
  </si>
  <si>
    <t>5915476</t>
  </si>
  <si>
    <t>Carga, manobra e descarga de agregados ou solos em caminhão basculante de 6 m³ - carga manual e descarga livre</t>
  </si>
  <si>
    <t>5914702</t>
  </si>
  <si>
    <t>Carga, manobra e descarga de barras de trilho de 12 m com locomotiva diesel-elétrica em vagão plataforma com capacidade de 82 t - carga e descarga com carregadeira - bitola métrica</t>
  </si>
  <si>
    <t>5914701</t>
  </si>
  <si>
    <t>Carga, manobra e descarga de barras de trilho de 12 m com locomotiva diesel-elétrica em vagão plataforma com capacidade de 98 t - carga e descarga com carregadeira - bitola larga</t>
  </si>
  <si>
    <t>5915018</t>
  </si>
  <si>
    <t>Carga, manobra e descarga de barras de trilho de 12 m em cavalo mecânico com semirreboque com capacidade de 32 t - carga e descarga com carregadeira</t>
  </si>
  <si>
    <t>5906592</t>
  </si>
  <si>
    <t>Carga, manobra e descarga de blocos artificiais de concreto com 10 a 12 t para molhe em cavalo mecânico com semirreboque com capacidade de 32 t - carga e descarga com guindaste com pinça</t>
  </si>
  <si>
    <t>5906591</t>
  </si>
  <si>
    <t>Carga, manobra e descarga de blocos artificiais de concreto com 8 a 9 t para molhe em cavalo mecânico com semirreboque com capacidade de 32 t - carga e descarga com guindaste com pinça</t>
  </si>
  <si>
    <t>5914653</t>
  </si>
  <si>
    <t>Carga, manobra e descarga de blocos de rocha em caminhão basculante de 8 m³ - carga com carregadeira de 1,72 m³ (exclusa) e descarga livre</t>
  </si>
  <si>
    <t>5915405</t>
  </si>
  <si>
    <t>Carga, manobra e descarga de blocos de rocha em caminhão basculante de 8 m³ - carga com carregadeira de 1,72 m³ e descarga livre</t>
  </si>
  <si>
    <t>5914657</t>
  </si>
  <si>
    <t>Carga, manobra e descarga de blocos de rocha em caminhão basculante de 8 m³ - carga com retroescavadeira de 0,29 m³ e descarga livre</t>
  </si>
  <si>
    <t>5914363</t>
  </si>
  <si>
    <t>Carga, manobra e descarga de cimento ou cal hidratada a granel em caminhão silo de 30 m³</t>
  </si>
  <si>
    <t>5914646</t>
  </si>
  <si>
    <t>Carga, manobra e descarga de concreto asfáltico com borracha em caminhão basculante de 10 m³ - carga em usina de asfalto 100/140 t/h e descarga em vibroacabadora</t>
  </si>
  <si>
    <t>5919535</t>
  </si>
  <si>
    <t>Carga, manobra e descarga de concreto com caminhão betoneira - carga em central de concreto de 30 m³/h e descarga em extrusora de barreira de concreto</t>
  </si>
  <si>
    <t>5919533</t>
  </si>
  <si>
    <t>Carga, manobra e descarga de concreto com caminhão betoneira - carga em central de concreto de 30 m³/h e descarga em extrusora de meio-fio</t>
  </si>
  <si>
    <t>5919534</t>
  </si>
  <si>
    <t>Carga, manobra e descarga de concreto com caminhão betoneira - carga em central de concreto de 30 m³/h e descarga em extrusora de sarjeta</t>
  </si>
  <si>
    <t>5909007</t>
  </si>
  <si>
    <t>Carga, manobra e descarga de concreto com caminhão betoneira - carga em central de concreto de 30 m³/h e descarga livre</t>
  </si>
  <si>
    <t>5919538</t>
  </si>
  <si>
    <t>Carga, manobra e descarga de concreto com caminhão betoneira - carga em central de concreto de 40 m³/h e descarga livre</t>
  </si>
  <si>
    <t>5919540</t>
  </si>
  <si>
    <t>Carga, manobra e descarga de concreto de cimento em caminhão basculante de 10 m³ - carga em central de concreto de 150 m³/h e descarga em vibroacabadora</t>
  </si>
  <si>
    <t>5914705</t>
  </si>
  <si>
    <t>Carga, manobra e descarga de dormentes de concreto de bitola larga com locomotiva diesel-elétrica e vagão plataforma com capacidade de 98 t - carga e descarga com carregadeira - bitola larga</t>
  </si>
  <si>
    <t>5914706</t>
  </si>
  <si>
    <t>Carga, manobra e descarga de dormentes de concreto de bitola métrica com locomotiva diesel-elétrica e vagão plataforma com capacidade de 82 t - carga e descarga com carregadeira - bitola métrica</t>
  </si>
  <si>
    <t>5914707</t>
  </si>
  <si>
    <t>Carga, manobra e descarga de dormentes de concreto de bitola mista com locomotiva diesel-elétrica e vagão plataforma com capacidade de 98 t - carga e descarga com carregadeira - bitola larga</t>
  </si>
  <si>
    <t>5914677</t>
  </si>
  <si>
    <t>Carga, manobra e descarga de dormentes de madeira com locomotiva diesel-elétrica em vagão plataforma com capacidade de 82 t - carga e descarga com carregadeira - bitola métrica</t>
  </si>
  <si>
    <t>5914676</t>
  </si>
  <si>
    <t>Carga, manobra e descarga de dormentes de madeira com locomotiva diesel-elétrica em vagão plataforma com capacidade de 98 t - carga e descarga com carregadeira - bitola larga</t>
  </si>
  <si>
    <t>5915016</t>
  </si>
  <si>
    <t>Carga, manobra e descarga de dormentes de madeira de bitola larga ou mista em cavalo mecânico com semirreboque com capacidade de 32 t - carga e descarga com carregadeira</t>
  </si>
  <si>
    <t>5915017</t>
  </si>
  <si>
    <t>Carga, manobra e descarga de dormentes de madeira de bitola métrica em cavalo mecânico com semirreboque com capacidade de 32 t - carga e descarga com carregadeira</t>
  </si>
  <si>
    <t>5914678</t>
  </si>
  <si>
    <t>Carga, manobra e descarga de jogo de dormentes de concreto para AMV de bitola larga ou mista, qualquer abertura, com locomotiva diesel-elétrica em vagão plataforma com capacidade de 98 t - carga e descarga com carregadeira - bitola larga</t>
  </si>
  <si>
    <t>5914679</t>
  </si>
  <si>
    <t>Carga, manobra e descarga de jogo de dormentes de concreto para AMV de bitola métrica, qualquer abertura, com locomotiva diesel-elétrica em vagão plataforma com capacidade de 82 t - carga e descarga com carregadeira - bitola métrica</t>
  </si>
  <si>
    <t>5914681</t>
  </si>
  <si>
    <t>Carga, manobra e descarga de jogo de dormentes de madeira para AMV bitola métrica, qualquer abertura, com locomotiva diesel-elétrica em vagão plataforma com capacidade de 82 t - carga e descarga com carregadeira - bitola métrica</t>
  </si>
  <si>
    <t>5914680</t>
  </si>
  <si>
    <t>Carga, manobra e descarga de jogo de dormentes de madeira para AMV de bitola larga ou mista, qualquer abertura, com locomotiva diesel-elétrica em vagão plataforma com capacidade de 98 t - carga e descarga com carregadeira - bitola larga</t>
  </si>
  <si>
    <t>5915015</t>
  </si>
  <si>
    <t>Carga, manobra e descarga de materiais diversos em caminhão carroceria com capacidade de 11,5 t e com guindauto com capacidade de elevação de 11,9 t</t>
  </si>
  <si>
    <t>5915373</t>
  </si>
  <si>
    <t>Carga, manobra e descarga de materiais diversos em caminhão carroceria com capacidade de 7 t e com guindauto com capacidade de elevação de 6,2 t</t>
  </si>
  <si>
    <t>5914333</t>
  </si>
  <si>
    <t>Carga, manobra e descarga de materiais diversos em caminhão carroceria de 15 t - carga e descarga com caminhão guindauto com capacidade de elevação de 6,2 t</t>
  </si>
  <si>
    <t>5914655</t>
  </si>
  <si>
    <t>Carga, manobra e descarga de materiais diversos em caminhão carroceria de 15 t - carga e descarga manuais</t>
  </si>
  <si>
    <t>5915474</t>
  </si>
  <si>
    <t>Carga, manobra e descarga de materiais diversos em caminhão carroceria de 5 t - carga e descarga manuais</t>
  </si>
  <si>
    <t>5914654</t>
  </si>
  <si>
    <t>Carga, manobra e descarga de materiais diversos em caminhão carroceria de 9 t - carga e descarga manuais</t>
  </si>
  <si>
    <t>5914686</t>
  </si>
  <si>
    <t>Carga, manobra e descarga de materiais metálicos e acessórios diversos com locomotiva diesel-elétrica em vagão fechado com capacidade de 64 t - carga e descarga com carregadeira - bitola métrica</t>
  </si>
  <si>
    <t>5914685</t>
  </si>
  <si>
    <t>Carga, manobra e descarga de materiais metálicos e acessórios diversos com locomotiva diesel-elétrica em vagão fechado com capacidade de 99 t - carga e descarga com carregadeira - bitola larga</t>
  </si>
  <si>
    <t>5914682</t>
  </si>
  <si>
    <t>Carga, manobra e descarga de materiais metálicos para AMV de bitola larga, qualquer abertura, com locomotiva diesel-elétrica em vagão plataforma com capacidade de 98 t - carga e descarga com carregadeira - bitola larga</t>
  </si>
  <si>
    <t>5915019</t>
  </si>
  <si>
    <t>Carga, manobra e descarga de materiais metálicos para AMV de bitola larga, qualquer abertura, em cavalo mecânico com semirreboque com capacidade de 32 t - carga e descarga com carregadeira</t>
  </si>
  <si>
    <t>5914683</t>
  </si>
  <si>
    <t>Carga, manobra e descarga de materiais metálicos para AMV de bitola métrica, qualquer abertura, com locomotiva diesel-elétrica em vagão plataforma com capacidade de 82 t - carga e descarga com carregadeira - bitola métrica</t>
  </si>
  <si>
    <t>5915020</t>
  </si>
  <si>
    <t>Carga, manobra e descarga de materiais metálicos para AMV de bitola métrica, qualquer abertura, em cavalo mecânico com semirreboque com capacidade de 32 t - carga e descarga com carregadeira</t>
  </si>
  <si>
    <t>5914684</t>
  </si>
  <si>
    <t>Carga, manobra e descarga de materiais metálicos para AMV de bitola mista, qualquer abertura, com locomotiva diesel-elétrica e vagão plataforma com capacidade de 98 t - carga e descarga com carregadeira</t>
  </si>
  <si>
    <t>5915021</t>
  </si>
  <si>
    <t>Carga, manobra e descarga de materiais metálicos para AMV de bitola mista, qualquer abertura, em cavalo mecânico com semirreboque com capacidade de 32 t - carga e descarga com carregadeira</t>
  </si>
  <si>
    <t>5914675</t>
  </si>
  <si>
    <t>Carga, manobra e descarga de material demolido em caminhão basculante de 6 m³ - carga com carregadeira de 1,72 m³ e descarga livre</t>
  </si>
  <si>
    <t>5915433</t>
  </si>
  <si>
    <t>Carga, manobra e descarga de material demolido em caminhão basculante de 6 m³ - carga manual e descarga livre</t>
  </si>
  <si>
    <t>5914304</t>
  </si>
  <si>
    <t>Carga, manobra e descarga de material fresado em caminhão basculante de 10 m³ - fresagem contínua em espessura de 3 cm - carga com fresadora e descarga livre</t>
  </si>
  <si>
    <t>5914305</t>
  </si>
  <si>
    <t>Carga, manobra e descarga de material fresado em caminhão basculante de 10 m³ - fresagem contínua em espessura de 4 cm - carga com fresadora e descarga livre</t>
  </si>
  <si>
    <t>5915440</t>
  </si>
  <si>
    <t>Carga, manobra e descarga de material fresado em caminhão basculante de 10 m³ - fresagem contínua em espessura de 5 cm - carga com fresadora e descarga livre</t>
  </si>
  <si>
    <t>5914306</t>
  </si>
  <si>
    <t>Carga, manobra e descarga de material fresado em caminhão basculante de 10 m³ - fresagem contínua em espessura de 6 cm - carga com fresadora e descarga livre</t>
  </si>
  <si>
    <t>5914307</t>
  </si>
  <si>
    <t>Carga, manobra e descarga de material fresado em caminhão basculante de 10 m³ - fresagem contínua em espessura de 7 cm - carga com fresadora e descarga livre</t>
  </si>
  <si>
    <t>5914308</t>
  </si>
  <si>
    <t>Carga, manobra e descarga de material fresado em caminhão basculante de 10 m³ - fresagem contínua em espessura de 8 cm - carga com fresadora e descarga livre</t>
  </si>
  <si>
    <t>5914309</t>
  </si>
  <si>
    <t>Carga, manobra e descarga de material fresado em caminhão basculante de 10 m³ - fresagem descontínua em espessura de 3 cm - carga com fresadora e descarga livre</t>
  </si>
  <si>
    <t>5914310</t>
  </si>
  <si>
    <t>Carga, manobra e descarga de material fresado em caminhão basculante de 10 m³ - fresagem descontínua em espessura de 4 cm - carga com fresadora e descarga livre</t>
  </si>
  <si>
    <t>5914352</t>
  </si>
  <si>
    <t>Carga, manobra e descarga de material fresado em caminhão basculante de 10 m³ - fresagem descontínua em espessura de 5 cm - carga com fresadora e descarga livre</t>
  </si>
  <si>
    <t>5914311</t>
  </si>
  <si>
    <t>Carga, manobra e descarga de material fresado em caminhão basculante de 10 m³ - fresagem descontínua em espessura de 6 cm - carga com fresadora e descarga livre</t>
  </si>
  <si>
    <t>5914312</t>
  </si>
  <si>
    <t>Carga, manobra e descarga de material fresado em caminhão basculante de 10 m³ - fresagem descontínua em espessura de 7 cm - carga com fresadora e descarga livre</t>
  </si>
  <si>
    <t>5914313</t>
  </si>
  <si>
    <t>Carga, manobra e descarga de material fresado em caminhão basculante de 10 m³ - fresagem descontínua em espessura de 8 cm - carga com fresadora e descarga livre</t>
  </si>
  <si>
    <t>5914339</t>
  </si>
  <si>
    <t>Carga, manobra e descarga de material fresado em caminhão basculante de 6 m³ - fresagem descontínua em espessura de 5 cm - carga com fresadora e descarga livre</t>
  </si>
  <si>
    <t>5914650</t>
  </si>
  <si>
    <t>Carga, manobra e descarga de mistura betuminosa a frio em caminhão basculante de 10 m³ - carga em usina de 60 t/h (PMF) e descarga em vibroacabadora</t>
  </si>
  <si>
    <t>5914358</t>
  </si>
  <si>
    <t>Carga, manobra e descarga de mistura betuminosa a frio em caminhão basculante de 6 m³ - carga em usina de 60 t/h (PMF) e descarga em vibroacabadora</t>
  </si>
  <si>
    <t>5915421</t>
  </si>
  <si>
    <t>Carga, manobra e descarga de mistura betuminosa a frio em caminhão basculante de 6 m³ - carga em usina de 60 t/h (PMF) e descarga manual</t>
  </si>
  <si>
    <t>5914649</t>
  </si>
  <si>
    <t>Carga, manobra e descarga de mistura betuminosa a quente em caminhão basculante de 10 m³ - carga em usina de asfalto 100/140 t/h e descarga em vibroacabadora</t>
  </si>
  <si>
    <t>5914643</t>
  </si>
  <si>
    <t>Carga, manobra e descarga de mistura betuminosa a quente em caminhão basculante de 6 m³ - carga em usina de asfalto 100/140 t/h e descarga em vibroacabadora</t>
  </si>
  <si>
    <t>5914328</t>
  </si>
  <si>
    <t>Carga, manobra e descarga de mistura betuminosa a quente em caminhão basculante de 6 m³ - carga em usina de asfalto 100/140 t/h e descarga manual</t>
  </si>
  <si>
    <t>5914610</t>
  </si>
  <si>
    <t>Carga, manobra e descarga de mistura betuminosa a quente em caminhão com caçamba térmica de 6 m³ - carga em usina de asfalto de 100/140 t/h e descarga manual</t>
  </si>
  <si>
    <t>5915408</t>
  </si>
  <si>
    <t>Carga, manobra e descarga de mistura reciclada com espuma de asfalto em caminhão basculante de 10 m³ - carga em usina de reciclagem a frio e descarga em vibroacabadora</t>
  </si>
  <si>
    <t>5915306</t>
  </si>
  <si>
    <t>Carga, manobra e descarga de tetrápodes em cavalo mecânico com semirreboque com capacidade de 32 t - carga e descarga com guindaste</t>
  </si>
  <si>
    <t>5914708</t>
  </si>
  <si>
    <t>Carga, manobra e descarga de TLS de TR45 de 120 m com locomotiva diesel-elétrica em vagão plataforma com capacidade de 82 t - carga e descarga com manipulador de TLS - bitola métrica</t>
  </si>
  <si>
    <t>5914687</t>
  </si>
  <si>
    <t>Carga, manobra e descarga de TLS de TR45 de 120 m com locomotiva diesel-elétrica em vagão plataforma com capacidade de 98 t - carga e descarga com manipulador de TLS - bitola larga</t>
  </si>
  <si>
    <t>5914709</t>
  </si>
  <si>
    <t>Carga, manobra e descarga de TLS de TR45 de 240 m com locomotiva diesel-elétrica em vagão plataforma com capacidade de 82 t - carga e descarga com manipulador de TLS - bitola métrica</t>
  </si>
  <si>
    <t>5914688</t>
  </si>
  <si>
    <t>Carga, manobra e descarga de TLS de TR45 de 240 m com locomotiva diesel-elétrica em vagão plataforma com capacidade de 98 t - carga e descarga com manipulador de TLS - bitola larga</t>
  </si>
  <si>
    <t>5914695</t>
  </si>
  <si>
    <t>Carga, manobra e descarga de TLS de TR57 de 120 m com locomotiva diesel-elétrica em vagão plataforma com capacidade de 82 t - carga e descarga com manipulador de TLS - bitola métrica</t>
  </si>
  <si>
    <t>5914689</t>
  </si>
  <si>
    <t>Carga, manobra e descarga de TLS de TR57 de 120 m com locomotiva diesel-elétrica em vagão plataforma com capacidade de 98 t - carga e descarga com manipulador de TLS - bitola larga</t>
  </si>
  <si>
    <t>5914696</t>
  </si>
  <si>
    <t>Carga, manobra e descarga de TLS de TR57 de 240 m com locomotiva diesel-elétrica em vagão plataforma com capacidade de 82 t - carga e descarga com manipulador de TLS - bitola métrica</t>
  </si>
  <si>
    <t>5914690</t>
  </si>
  <si>
    <t>Carga, manobra e descarga de TLS de TR57 de 240 m com locomotiva diesel-elétrica em vagão plataforma com capacidade de 98 t - carga e descarga com manipulador de TLS - bitola larga</t>
  </si>
  <si>
    <t>5914697</t>
  </si>
  <si>
    <t>Carga, manobra e descarga de TLS de TR68 de 120 m com locomotiva diesel-elétrica em vagão plataforma com capacidade de 82 t - carga e descarga com manipulador de TLS - bitola métrica</t>
  </si>
  <si>
    <t>5914691</t>
  </si>
  <si>
    <t>Carga, manobra e descarga de TLS de TR68 de 120 m com locomotiva diesel-elétrica em vagão plataforma com capacidade de 98 t - carga e descarga com manipulador de TLS - bitola larga</t>
  </si>
  <si>
    <t>5914698</t>
  </si>
  <si>
    <t>Carga, manobra e descarga de TLS de TR68 de 240 m com locomotiva diesel-elétrica em vagão plataforma com capacidade de 82 t - carga e descarga com manipulador de TLS - bitola métrica</t>
  </si>
  <si>
    <t>5914692</t>
  </si>
  <si>
    <t>Carga, manobra e descarga de TLS de TR68 de 240 m com locomotiva diesel-elétrica em vagão plataforma com capacidade de 98 t - carga e descarga com manipulador de TLS - bitola larga</t>
  </si>
  <si>
    <t>5914699</t>
  </si>
  <si>
    <t>Carga, manobra e descarga de TLS de UIC60 de 120 m com locomotiva diesel-elétrica em vagão plataforma com capacidade de 82 t - carga e descarga com manipulador de TLS - bitola métrica</t>
  </si>
  <si>
    <t>5914693</t>
  </si>
  <si>
    <t>Carga, manobra e descarga de TLS de UIC60 de 120 m com locomotiva diesel-elétrica em vagão plataforma com capacidade de 98 t - carga e descarga com manipulador de TLS - bitola larga</t>
  </si>
  <si>
    <t>5914700</t>
  </si>
  <si>
    <t>Carga, manobra e descarga de TLS de UIC60 de 240 m com locomotiva diesel-elétrica em vagão plataforma com capacidade de 82 t - carga e descarga com manipulador de TLS - bitola métrica</t>
  </si>
  <si>
    <t>5914694</t>
  </si>
  <si>
    <t>Carga, manobra e descarga de TLS de UIC60 de 240 m com locomotiva diesel-elétrica em vagão plataforma com capacidade de 98 t - carga e descarga com manipulador de TLS - bitola larga</t>
  </si>
  <si>
    <t>5915441</t>
  </si>
  <si>
    <t>Carga, manobra e descarga de trituração de galhos e troncos em caminhão basculante de 6 m³ - carga com trituradora e descarga livre</t>
  </si>
  <si>
    <t>5901639</t>
  </si>
  <si>
    <t>Transporte com caminhão basculante com caçamba estanque com capacidade de 14 m³ - rodovia em leito natural</t>
  </si>
  <si>
    <t>tkm</t>
  </si>
  <si>
    <t>5901638</t>
  </si>
  <si>
    <t>Transporte com caminhão basculante com caçamba estanque com capacidade de 14 m³ - rodovia em revestimento primário</t>
  </si>
  <si>
    <t>5901640</t>
  </si>
  <si>
    <t>Transporte com caminhão basculante com caçamba estanque com capacidade de 14 m³ - rodovia pavimentada</t>
  </si>
  <si>
    <t>5914359</t>
  </si>
  <si>
    <t>Transporte com caminhão basculante de 10 m³ - rodovia em leito natural</t>
  </si>
  <si>
    <t>5914374</t>
  </si>
  <si>
    <t>Transporte com caminhão basculante de 10 m³ - rodovia em revestimento primário</t>
  </si>
  <si>
    <t>5914389</t>
  </si>
  <si>
    <t>Transporte com caminhão basculante de 10 m³ - rodovia pavimentada</t>
  </si>
  <si>
    <t>5915319</t>
  </si>
  <si>
    <t>Transporte com caminhão basculante de 14 m³ - rodovia em leito natural</t>
  </si>
  <si>
    <t>5915320</t>
  </si>
  <si>
    <t>Transporte com caminhão basculante de 14 m³ - rodovia em revestimento primário</t>
  </si>
  <si>
    <t>5915321</t>
  </si>
  <si>
    <t>Transporte com caminhão basculante de 14 m³ - rodovia pavimentada</t>
  </si>
  <si>
    <t>5914314</t>
  </si>
  <si>
    <t>Transporte com caminhão basculante de 6 m³ - rodovia em leito natural</t>
  </si>
  <si>
    <t>5914329</t>
  </si>
  <si>
    <t>Transporte com caminhão basculante de 6 m³ - rodovia em revestimento primário</t>
  </si>
  <si>
    <t>5914344</t>
  </si>
  <si>
    <t>Transporte com caminhão basculante de 6 m³ - rodovia pavimentada</t>
  </si>
  <si>
    <t>5914539</t>
  </si>
  <si>
    <t>Transporte com caminhão betoneira - rodovia em leito natural</t>
  </si>
  <si>
    <t>5914554</t>
  </si>
  <si>
    <t>Transporte com caminhão betoneira - rodovia em revestimento primário</t>
  </si>
  <si>
    <t>5914569</t>
  </si>
  <si>
    <t>Transporte com caminhão betoneira - rodovia pavimentada</t>
  </si>
  <si>
    <t>5915012</t>
  </si>
  <si>
    <t>Transporte com caminhão carroceria com capacidade de 11,5 t e com guindauto com capacidade de elevação de 11,9 t - rodovia em leito natural</t>
  </si>
  <si>
    <t>5915013</t>
  </si>
  <si>
    <t>Transporte com caminhão carroceria com capacidade de 11,5 t e com guindauto com capacidade de elevação de 11,9 t - rodovia em revestimento primário</t>
  </si>
  <si>
    <t>5915014</t>
  </si>
  <si>
    <t>Transporte com caminhão carroceria com capacidade de 11,5 t e com guindauto com capacidade de elevação de 11,9 t - rodovia pavimentada</t>
  </si>
  <si>
    <t>5914584</t>
  </si>
  <si>
    <t>Transporte com caminhão carroceria com capacidade de 7 t e com guindauto com capacidade de elevação de 6,2 t - rodovia em leito natural</t>
  </si>
  <si>
    <t>5914599</t>
  </si>
  <si>
    <t>Transporte com caminhão carroceria com capacidade de 7 t e com guindauto com capacidade de elevação de 6,2 t - rodovia em revestimento primário</t>
  </si>
  <si>
    <t>5914614</t>
  </si>
  <si>
    <t>Transporte com caminhão carroceria com capacidade de 7 t e com guindauto com capacidade de elevação de 6,2 t - rodovia pavimentada</t>
  </si>
  <si>
    <t>5914581</t>
  </si>
  <si>
    <t>Transporte com caminhão carroceria com capacidade de 8,5 t e com guindauto com capacidade de elevação de 5,7 t - rodovia em leito natural</t>
  </si>
  <si>
    <t>5914582</t>
  </si>
  <si>
    <t>Transporte com caminhão carroceria com capacidade de 8,5 t e com guindauto com capacidade de elevação de 5,7 t - rodovia em revestimento primário</t>
  </si>
  <si>
    <t>5914583</t>
  </si>
  <si>
    <t>Transporte com caminhão carroceria com capacidade de 8,5 t e com guindauto com capacidade de elevação de 5,7 t - rodovia pavimentada</t>
  </si>
  <si>
    <t>5914449</t>
  </si>
  <si>
    <t>Transporte com caminhão carroceria de 15 t - rodovia em leito natural</t>
  </si>
  <si>
    <t>5914464</t>
  </si>
  <si>
    <t>Transporte com caminhão carroceria de 15 t - rodovia em revestimento primário</t>
  </si>
  <si>
    <t>5914479</t>
  </si>
  <si>
    <t>Transporte com caminhão carroceria de 15 t - rodovia pavimentada</t>
  </si>
  <si>
    <t>5915322</t>
  </si>
  <si>
    <t>Transporte com caminhão carroceria de 5 t - rodovia em leito natural</t>
  </si>
  <si>
    <t>5915323</t>
  </si>
  <si>
    <t>Transporte com caminhão carroceria de 5 t - rodovia em revestimento primário</t>
  </si>
  <si>
    <t>5915324</t>
  </si>
  <si>
    <t>Transporte com caminhão carroceria de 5 t - rodovia pavimentada</t>
  </si>
  <si>
    <t>5914404</t>
  </si>
  <si>
    <t>Transporte com caminhão carroceria de 9 t - rodovia em leito natural</t>
  </si>
  <si>
    <t>5914419</t>
  </si>
  <si>
    <t>Transporte com caminhão carroceria de 9 t - rodovia em revestimento primário</t>
  </si>
  <si>
    <t>5914434</t>
  </si>
  <si>
    <t>Transporte com caminhão carroceria de 9 t - rodovia pavimentada</t>
  </si>
  <si>
    <t>5914635</t>
  </si>
  <si>
    <t>Transporte com cavalo mecânico com semirreboque com capacidade de 20 t - rodovia em leito natural</t>
  </si>
  <si>
    <t>5914636</t>
  </si>
  <si>
    <t>Transporte com cavalo mecânico com semirreboque com capacidade de 20 t - rodovia em revestimento primário</t>
  </si>
  <si>
    <t>5914637</t>
  </si>
  <si>
    <t>Transporte com cavalo mecânico com semirreboque com capacidade de 20 t - rodovia pavimentada</t>
  </si>
  <si>
    <t>5914638</t>
  </si>
  <si>
    <t>Transporte com cavalo mecânico com semirreboque com capacidade de 32 t - rodovia em leito natural</t>
  </si>
  <si>
    <t>5914639</t>
  </si>
  <si>
    <t>Transporte com cavalo mecânico com semirreboque com capacidade de 32 t - rodovia em revestimento primário</t>
  </si>
  <si>
    <t>5914640</t>
  </si>
  <si>
    <t>Transporte com cavalo mecânico com semirreboque com capacidade de 32 t - rodovia pavimentada</t>
  </si>
  <si>
    <t>5915466</t>
  </si>
  <si>
    <t>Transporte de água com caminhão tanque de 10.000 l - rodovia em leito natural</t>
  </si>
  <si>
    <t>5915467</t>
  </si>
  <si>
    <t>Transporte de água com caminhão tanque de 10.000 l - rodovia em revestimento primário</t>
  </si>
  <si>
    <t>5915468</t>
  </si>
  <si>
    <t>Transporte de água com caminhão tanque de 10.000 l - rodovia pavimentada</t>
  </si>
  <si>
    <t>5914617</t>
  </si>
  <si>
    <t>Transporte de água com caminhão tanque de 13.000 l - rodovia em leito natural</t>
  </si>
  <si>
    <t>5914618</t>
  </si>
  <si>
    <t>Transporte de água com caminhão tanque de 13.000 l - rodovia em revestimento primário</t>
  </si>
  <si>
    <t>5914619</t>
  </si>
  <si>
    <t>Transporte de água com caminhão tanque de 13.000 l - rodovia pavimentada</t>
  </si>
  <si>
    <t>5915451</t>
  </si>
  <si>
    <t>Transporte de água com caminhão tanque de 6.000 l - rodovia em leito natural</t>
  </si>
  <si>
    <t>5915452</t>
  </si>
  <si>
    <t>Transporte de água com caminhão tanque de 6.000 l - rodovia em revestimento primário</t>
  </si>
  <si>
    <t>5915453</t>
  </si>
  <si>
    <t>Transporte de água com caminhão tanque de 6.000 l - rodovia pavimentada</t>
  </si>
  <si>
    <t>5915448</t>
  </si>
  <si>
    <t>Transporte de água com caminhão tanque de 8.000 l - rodovia em leito natural</t>
  </si>
  <si>
    <t>5915449</t>
  </si>
  <si>
    <t>Transporte de água com caminhão tanque de 8.000 l - rodovia em revestimento primário</t>
  </si>
  <si>
    <t>5915450</t>
  </si>
  <si>
    <t>Transporte de água com caminhão tanque de 8.000 l - rodovia pavimentada</t>
  </si>
  <si>
    <t>5901641</t>
  </si>
  <si>
    <t>Transporte de areia fina com draga hopper - capacidade da cisterna de 1.000 m³</t>
  </si>
  <si>
    <t>m³km</t>
  </si>
  <si>
    <t>5901642</t>
  </si>
  <si>
    <t>Transporte de areia fina com draga hopper - capacidade da cisterna de 10.000 m³</t>
  </si>
  <si>
    <t>5901643</t>
  </si>
  <si>
    <t>Transporte de areia fina com draga hopper - capacidade da cisterna de 15.000 m³</t>
  </si>
  <si>
    <t>5901644</t>
  </si>
  <si>
    <t>Transporte de areia fina com draga hopper - capacidade da cisterna de 2.000 m³</t>
  </si>
  <si>
    <t>5901645</t>
  </si>
  <si>
    <t>Transporte de areia fina com draga hopper - capacidade da cisterna de 20.000 m³</t>
  </si>
  <si>
    <t>5901646</t>
  </si>
  <si>
    <t>Transporte de areia fina com draga hopper - capacidade da cisterna de 3.000 m³</t>
  </si>
  <si>
    <t>5901647</t>
  </si>
  <si>
    <t>Transporte de areia fina com draga hopper - capacidade da cisterna de 4.000 m³</t>
  </si>
  <si>
    <t>5901648</t>
  </si>
  <si>
    <t>Transporte de areia fina com draga hopper - capacidade da cisterna de 5.000 m³</t>
  </si>
  <si>
    <t>5901649</t>
  </si>
  <si>
    <t>Transporte de areia fina com draga hopper - capacidade da cisterna de 750 m³</t>
  </si>
  <si>
    <t>5901650</t>
  </si>
  <si>
    <t>Transporte de areia grossa com draga hopper - capacidade da cisterna de 1.000 m³</t>
  </si>
  <si>
    <t>5901651</t>
  </si>
  <si>
    <t>Transporte de areia grossa com draga hopper - capacidade da cisterna de 10.000 m³</t>
  </si>
  <si>
    <t>5901652</t>
  </si>
  <si>
    <t>Transporte de areia grossa com draga hopper - capacidade da cisterna de 15.000 m³</t>
  </si>
  <si>
    <t>5901653</t>
  </si>
  <si>
    <t>Transporte de areia grossa com draga hopper - capacidade da cisterna de 2.000 m³</t>
  </si>
  <si>
    <t>5901654</t>
  </si>
  <si>
    <t>Transporte de areia grossa com draga hopper - capacidade da cisterna de 20.000 m³</t>
  </si>
  <si>
    <t>5901655</t>
  </si>
  <si>
    <t>Transporte de areia grossa com draga hopper - capacidade da cisterna de 3.000 m³</t>
  </si>
  <si>
    <t>5901656</t>
  </si>
  <si>
    <t>Transporte de areia grossa com draga hopper - capacidade da cisterna de 4.000 m³</t>
  </si>
  <si>
    <t>5901657</t>
  </si>
  <si>
    <t>Transporte de areia grossa com draga hopper - capacidade da cisterna de 5.000 m³</t>
  </si>
  <si>
    <t>5901658</t>
  </si>
  <si>
    <t>Transporte de areia grossa com draga hopper - capacidade da cisterna de 750 m³</t>
  </si>
  <si>
    <t>5901659</t>
  </si>
  <si>
    <t>Transporte de areia média com draga hopper - capacidade da cisterna de 1.000 m³</t>
  </si>
  <si>
    <t>5901660</t>
  </si>
  <si>
    <t>Transporte de areia média com draga hopper - capacidade da cisterna de 10.000 m³</t>
  </si>
  <si>
    <t>5901661</t>
  </si>
  <si>
    <t>Transporte de areia média com draga hopper - capacidade da cisterna de 15.000 m³</t>
  </si>
  <si>
    <t>5901662</t>
  </si>
  <si>
    <t>Transporte de areia média com draga hopper - capacidade da cisterna de 2.000 m³</t>
  </si>
  <si>
    <t>5901663</t>
  </si>
  <si>
    <t>Transporte de areia média com draga hopper - capacidade da cisterna de 20.000 m³</t>
  </si>
  <si>
    <t>5901664</t>
  </si>
  <si>
    <t>Transporte de areia média com draga hopper - capacidade da cisterna de 3.000 m³</t>
  </si>
  <si>
    <t>5901665</t>
  </si>
  <si>
    <t>Transporte de areia média com draga hopper - capacidade da cisterna de 4.000 m³</t>
  </si>
  <si>
    <t>5901666</t>
  </si>
  <si>
    <t>Transporte de areia média com draga hopper - capacidade da cisterna de 5.000 m³</t>
  </si>
  <si>
    <t>5901667</t>
  </si>
  <si>
    <t>Transporte de areia média com draga hopper - capacidade da cisterna de 750 m³</t>
  </si>
  <si>
    <t>5914511</t>
  </si>
  <si>
    <t>Transporte de barras de trilho de 12 m com locomotiva diesel-elétrica em vagão plataforma com capacidade de 82 t - bitola métrica</t>
  </si>
  <si>
    <t>5914510</t>
  </si>
  <si>
    <t>Transporte de barras de trilho de 12 m com locomotiva diesel-elétrica em vagão plataforma com capacidade de 98 t - bitola larga</t>
  </si>
  <si>
    <t>5906597</t>
  </si>
  <si>
    <t>Transporte de blocos artificiais de concreto com 10 a 12 t para a execução de molhe com cavalo mecânico com semirreboque com capacidade de 32 t - rodovia em leito natural</t>
  </si>
  <si>
    <t>unkm</t>
  </si>
  <si>
    <t>5906598</t>
  </si>
  <si>
    <t>Transporte de blocos artificiais de concreto com 10 a 12 t para a execução de molhe com cavalo mecânico com semirreboque com capacidade de 32 t - rodovia em revestimento primário</t>
  </si>
  <si>
    <t>5906599</t>
  </si>
  <si>
    <t>Transporte de blocos artificiais de concreto com 10 a 12 t para a execução de molhe com cavalo mecânico com semirreboque com capacidade de 32 t - rodovia pavimentada</t>
  </si>
  <si>
    <t>5906594</t>
  </si>
  <si>
    <t>Transporte de blocos artificiais de concreto com 8 a 9 t para a execução de molhe com cavalo mecânico com semirreboque com capacidade de 32 t - rodovia em leito natural</t>
  </si>
  <si>
    <t>5906595</t>
  </si>
  <si>
    <t>Transporte de blocos artificiais de concreto com 8 a 9 t para a execução de molhe com cavalo mecânico com semirreboque com capacidade de 32 t - rodovia em revestimento primário</t>
  </si>
  <si>
    <t>5906596</t>
  </si>
  <si>
    <t>Transporte de blocos artificiais de concreto com 8 a 9 t para a execução de molhe com cavalo mecânico com semirreboque com capacidade de 32 t - rodovia pavimentada</t>
  </si>
  <si>
    <t>5901668</t>
  </si>
  <si>
    <t>Transporte de cascalho com draga hopper - capacidade da cisterna de 1.000 m³</t>
  </si>
  <si>
    <t>5901669</t>
  </si>
  <si>
    <t>Transporte de cascalho com draga hopper - capacidade da cisterna de 10.000 m³</t>
  </si>
  <si>
    <t>5901670</t>
  </si>
  <si>
    <t>Transporte de cascalho com draga hopper - capacidade da cisterna de 15.000 m³</t>
  </si>
  <si>
    <t>5901671</t>
  </si>
  <si>
    <t>Transporte de cascalho com draga hopper - capacidade da cisterna de 2.000 m³</t>
  </si>
  <si>
    <t>5901672</t>
  </si>
  <si>
    <t>Transporte de cascalho com draga hopper - capacidade da cisterna de 20.000 m³</t>
  </si>
  <si>
    <t>5901673</t>
  </si>
  <si>
    <t>Transporte de cascalho com draga hopper - capacidade da cisterna de 3.000 m³</t>
  </si>
  <si>
    <t>5901674</t>
  </si>
  <si>
    <t>Transporte de cascalho com draga hopper - capacidade da cisterna de 4.000 m³</t>
  </si>
  <si>
    <t>5901675</t>
  </si>
  <si>
    <t>Transporte de cascalho com draga hopper - capacidade da cisterna de 5.000 m³</t>
  </si>
  <si>
    <t>5901676</t>
  </si>
  <si>
    <t>Transporte de cascalho com draga hopper - capacidade da cisterna de 750 m³</t>
  </si>
  <si>
    <t>5901677</t>
  </si>
  <si>
    <t>Transporte de cascalho fino com draga hopper - capacidade da cisterna de 1.000 m³</t>
  </si>
  <si>
    <t>5901678</t>
  </si>
  <si>
    <t>Transporte de cascalho fino com draga hopper - capacidade da cisterna de 10.000 m³</t>
  </si>
  <si>
    <t>5901679</t>
  </si>
  <si>
    <t>Transporte de cascalho fino com draga hopper - capacidade da cisterna de 15.000 m³</t>
  </si>
  <si>
    <t>5901680</t>
  </si>
  <si>
    <t>Transporte de cascalho fino com draga hopper - capacidade da cisterna de 2.000 m³</t>
  </si>
  <si>
    <t>5901681</t>
  </si>
  <si>
    <t>Transporte de cascalho fino com draga hopper - capacidade da cisterna de 20.000 m³</t>
  </si>
  <si>
    <t>5901682</t>
  </si>
  <si>
    <t>Transporte de cascalho fino com draga hopper - capacidade da cisterna de 3.000 m³</t>
  </si>
  <si>
    <t>5901683</t>
  </si>
  <si>
    <t>Transporte de cascalho fino com draga hopper - capacidade da cisterna de 4.000 m³</t>
  </si>
  <si>
    <t>5901684</t>
  </si>
  <si>
    <t>Transporte de cascalho fino com draga hopper - capacidade da cisterna de 5.000 m³</t>
  </si>
  <si>
    <t>5901685</t>
  </si>
  <si>
    <t>Transporte de cascalho fino com draga hopper - capacidade da cisterna de 750 m³</t>
  </si>
  <si>
    <t>5914360</t>
  </si>
  <si>
    <t>Transporte de cimento ou cal com caminhão distribuidor de 15 m³ - rodovia em leito natural</t>
  </si>
  <si>
    <t>5914361</t>
  </si>
  <si>
    <t>Transporte de cimento ou cal com caminhão distribuidor de 15 m³ - rodovia em revestimento primário</t>
  </si>
  <si>
    <t>5914362</t>
  </si>
  <si>
    <t>Transporte de cimento ou cal com caminhão distribuidor de 15 m³ - rodovia pavimentada</t>
  </si>
  <si>
    <t>5914364</t>
  </si>
  <si>
    <t>Transporte de cimento ou cal hidratada a granel com caminhão silo de 30 m³ - rodovia em leito natural</t>
  </si>
  <si>
    <t>5914365</t>
  </si>
  <si>
    <t>Transporte de cimento ou cal hidratada a granel com caminhão silo de 30 m³ - rodovia em revestimento primário</t>
  </si>
  <si>
    <t>5914366</t>
  </si>
  <si>
    <t>Transporte de cimento ou cal hidratada a granel com caminhão silo de 30 m³ - rodovia pavimentada</t>
  </si>
  <si>
    <t>5914315</t>
  </si>
  <si>
    <t>Transporte de concreto com caminhão basculante de 10 m³ - rodovia em leito natural</t>
  </si>
  <si>
    <t>5914330</t>
  </si>
  <si>
    <t>Transporte de concreto com caminhão basculante de 10 m³ - rodovia em revestimento primário</t>
  </si>
  <si>
    <t>5914345</t>
  </si>
  <si>
    <t>Transporte de concreto com caminhão basculante de 10 m³ - rodovia pavimentada</t>
  </si>
  <si>
    <t>5914367</t>
  </si>
  <si>
    <t>Transporte de detritos com caminhão de hidrojateamento de alta pressão e vácuo de 9 m³ - rodovia em leito natural</t>
  </si>
  <si>
    <t>5914368</t>
  </si>
  <si>
    <t>Transporte de detritos com caminhão de hidrojateamento de alta pressão e vácuo de 9 m³ - rodovia em revestimento primário</t>
  </si>
  <si>
    <t>5914369</t>
  </si>
  <si>
    <t>Transporte de detritos com caminhão de hidrojateamento de alta pressão e vácuo de 9 m³ - rodovia pavimentada</t>
  </si>
  <si>
    <t>5914489</t>
  </si>
  <si>
    <t>Transporte de dormentes de concreto monobloco protendido de bitola larga com locomotiva diesel-elétrica em vagão plataforma com capacidade de 98 t - bitola larga</t>
  </si>
  <si>
    <t>5914491</t>
  </si>
  <si>
    <t>Transporte de dormentes de concreto monobloco protendido de bitola métrica com locomotiva diesel-elétrica em vagão plataforma com capacidade de 82 t - bitola métrica</t>
  </si>
  <si>
    <t>5914490</t>
  </si>
  <si>
    <t>Transporte de dormentes de concreto monobloco protendido de bitola mista com locomotiva diesel-elétrica em vagão plataforma com capacidade de 98 t - bitola larga</t>
  </si>
  <si>
    <t>5914495</t>
  </si>
  <si>
    <t>Transporte de dormentes de concreto monobloco protendido para AMV de bitola larga ou mista com locomotiva diesel-elétrica em vagão plataforma com capacidade de 98 t - bitola larga</t>
  </si>
  <si>
    <t>5914494</t>
  </si>
  <si>
    <t>Transporte de dormentes de concreto monobloco protendido para AMV de bitola métrica com locomotiva diesel-elétrica em vagão plataforma com capacidade de 82 t - bitola métrica</t>
  </si>
  <si>
    <t>5914487</t>
  </si>
  <si>
    <t>Transporte de dormentes de madeira de bitola larga com locomotiva diesel-elétrica em vagão plataforma com capacidade de 98 t - bitola larga</t>
  </si>
  <si>
    <t>5914488</t>
  </si>
  <si>
    <t>Transporte de dormentes de madeira de bitola métrica com locomotiva diesel-elétrica em vagão plataforma com capacidade de 82 t - bitola métrica</t>
  </si>
  <si>
    <t>5914493</t>
  </si>
  <si>
    <t>Transporte de dormentes de madeira para AMV de bitola larga ou mista com locomotiva diesel-elétrica em vagão plataforma com capacidade de 98 t - bitola larga</t>
  </si>
  <si>
    <t>5914492</t>
  </si>
  <si>
    <t>Transporte de dormentes de madeira para AMV de bitola métrica com locomotiva diesel-elétrica em vagão plataforma com capacidade de 82 t - bitola métrica</t>
  </si>
  <si>
    <t>5914482</t>
  </si>
  <si>
    <t>Transporte de lastro de brita com locomotiva diesel-elétrica em vagão hopper aberto com capacidade de 45 m³ - bitola métrica</t>
  </si>
  <si>
    <t>5914483</t>
  </si>
  <si>
    <t>Transporte de lastro de brita com locomotiva diesel-elétrica em vagão hopper aberto com capacidade de 63 m³ - bitola larga</t>
  </si>
  <si>
    <t>5914480</t>
  </si>
  <si>
    <t>Transporte de materiais metálicos e acessórios diversos com locomotiva diesel-elétrica em vagão fechado com capacidade de 64 t - bitola métrica</t>
  </si>
  <si>
    <t>5914481</t>
  </si>
  <si>
    <t>Transporte de materiais metálicos e acessórios diversos com locomotiva diesel-elétrica em vagão fechado com capacidade de 99 t - bitola larga</t>
  </si>
  <si>
    <t>5914485</t>
  </si>
  <si>
    <t>Transporte de materiais metálicos para AMV de bitola larga com locomotiva diesel-elétrica em vagão plataforma com capacidade de 98 t - bitola larga</t>
  </si>
  <si>
    <t>5914486</t>
  </si>
  <si>
    <t>Transporte de materiais metálicos para AMV de bitola métrica com locomotiva diesel-elétrica em vagão plataforma com capacidade de 82 t - bitola métrica</t>
  </si>
  <si>
    <t>5914484</t>
  </si>
  <si>
    <t>Transporte de materiais metálicos para AMV de bitola mista com locomotiva diesel-elétrica em vagão plataforma com capacidade de 98 t - bitola larga</t>
  </si>
  <si>
    <t>5914620</t>
  </si>
  <si>
    <t>Transporte de material betuminoso com caminhão tanque distribuidor - rodovia em leito natural</t>
  </si>
  <si>
    <t>5914621</t>
  </si>
  <si>
    <t>Transporte de material betuminoso com caminhão tanque distribuidor - rodovia em revestimento primário</t>
  </si>
  <si>
    <t>5914622</t>
  </si>
  <si>
    <t>Transporte de material betuminoso com caminhão tanque distribuidor - rodovia pavimentada</t>
  </si>
  <si>
    <t>5901695</t>
  </si>
  <si>
    <t>Transporte de material de 1ª categoria com batelão autopropelido com capacidade de 300 m³</t>
  </si>
  <si>
    <t>5901696</t>
  </si>
  <si>
    <t>Transporte de material de 1ª categoria com batelão autopropelido com capacidade de 500 m³</t>
  </si>
  <si>
    <t>5901697</t>
  </si>
  <si>
    <t>Transporte de material de 1ª categoria com batelão rebocado com capacidade de 66 m³</t>
  </si>
  <si>
    <t>5901698</t>
  </si>
  <si>
    <t>Transporte de material de 1ª categoria com batelão rebocado montado na obra com capacidade de 66 m³</t>
  </si>
  <si>
    <t>5916654</t>
  </si>
  <si>
    <t>Transporte de material de 3ª categoria com batelão autopropelido com capacidade de 300 m³</t>
  </si>
  <si>
    <t>5916637</t>
  </si>
  <si>
    <t>Transporte de material de 3ª categoria com batelão rebocado com capacidade de 66 m³</t>
  </si>
  <si>
    <t>5916618</t>
  </si>
  <si>
    <t>Transporte de material de 3ª categoria com batelão rebocado montado na obra com capacidade de 66 m³</t>
  </si>
  <si>
    <t>5914334</t>
  </si>
  <si>
    <t>Transporte de material de 3ª categoria com caminhão basculante de 12 m³ para rocha - rodovia em leito natural</t>
  </si>
  <si>
    <t>5914335</t>
  </si>
  <si>
    <t>Transporte de material de 3ª categoria com caminhão basculante de 12 m³ para rocha - rodovia em revestimento primário</t>
  </si>
  <si>
    <t>5914336</t>
  </si>
  <si>
    <t>Transporte de material de 3ª categoria com caminhão basculante de 12 m³ para rocha - rodovia pavimentada</t>
  </si>
  <si>
    <t>5914346</t>
  </si>
  <si>
    <t>Transporte de material de 3ª categoria com caminhão basculante de 8 m³ para rocha - rodovia em leito natural</t>
  </si>
  <si>
    <t>5914347</t>
  </si>
  <si>
    <t>Transporte de material de 3ª categoria com caminhão basculante de 8 m³ para rocha - rodovia em revestimento primário</t>
  </si>
  <si>
    <t>5914348</t>
  </si>
  <si>
    <t>Transporte de material de 3ª categoria com caminhão basculante de 8 m³ para rocha - rodovia pavimentada</t>
  </si>
  <si>
    <t>5914611</t>
  </si>
  <si>
    <t>Transporte de mistura betuminosa a quente com caminhão com caçamba térmica de 6 m³ - rodovia em leito natural</t>
  </si>
  <si>
    <t>5914613</t>
  </si>
  <si>
    <t>Transporte de mistura betuminosa a quente com caminhão com caçamba térmica de 6 m³ - rodovia em revestimento primário</t>
  </si>
  <si>
    <t>5914612</t>
  </si>
  <si>
    <t>Transporte de mistura betuminosa a quente com caminhão com caçamba térmica de 6 m³ - rodovia pavimentada</t>
  </si>
  <si>
    <t>5901686</t>
  </si>
  <si>
    <t>Transporte de silte com draga hopper - capacidade da cisterna de 1.000 m³</t>
  </si>
  <si>
    <t>5901687</t>
  </si>
  <si>
    <t>Transporte de silte com draga hopper - capacidade da cisterna de 10.000 m³</t>
  </si>
  <si>
    <t>5901688</t>
  </si>
  <si>
    <t>Transporte de silte com draga hopper - capacidade da cisterna de 15.000 m³</t>
  </si>
  <si>
    <t>5901689</t>
  </si>
  <si>
    <t>Transporte de silte com draga hopper - capacidade da cisterna de 2.000 m³</t>
  </si>
  <si>
    <t>5901690</t>
  </si>
  <si>
    <t>Transporte de silte com draga hopper - capacidade da cisterna de 20.000 m³</t>
  </si>
  <si>
    <t>5901691</t>
  </si>
  <si>
    <t>Transporte de silte com draga hopper - capacidade da cisterna de 3.000 m³</t>
  </si>
  <si>
    <t>5901692</t>
  </si>
  <si>
    <t>Transporte de silte com draga hopper - capacidade da cisterna de 4.000 m³</t>
  </si>
  <si>
    <t>5901693</t>
  </si>
  <si>
    <t>Transporte de silte com draga hopper - capacidade da cisterna de 5.000 m³</t>
  </si>
  <si>
    <t>5901694</t>
  </si>
  <si>
    <t>Transporte de silte com draga hopper - capacidade da cisterna de 750 m³</t>
  </si>
  <si>
    <t>5914512</t>
  </si>
  <si>
    <t>Transporte de TLS TR45 de 120 m com locomotiva diesel-elétrica em vagão plataforma com capacidade de 82 t - bitola métrica</t>
  </si>
  <si>
    <t>5914496</t>
  </si>
  <si>
    <t>Transporte de TLS TR45 de 120 m com locomotiva diesel-elétrica em vagão plataforma com capacidade de 98 t - bitola larga</t>
  </si>
  <si>
    <t>5914513</t>
  </si>
  <si>
    <t>Transporte de TLS TR45 de 240 m com locomotiva diesel-elétrica em vagão plataforma com capacidade de 82 t - bitola métrica</t>
  </si>
  <si>
    <t>5914497</t>
  </si>
  <si>
    <t>Transporte de TLS TR45 de 240 m com locomotiva diesel-elétrica em vagão plataforma com capacidade de 98 t - bitola larga</t>
  </si>
  <si>
    <t>5914500</t>
  </si>
  <si>
    <t>Transporte de TLS TR57 de 120 m com locomotiva diesel-elétrica em vagão plataforma com capacidade de 82 t - bitola métrica</t>
  </si>
  <si>
    <t>5914498</t>
  </si>
  <si>
    <t>Transporte de TLS TR57 de 120 m com locomotiva diesel-elétrica em vagão plataforma com capacidade de 98 t - bitola larga</t>
  </si>
  <si>
    <t>5914501</t>
  </si>
  <si>
    <t>Transporte de TLS TR57 de 240 m com locomotiva diesel-elétrica em vagão plataforma com capacidade de 82 t - bitola métrica</t>
  </si>
  <si>
    <t>5914499</t>
  </si>
  <si>
    <t>Transporte de TLS TR57 de 240 m com locomotiva diesel-elétrica em vagão plataforma com capacidade de 98 t - bitola larga</t>
  </si>
  <si>
    <t>5914504</t>
  </si>
  <si>
    <t>Transporte de TLS TR68 de 120 m com locomotiva diesel-elétrica em vagão plataforma com capacidade de 82 t - bitola métrica</t>
  </si>
  <si>
    <t>5914502</t>
  </si>
  <si>
    <t>Transporte de TLS TR68 de 120 m com locomotiva diesel-elétrica em vagão plataforma com capacidade de 98 t - bitola larga</t>
  </si>
  <si>
    <t>5914505</t>
  </si>
  <si>
    <t>Transporte de TLS TR68 de 240 m com locomotiva diesel-elétrica em vagão plataforma com capacidade de 82 t - bitola métrica</t>
  </si>
  <si>
    <t>5914503</t>
  </si>
  <si>
    <t>Transporte de TLS TR68 de 240 m com locomotiva diesel-elétrica em vagão plataforma com capacidade de 98 t - bitola larga</t>
  </si>
  <si>
    <t>5914508</t>
  </si>
  <si>
    <t>Transporte de TLS UIC60 de 120 m com locomotiva diesel-elétrica em vagão plataforma com capacidade de 82 t - bitola métrica</t>
  </si>
  <si>
    <t>5914506</t>
  </si>
  <si>
    <t>Transporte de TLS UIC60 de 120 m com locomotiva diesel-elétrica em vagão plataforma com capacidade de 98 t - bitola larga</t>
  </si>
  <si>
    <t>5914509</t>
  </si>
  <si>
    <t>Transporte de TLS UIC60 de 240 m com locomotiva diesel-elétrica em vagão plataforma com capacidade de 82 t - bitola métrica</t>
  </si>
  <si>
    <t>5914507</t>
  </si>
  <si>
    <t>Transporte de TLS UIC60 de 240 m com locomotiva diesel-elétrica em vagão plataforma com capacidade de 98 t - bitola larga</t>
  </si>
  <si>
    <t>5915491</t>
  </si>
  <si>
    <t>Transporte de veículos de médio porte com guincho de resgate de 20 t - rodovia em leito natural</t>
  </si>
  <si>
    <t>5915492</t>
  </si>
  <si>
    <t>Transporte de veículos de médio porte com guincho de resgate de 20 t - rodovia em revestimento primário</t>
  </si>
  <si>
    <t>5915493</t>
  </si>
  <si>
    <t>Transporte de veículos de médio porte com guincho de resgate de 20 t - rodovia pavimentada</t>
  </si>
  <si>
    <t>5915488</t>
  </si>
  <si>
    <t>Transporte de veículos leves com guincho de resgate de 5 t - rodovia em leito natural</t>
  </si>
  <si>
    <t>5915489</t>
  </si>
  <si>
    <t>Transporte de veículos leves com guincho de resgate de 5 t - rodovia em revestimento primário</t>
  </si>
  <si>
    <t>5915490</t>
  </si>
  <si>
    <t>Transporte de veículos leves com guincho de resgate de 5 t - rodovia pavimentada</t>
  </si>
  <si>
    <t>5915494</t>
  </si>
  <si>
    <t>Transporte de veículos pesados com guincho de resgate de 35 t - rodovia em leito natural</t>
  </si>
  <si>
    <t>5915495</t>
  </si>
  <si>
    <t>Transporte de veículos pesados com guincho de resgate de 35 t - rodovia em revestimento primário</t>
  </si>
  <si>
    <t>5915496</t>
  </si>
  <si>
    <t>Transporte de veículos pesados com guincho de resgate de 35 t - rodovia pavimentada</t>
  </si>
  <si>
    <t>5915325</t>
  </si>
  <si>
    <t>Transporte em cavalo mecânico com dolly de 4 eixos com capacidade de 57 t - rodovia em leito natural</t>
  </si>
  <si>
    <t>5915326</t>
  </si>
  <si>
    <t>Transporte em cavalo mecânico com dolly de 4 eixos com capacidade de 57 t - rodovia em revestimento primário</t>
  </si>
  <si>
    <t>5915327</t>
  </si>
  <si>
    <t>Transporte em cavalo mecânico com dolly de 4 eixos com capacidade de 57 t - rodovia pavimentada</t>
  </si>
  <si>
    <t>5915328</t>
  </si>
  <si>
    <t>Transporte em cavalo mecânico com dollys de 3 e 4 eixos com capacidade de 77 t - rodovia em leito natural</t>
  </si>
  <si>
    <t>5915329</t>
  </si>
  <si>
    <t>Transporte em cavalo mecânico com dollys de 3 e 4 eixos com capacidade de 77 t - rodovia em revestimento primário</t>
  </si>
  <si>
    <t>5915330</t>
  </si>
  <si>
    <t>Transporte em cavalo mecânico com dollys de 3 e 4 eixos com capacidade de 77 t - rodovia pavimentada</t>
  </si>
  <si>
    <t>5915331</t>
  </si>
  <si>
    <t>Transporte em cavalo mecânico com dollys de 5 e 4 eixos com capacidade de 111 t - rodovia em leito natural</t>
  </si>
  <si>
    <t>5915332</t>
  </si>
  <si>
    <t>Transporte em cavalo mecânico com dollys de 5 e 4 eixos com capacidade de 111 t - rodovia em revestimento primário</t>
  </si>
  <si>
    <t>5915333</t>
  </si>
  <si>
    <t>Transporte em cavalo mecânico com dollys de 5 e 4 eixos com capacidade de 111 t - rodovia pavimentada</t>
  </si>
  <si>
    <t>5915364</t>
  </si>
  <si>
    <t>Transporte em cavalo mecânico com reboques de 5 e 4 eixos com capacidade de 130 t - rodovia em leito natural</t>
  </si>
  <si>
    <t>5915365</t>
  </si>
  <si>
    <t>Transporte em cavalo mecânico com reboques de 5 e 4 eixos com capacidade de 130 t - rodovia em revestimento primário</t>
  </si>
  <si>
    <t>5915361</t>
  </si>
  <si>
    <t>Transporte em cavalo mecânico com reboques de 5 e 4 eixos com capacidade de 130 t - rodovia pavimentada</t>
  </si>
  <si>
    <t>5919716</t>
  </si>
  <si>
    <t>Transporte fluvial de materiais diversos com pontão flutuante - capacidade de 500 t</t>
  </si>
  <si>
    <t>5919717</t>
  </si>
  <si>
    <t>Transporte fluvial do flutuante</t>
  </si>
  <si>
    <t>6106220</t>
  </si>
  <si>
    <t>Armação de fuste de tubulão em aço CA-50 com apoio de guindaste - fornecimento, preparo e colocação</t>
  </si>
  <si>
    <t>6106183</t>
  </si>
  <si>
    <t>Escavação manual de base alargada de tubulão a céu aberto em material de 1ª categoria na profundidade de 10 a 15 m</t>
  </si>
  <si>
    <t>6106182</t>
  </si>
  <si>
    <t>Escavação manual de base alargada de tubulão a céu aberto em material de 1ª categoria na profundidade de até 10 m</t>
  </si>
  <si>
    <t>6106194</t>
  </si>
  <si>
    <t>Escavação manual de base alargada de tubulão a céu aberto em material de 2ª categoria na profundidade até 10 m</t>
  </si>
  <si>
    <t>6106195</t>
  </si>
  <si>
    <t>Escavação manual de base alargada de tubulão a céu aberto em material de 2ª categoria na profundidade de 10 a 15 m</t>
  </si>
  <si>
    <t>6106331</t>
  </si>
  <si>
    <t>Escavação manual de base alargada de tubulão a céu aberto em material de 3ª categoria a frio na profundidade até 10 m</t>
  </si>
  <si>
    <t>6106332</t>
  </si>
  <si>
    <t>Escavação manual de base alargada de tubulão a céu aberto em material de 3ª categoria a frio na profundidade de 10 a 15 m</t>
  </si>
  <si>
    <t>6106206</t>
  </si>
  <si>
    <t>Escavação manual de base alargada de tubulão a céu aberto em material de 3ª categoria na profundidade até 10 m</t>
  </si>
  <si>
    <t>6106207</t>
  </si>
  <si>
    <t>Escavação manual de base alargada de tubulão a céu aberto em material de 3ª categoria na profundidade de 10 a 15 m</t>
  </si>
  <si>
    <t>6106222</t>
  </si>
  <si>
    <t>Escavação manual de fuste de tubulão a céu aberto em material de 1ª categoria na profundidade de 10 a 15 m</t>
  </si>
  <si>
    <t>6106221</t>
  </si>
  <si>
    <t>Escavação manual de fuste de tubulão a céu aberto em material de 1ª categoria na profundidade de até 10 m</t>
  </si>
  <si>
    <t>6106224</t>
  </si>
  <si>
    <t>Escavação manual de fuste de tubulão a céu aberto em material de 2ª categoria na profundidade até 10 m</t>
  </si>
  <si>
    <t>6106225</t>
  </si>
  <si>
    <t>Escavação manual de fuste de tubulão a céu aberto em material de 2ª categoria na profundidade de 10 a 15 m</t>
  </si>
  <si>
    <t>6106228</t>
  </si>
  <si>
    <t>Escavação manual de fuste de tubulão a céu aberto em material de 3ª categoria na profundidade até 10 m</t>
  </si>
  <si>
    <t>6106229</t>
  </si>
  <si>
    <t>Escavação manual de fuste de tubulão a céu aberto em material de 3ª categoria na profundidade de 10 a 15 m</t>
  </si>
  <si>
    <t>6106328</t>
  </si>
  <si>
    <t>Escavação mecânica de fuste de tubulão com caçamba para rocha em material de 2ª categoria</t>
  </si>
  <si>
    <t>6106330</t>
  </si>
  <si>
    <t>Escavação mecânica de fuste de tubulão com caçamba para rocha em material de 3ª categoria</t>
  </si>
  <si>
    <t>6106326</t>
  </si>
  <si>
    <t>Escavação mecânica de fuste de tubulão com caçamba para solos em material de 1ª categoria</t>
  </si>
  <si>
    <t>6106324</t>
  </si>
  <si>
    <t>Escavação mecânica de fuste de tubulão com Hammer Grab em material de 1ª categoria</t>
  </si>
  <si>
    <t>6106327</t>
  </si>
  <si>
    <t>Escavação mecânica de fuste de tubulão com trado para rocha em material de 2ª categoria</t>
  </si>
  <si>
    <t>6106329</t>
  </si>
  <si>
    <t>Escavação mecânica de fuste de tubulão com trado para rocha em material de 3ª categoria</t>
  </si>
  <si>
    <t>6106325</t>
  </si>
  <si>
    <t>Escavação mecânica de fuste de tubulão com trado para solos em material de 1ª categoria</t>
  </si>
  <si>
    <t>6208126</t>
  </si>
  <si>
    <t>Armação de tela de aço eletrossoldada em túneis com auxílio de plataforma pantográfica - confecção e instalação</t>
  </si>
  <si>
    <t>6205797</t>
  </si>
  <si>
    <t>Cambotas metálicas treliçadas - confecção e instalação</t>
  </si>
  <si>
    <t>6205791</t>
  </si>
  <si>
    <t>Coluna de jet grouting horizontal CCPH em solo - D = 40 cm - perfuração e injeção</t>
  </si>
  <si>
    <t>6205792</t>
  </si>
  <si>
    <t>Coluna de jet grouting horizontal CCPH em solo - D = 50 cm - perfuração e injeção</t>
  </si>
  <si>
    <t>6205793</t>
  </si>
  <si>
    <t>Coluna de jet grouting horizontal CCPH em solo - D = 60 cm - perfuração e injeção</t>
  </si>
  <si>
    <t>6205796</t>
  </si>
  <si>
    <t>Coluna de jet grouting vertical em solo - D = 100 cm - perfuração e injeção</t>
  </si>
  <si>
    <t>6219451</t>
  </si>
  <si>
    <t>Coluna de jet grouting vertical em solo - D = 110 cm - perfuração e injeção</t>
  </si>
  <si>
    <t>6219452</t>
  </si>
  <si>
    <t>Coluna de jet grouting vertical em solo - D = 120 cm - perfuração e injeção</t>
  </si>
  <si>
    <t>6205794</t>
  </si>
  <si>
    <t>Coluna de jet grouting vertical em solo - D = 80 cm - perfuração e injeção</t>
  </si>
  <si>
    <t>6205795</t>
  </si>
  <si>
    <t>Coluna de jet grouting vertical em solo - D = 90 cm - perfuração e injeção</t>
  </si>
  <si>
    <t>6219521</t>
  </si>
  <si>
    <t>Desmonte a frio e carga de rocha em túnel com cunha hidráulica - DMT de 0 a 200 m</t>
  </si>
  <si>
    <t>6219527</t>
  </si>
  <si>
    <t>Drenagem de túnel com manta drenante de malha de polietileno e geotêxtil em face revestida com argamassa polimérica com espessura de 25 mm</t>
  </si>
  <si>
    <t>6219526</t>
  </si>
  <si>
    <t>Dreno filtrante em tubos de PVC D = 40 mm aplicado em paredes e tetos de túnel - fornecimento e instalação</t>
  </si>
  <si>
    <t>6219525</t>
  </si>
  <si>
    <t>Dreno não filtrante em tubos de PVC D = 40 mm aplicado em paredes e tetos de túnel - fornecimento e instalação</t>
  </si>
  <si>
    <t>6219508</t>
  </si>
  <si>
    <t>Enfilagem tubular sistema autoperfurante - D = 76 mm</t>
  </si>
  <si>
    <t>6219511</t>
  </si>
  <si>
    <t>Enfilagem tubular sistema convencional schedule 40 - D = 65 mm</t>
  </si>
  <si>
    <t>6219500</t>
  </si>
  <si>
    <t>Escavação subterrânea e carregamento do material da calota em túnel classe I - DMT de 0 a 200 m - seção acima de 90 m²</t>
  </si>
  <si>
    <t>6219418</t>
  </si>
  <si>
    <t>Escavação subterrânea e carregamento do material da calota em túnel classe I - DMT de 0 a 200 m - seção de 20 a 40 m²</t>
  </si>
  <si>
    <t>6219412</t>
  </si>
  <si>
    <t>Escavação subterrânea e carregamento do material da calota em túnel classe I - DMT de 0 a 200 m - seção de 40 a 60 m²</t>
  </si>
  <si>
    <t>6219406</t>
  </si>
  <si>
    <t>Escavação subterrânea e carregamento do material da calota em túnel classe I - DMT de 0 a 200 m - seção de 60 a 90 m²</t>
  </si>
  <si>
    <t>6219501</t>
  </si>
  <si>
    <t>Escavação subterrânea e carregamento do material da calota em túnel classe II - DMT de 0 a 200 m - seção acima de 90 m²</t>
  </si>
  <si>
    <t>6219419</t>
  </si>
  <si>
    <t>Escavação subterrânea e carregamento do material da calota em túnel classe II - DMT de 0 a 200 m - seção de 20 a 40 m²</t>
  </si>
  <si>
    <t>6219413</t>
  </si>
  <si>
    <t>Escavação subterrânea e carregamento do material da calota em túnel classe II - DMT de 0 a 200 m - seção de 40 a 60 m²</t>
  </si>
  <si>
    <t>6219407</t>
  </si>
  <si>
    <t>Escavação subterrânea e carregamento do material da calota em túnel classe II - DMT de 0 a 200 m - seção de 60 a 90 m²</t>
  </si>
  <si>
    <t>6219502</t>
  </si>
  <si>
    <t>Escavação subterrânea e carregamento do material da calota em túnel classe III - DMT de 0 a 200 m - seção acima de 90 m²</t>
  </si>
  <si>
    <t>6219420</t>
  </si>
  <si>
    <t>Escavação subterrânea e carregamento do material da calota em túnel classe III - DMT de 0 a 200 m - seção de 20 a 40 m²</t>
  </si>
  <si>
    <t>6219414</t>
  </si>
  <si>
    <t>Escavação subterrânea e carregamento do material da calota em túnel classe III - DMT de 0 a 200 m - seção de 40 a 60 m²</t>
  </si>
  <si>
    <t>6219408</t>
  </si>
  <si>
    <t>Escavação subterrânea e carregamento do material da calota em túnel classe III - DMT de 0 a 200 m - seção de 60 a 90 m²</t>
  </si>
  <si>
    <t>6219503</t>
  </si>
  <si>
    <t>Escavação subterrânea e carregamento do material da calota em túnel classe IV - DMT de 0 a 200 m - seção acima de 90 m²</t>
  </si>
  <si>
    <t>6219421</t>
  </si>
  <si>
    <t>Escavação subterrânea e carregamento do material da calota em túnel classe IV - DMT de 0 a 200 m - seção de 20 a 40 m²</t>
  </si>
  <si>
    <t>6219415</t>
  </si>
  <si>
    <t>Escavação subterrânea e carregamento do material da calota em túnel classe IV - DMT de 0 a 200 m - seção de 40 a 60 m²</t>
  </si>
  <si>
    <t>6219409</t>
  </si>
  <si>
    <t>Escavação subterrânea e carregamento do material da calota em túnel classe IV - DMT de 0 a 200 m - seção de 60 a 90 m²</t>
  </si>
  <si>
    <t>6219518</t>
  </si>
  <si>
    <t>Escavação subterrânea e carregamento do material do rebaixo em túnel classe I a IV - DMT de 0 a 200 m</t>
  </si>
  <si>
    <t>6219504</t>
  </si>
  <si>
    <t>Escavação subterrânea e carregamento em túnel classe V - DMT de 0 a 200 m - seção acima de 90 m²</t>
  </si>
  <si>
    <t>6219422</t>
  </si>
  <si>
    <t>Escavação subterrânea e carregamento em túnel classe V - DMT de 0 a 200 m - seção de 20 a 40 m²</t>
  </si>
  <si>
    <t>6219416</t>
  </si>
  <si>
    <t>Escavação subterrânea e carregamento em túnel classe V - DMT de 0 a 200 m - seção de 40 a 60 m²</t>
  </si>
  <si>
    <t>6219410</t>
  </si>
  <si>
    <t>Escavação subterrânea e carregamento em túnel classe V - DMT de 0 a 200 m - seção de 60 a 90 m²</t>
  </si>
  <si>
    <t>6219505</t>
  </si>
  <si>
    <t>Escavação subterrânea e carregamento em túnel classe VI - DMT de 0 a 200 m - seção acima de 90 m²</t>
  </si>
  <si>
    <t>6219423</t>
  </si>
  <si>
    <t>Escavação subterrânea e carregamento em túnel classe VI - DMT de 0 a 200 m - seção de 20 a 40 m²</t>
  </si>
  <si>
    <t>6219417</t>
  </si>
  <si>
    <t>Escavação subterrânea e carregamento em túnel classe VI - DMT de 0 a 200 m - seção de 40 a 60 m²</t>
  </si>
  <si>
    <t>6219411</t>
  </si>
  <si>
    <t>Escavação subterrânea e carregamento em túnel classe VI - DMT de 0 a 200 m - seção de 60 a 90 m²</t>
  </si>
  <si>
    <t>6219520</t>
  </si>
  <si>
    <t>Pré-fissuramento em túnel</t>
  </si>
  <si>
    <t>6219433</t>
  </si>
  <si>
    <t>Pregagem da frente com vergalhão de fibra de vidro D = 25 mm com perfuração em D = 75 mm e injeção de calda de cimento</t>
  </si>
  <si>
    <t>6205801</t>
  </si>
  <si>
    <t>Pregagem da frente em tubo de PVC D = 50 mm com perfuração em D = 100 mm e injeção de argamassa de cimento e areia 1:1</t>
  </si>
  <si>
    <t>6219524</t>
  </si>
  <si>
    <t>Prego guia para controle de espessura de concreto projetado D = 16 mm em túnel - fornecimento e instalação</t>
  </si>
  <si>
    <t>6416036</t>
  </si>
  <si>
    <t>Usinagem de agregados para microrrevestimento a frio - faixa II - brita comercial</t>
  </si>
  <si>
    <t>6416038</t>
  </si>
  <si>
    <t>Usinagem de agregados para microrrevestimento a frio - faixa II - brita produzida</t>
  </si>
  <si>
    <t>6416037</t>
  </si>
  <si>
    <t>Usinagem de agregados para microrrevestimento a frio - faixa III - brita comercial</t>
  </si>
  <si>
    <t>6416035</t>
  </si>
  <si>
    <t>Usinagem de agregados para microrrevestimento a frio - faixa III - brita produzida</t>
  </si>
  <si>
    <t>6416076</t>
  </si>
  <si>
    <t>Usinagem de areia-asfalto a quente - faixa A - areia comercial</t>
  </si>
  <si>
    <t>6416075</t>
  </si>
  <si>
    <t>Usinagem de areia-asfalto a quente - faixa A - areia extraída</t>
  </si>
  <si>
    <t>6416226</t>
  </si>
  <si>
    <t>Usinagem de areia-asfalto a quente - faixa B - areia comercial</t>
  </si>
  <si>
    <t>6416225</t>
  </si>
  <si>
    <t>Usinagem de areia-asfalto a quente - faixa B - areia extraída</t>
  </si>
  <si>
    <t>6416084</t>
  </si>
  <si>
    <t>Usinagem de areia-asfalto a quente com asfalto polímero - faixa A - areia comercial</t>
  </si>
  <si>
    <t>6416083</t>
  </si>
  <si>
    <t>Usinagem de areia-asfalto a quente com asfalto polímero - faixa A - areia extraída</t>
  </si>
  <si>
    <t>6416234</t>
  </si>
  <si>
    <t>Usinagem de areia-asfalto a quente com asfalto polímero - faixa B - areia comercial</t>
  </si>
  <si>
    <t>6416233</t>
  </si>
  <si>
    <t>Usinagem de areia-asfalto a quente com asfalto polímero - faixa B - areia extraída</t>
  </si>
  <si>
    <t>6416236</t>
  </si>
  <si>
    <t>Usinagem de areia-asfalto a quente com asfalto polímero - faixa C - areia comercial</t>
  </si>
  <si>
    <t>6416235</t>
  </si>
  <si>
    <t>Usinagem de areia-asfalto a quente com asfalto polímero - faixa C - areia extraída</t>
  </si>
  <si>
    <t>6416040</t>
  </si>
  <si>
    <t>Usinagem de brita graduada com brita comercial em usina de 300 t/h</t>
  </si>
  <si>
    <t>6416039</t>
  </si>
  <si>
    <t>Usinagem de brita graduada com brita produzida em usina de 300 t/h</t>
  </si>
  <si>
    <t>6416042</t>
  </si>
  <si>
    <t>Usinagem de brita graduada tratada com cimento e brita comercial em usina de 300 t/h</t>
  </si>
  <si>
    <t>6416041</t>
  </si>
  <si>
    <t>Usinagem de brita graduada tratada com cimento e brita produzida em usina de 300 t/h</t>
  </si>
  <si>
    <t>6416080</t>
  </si>
  <si>
    <t>Usinagem de concreto asfáltico - faixa A-25 - areia e brita comerciais</t>
  </si>
  <si>
    <t>6416079</t>
  </si>
  <si>
    <t>Usinagem de concreto asfáltico - faixa A-25 - areia extraída e brita produzida</t>
  </si>
  <si>
    <t>6416143</t>
  </si>
  <si>
    <t>Usinagem de concreto asfáltico - faixa B-19 - areia e brita comerciais</t>
  </si>
  <si>
    <t>6416262</t>
  </si>
  <si>
    <t>Usinagem de concreto asfáltico - faixa B-19 - areia extraída e brita produzida</t>
  </si>
  <si>
    <t>6416078</t>
  </si>
  <si>
    <t>Usinagem de concreto asfáltico - faixa C-12,5 - areia e brita comerciais</t>
  </si>
  <si>
    <t>6416077</t>
  </si>
  <si>
    <t>Usinagem de concreto asfáltico - faixa C-12,5 - areia extraída e brita produzida</t>
  </si>
  <si>
    <t>6416071</t>
  </si>
  <si>
    <t>Usinagem de concreto asfáltico - faixa D-9,5 - areia e brita comerciais</t>
  </si>
  <si>
    <t>6416072</t>
  </si>
  <si>
    <t>Usinagem de concreto asfáltico - faixa D-9,5 - areia extraída e brita produzida</t>
  </si>
  <si>
    <t>6416088</t>
  </si>
  <si>
    <t>Usinagem de concreto asfáltico com asfalto polímero - faixa A - areia e brita comerciais</t>
  </si>
  <si>
    <t>6416087</t>
  </si>
  <si>
    <t>Usinagem de concreto asfáltico com asfalto polímero - faixa A - areia extraída e brita produzida</t>
  </si>
  <si>
    <t>6416246</t>
  </si>
  <si>
    <t>Usinagem de concreto asfáltico com asfalto polímero - faixa B - areia e brita comerciais</t>
  </si>
  <si>
    <t>6416245</t>
  </si>
  <si>
    <t>Usinagem de concreto asfáltico com asfalto polímero - faixa B - areia extraída e brita produzida</t>
  </si>
  <si>
    <t>6416248</t>
  </si>
  <si>
    <t>Usinagem de concreto asfáltico com asfalto polímero - faixa C - areia e brita comerciais</t>
  </si>
  <si>
    <t>6416247</t>
  </si>
  <si>
    <t>Usinagem de concreto asfáltico com asfalto polímero - faixa C - areia extraída e brita produzida</t>
  </si>
  <si>
    <t>6416214</t>
  </si>
  <si>
    <t>Usinagem de concreto asfáltico com borracha (Gap Graded) - brita comercial</t>
  </si>
  <si>
    <t>6416218</t>
  </si>
  <si>
    <t>Usinagem de concreto asfáltico com borracha (Gap Graded) - brita produzida</t>
  </si>
  <si>
    <t>6416211</t>
  </si>
  <si>
    <t>Usinagem de concreto asfáltico com borracha - faixa A - brita comercial</t>
  </si>
  <si>
    <t>6416215</t>
  </si>
  <si>
    <t>Usinagem de concreto asfáltico com borracha - faixa A - brita produzida</t>
  </si>
  <si>
    <t>6416212</t>
  </si>
  <si>
    <t>Usinagem de concreto asfáltico com borracha - faixa B - brita comercial</t>
  </si>
  <si>
    <t>6416216</t>
  </si>
  <si>
    <t>Usinagem de concreto asfáltico com borracha - faixa B - brita produzida</t>
  </si>
  <si>
    <t>6416213</t>
  </si>
  <si>
    <t>Usinagem de concreto asfáltico com borracha - faixa C - brita comercial</t>
  </si>
  <si>
    <t>6416217</t>
  </si>
  <si>
    <t>Usinagem de concreto asfáltico com borracha - faixa C - brita produzida</t>
  </si>
  <si>
    <t>6416289</t>
  </si>
  <si>
    <t>Usinagem de concreto asfáltico reciclado a frio com espuma de asfalto, agregado comercial e cimento</t>
  </si>
  <si>
    <t>6416288</t>
  </si>
  <si>
    <t>Usinagem de concreto asfáltico reciclado a frio com espuma de asfalto, agregado produzido e cimento</t>
  </si>
  <si>
    <t>6416098</t>
  </si>
  <si>
    <t>Usinagem de concreto asfáltico reciclado em usina fixa com adição de material fresado e brita comercial</t>
  </si>
  <si>
    <t>6416097</t>
  </si>
  <si>
    <t>Usinagem de concreto asfáltico reciclado em usina fixa com adição de material fresado e brita produzida</t>
  </si>
  <si>
    <t>6416258</t>
  </si>
  <si>
    <t>Usinagem de micro pré-misturado a quente com asfalto polímero - brita comercial</t>
  </si>
  <si>
    <t>6416259</t>
  </si>
  <si>
    <t>Usinagem de micro pré-misturado a quente com asfalto polímero - brita produzida</t>
  </si>
  <si>
    <t>6416074</t>
  </si>
  <si>
    <t>Usinagem de pré-misturado a frio - faixa A - areia e brita comerciais</t>
  </si>
  <si>
    <t>6416073</t>
  </si>
  <si>
    <t>Usinagem de pré-misturado a frio - faixa A - areia extraída e brita produzida</t>
  </si>
  <si>
    <t>6416220</t>
  </si>
  <si>
    <t>Usinagem de pré-misturado a frio - faixa B - areia e brita comerciais</t>
  </si>
  <si>
    <t>6416219</t>
  </si>
  <si>
    <t>Usinagem de pré-misturado a frio - faixa B - areia extraída e brita produzida</t>
  </si>
  <si>
    <t>6416222</t>
  </si>
  <si>
    <t>Usinagem de pré-misturado a frio - faixa C - areia e brita comerciais</t>
  </si>
  <si>
    <t>6416221</t>
  </si>
  <si>
    <t>Usinagem de pré-misturado a frio - faixa C - areia extraída e brita produzida</t>
  </si>
  <si>
    <t>6416224</t>
  </si>
  <si>
    <t>Usinagem de pré-misturado a frio - faixa D - areia e brita comerciais</t>
  </si>
  <si>
    <t>6416223</t>
  </si>
  <si>
    <t>Usinagem de pré-misturado a frio - faixa D - areia extraída e brita produzida</t>
  </si>
  <si>
    <t>6416082</t>
  </si>
  <si>
    <t>Usinagem de pré-misturado a frio com asfalto polímero - faixa A - areia e brita comerciais</t>
  </si>
  <si>
    <t>6416081</t>
  </si>
  <si>
    <t>Usinagem de pré-misturado a frio com asfalto polímero - faixa A - areia extraída e brita produzida</t>
  </si>
  <si>
    <t>6416228</t>
  </si>
  <si>
    <t>Usinagem de pré-misturado a frio com asfalto polímero - faixa B - areia e brita comerciais</t>
  </si>
  <si>
    <t>6416227</t>
  </si>
  <si>
    <t>Usinagem de pré-misturado a frio com asfalto polímero - faixa B - areia extraída e brita produzida</t>
  </si>
  <si>
    <t>6416230</t>
  </si>
  <si>
    <t>Usinagem de pré-misturado a frio com asfalto polímero - faixa C - areia e brita comerciais</t>
  </si>
  <si>
    <t>6416229</t>
  </si>
  <si>
    <t>Usinagem de pré-misturado a frio com asfalto polímero - faixa C - areia extraída e brita produzida</t>
  </si>
  <si>
    <t>6416232</t>
  </si>
  <si>
    <t>Usinagem de pré-misturado a frio com asfalto polímero - faixa D - areia e brita comerciais</t>
  </si>
  <si>
    <t>6416231</t>
  </si>
  <si>
    <t>Usinagem de pré-misturado a frio com asfalto polímero - faixa D - areia extraída e brita produzida</t>
  </si>
  <si>
    <t>6416086</t>
  </si>
  <si>
    <t>Usinagem de pré-misturado a quente com asfalto polímero - faixa I - camada porosa de atrito - areia e brita comerciais</t>
  </si>
  <si>
    <t>6416085</t>
  </si>
  <si>
    <t>Usinagem de pré-misturado a quente com asfalto polímero - faixa I - camada porosa de atrito - areia extraída e brita produzida</t>
  </si>
  <si>
    <t>6416238</t>
  </si>
  <si>
    <t>Usinagem de pré-misturado a quente com asfalto polímero - faixa II - camada porosa de atrito - areia e brita comerciais</t>
  </si>
  <si>
    <t>6416237</t>
  </si>
  <si>
    <t>Usinagem de pré-misturado a quente com asfalto polímero - faixa II - camada porosa de atrito - areia extraída e brita produzida</t>
  </si>
  <si>
    <t>6416240</t>
  </si>
  <si>
    <t>Usinagem de pré-misturado a quente com asfalto polímero - faixa III - camada porosa de atrito - areia e brita comerciais</t>
  </si>
  <si>
    <t>6416239</t>
  </si>
  <si>
    <t>Usinagem de pré-misturado a quente com asfalto polímero - faixa III - camada porosa de atrito - areia extraída e brita produzida</t>
  </si>
  <si>
    <t>6416242</t>
  </si>
  <si>
    <t>Usinagem de pré-misturado a quente com asfalto polímero - faixa IV - camada porosa de atrito - areia e brita comerciais</t>
  </si>
  <si>
    <t>6416241</t>
  </si>
  <si>
    <t>Usinagem de pré-misturado a quente com asfalto polímero - faixa IV - camada porosa de atrito - areia extraída e brita produzida</t>
  </si>
  <si>
    <t>6416244</t>
  </si>
  <si>
    <t>Usinagem de pré-misturado a quente com asfalto polímero - faixa V - camada porosa de atrito - areia e brita comerciais</t>
  </si>
  <si>
    <t>6416243</t>
  </si>
  <si>
    <t>Usinagem de pré-misturado a quente com asfalto polímero - faixa V - camada porosa de atrito - areia extraída e brita produzida</t>
  </si>
  <si>
    <t>6416250</t>
  </si>
  <si>
    <t>Usinagem de solo areia (70% - 30%) - material de jazida e areia comercial</t>
  </si>
  <si>
    <t>6416153</t>
  </si>
  <si>
    <t>Usinagem de solo areia (70% - 30%) - material de jazida e areia extraída</t>
  </si>
  <si>
    <t>6416185</t>
  </si>
  <si>
    <t>Usinagem de solo brita (70% - 30%) com 3% cimento - material de jazida e brita comercial</t>
  </si>
  <si>
    <t>6416184</t>
  </si>
  <si>
    <t>Usinagem de solo brita (70% - 30%) com 3% cimento - material de jazida e brita produzida</t>
  </si>
  <si>
    <t>6416030</t>
  </si>
  <si>
    <t>Usinagem de solo brita (70% - 30%) com material de jazida e brita comercial em usina de 300 t/h</t>
  </si>
  <si>
    <t>6416029</t>
  </si>
  <si>
    <t>Usinagem de solo brita (70% - 30%) com material de jazida e brita produzida em usina de 300 t/h</t>
  </si>
  <si>
    <t>6416056</t>
  </si>
  <si>
    <t>Usinagem de solo cimento com 7% de cimento com material de jazida em usina de 300 t/h</t>
  </si>
  <si>
    <t>6416278</t>
  </si>
  <si>
    <t>Usinagem de solo escória de aciaria (50% - 50%) com material de jazida em usina de 300 t/h</t>
  </si>
  <si>
    <t>6416047</t>
  </si>
  <si>
    <t>Usinagem de solo melhorado com 3% de cimento com material de jazida em usina de 300 t/h</t>
  </si>
  <si>
    <t>6416090</t>
  </si>
  <si>
    <t>Usinagem para pavimento de concreto com fôrmas deslizantes - areia e brita comerciais</t>
  </si>
  <si>
    <t>6416089</t>
  </si>
  <si>
    <t>Usinagem para pavimento de concreto com fôrmas deslizantes - areia extraída e brita produzida</t>
  </si>
  <si>
    <t>6416094</t>
  </si>
  <si>
    <t>Usinagem para pavimento de concreto compactado com rolo - brita comercial</t>
  </si>
  <si>
    <t>6416093</t>
  </si>
  <si>
    <t>Usinagem para pavimento de concreto compactado com rolo - brita produzida</t>
  </si>
  <si>
    <t>6416092</t>
  </si>
  <si>
    <t>Usinagem para sub-base de concreto compactado com rolo - brita comercial</t>
  </si>
  <si>
    <t>6416091</t>
  </si>
  <si>
    <t>Usinagem para sub-base de concreto compactado com rolo - brita produzida</t>
  </si>
  <si>
    <t>6817809</t>
  </si>
  <si>
    <t>Confecção de BSCC - seção canal de 1,5 x 1,5 m - areia e brita comerciais</t>
  </si>
  <si>
    <t>6817810</t>
  </si>
  <si>
    <t>Confecção de BSCC - seção canal de 1,5 x 1,5 m - areia extraída e brita produzida</t>
  </si>
  <si>
    <t>6817811</t>
  </si>
  <si>
    <t>Confecção de BSCC - seção canal de 2,0 x 1,5 m - areia e brita comerciais</t>
  </si>
  <si>
    <t>6817812</t>
  </si>
  <si>
    <t>Confecção de BSCC - seção canal de 2,0 x 1,5 m - areia extraída e brita produzida</t>
  </si>
  <si>
    <t>6817813</t>
  </si>
  <si>
    <t>Confecção de BSCC - seção canal de 2,0 x 2,0 m - tipo I - areia e brita comerciais</t>
  </si>
  <si>
    <t>6817814</t>
  </si>
  <si>
    <t>Confecção de BSCC - seção canal de 2,0 x 2,0 m - tipo I - areia extraída e brita produzida</t>
  </si>
  <si>
    <t>6817815</t>
  </si>
  <si>
    <t>Confecção de BSCC - seção canal de 2,0 x 2,0 m - tipo II - areia e brita comerciais</t>
  </si>
  <si>
    <t>6817816</t>
  </si>
  <si>
    <t>Confecção de BSCC - seção canal de 2,0 x 2,0 m - tipo II - areia extraída e brita produzida</t>
  </si>
  <si>
    <t>6817817</t>
  </si>
  <si>
    <t>Confecção de BSCC - seção canal de 2,5 x 1,5 m - areia e brita comerciais</t>
  </si>
  <si>
    <t>6817818</t>
  </si>
  <si>
    <t>Confecção de BSCC - seção canal de 2,5 x 1,5 m - areia extraída e brita produzida</t>
  </si>
  <si>
    <t>6817819</t>
  </si>
  <si>
    <t>Confecção de BSCC - seção canal de 2,5 x 2,0 m - tipo I - areia e brita comerciais</t>
  </si>
  <si>
    <t>6817820</t>
  </si>
  <si>
    <t>Confecção de BSCC - seção canal de 2,5 x 2,0 m - tipo I - areia extraída e brita produzida</t>
  </si>
  <si>
    <t>6817821</t>
  </si>
  <si>
    <t>Confecção de BSCC - seção canal de 2,5 x 2,0 m - tipo II - areia e brita comerciais</t>
  </si>
  <si>
    <t>6817822</t>
  </si>
  <si>
    <t>Confecção de BSCC - seção canal de 2,5 x 2,0 m - tipo II - areia extraída e brita produzida</t>
  </si>
  <si>
    <t>6817823</t>
  </si>
  <si>
    <t>Confecção de BSCC - seção canal de 3,0 x 1,5 m - areia e brita comerciais</t>
  </si>
  <si>
    <t>6817824</t>
  </si>
  <si>
    <t>Confecção de BSCC - seção canal de 3,0 x 1,5 m - areia extraída e brita produzida</t>
  </si>
  <si>
    <t>6817825</t>
  </si>
  <si>
    <t>Confecção de BSCC - seção canal de 3,0 x 2,0 m - tipo I - areia e brita comerciais</t>
  </si>
  <si>
    <t>6817826</t>
  </si>
  <si>
    <t>Confecção de BSCC - seção canal de 3,0 x 2,0 m - tipo I - areia extraída e brita produzida</t>
  </si>
  <si>
    <t>6817827</t>
  </si>
  <si>
    <t>Confecção de BSCC - seção canal de 3,0 x 2,0 m - tipo II - areia e brita comerciais</t>
  </si>
  <si>
    <t>6817828</t>
  </si>
  <si>
    <t>Confecção de BSCC - seção canal de 3,0 x 2,0 m - tipo II - areia extraída e brita produzida</t>
  </si>
  <si>
    <t>6817753</t>
  </si>
  <si>
    <t>Confecção de BSCC - seção fechada de 1,5 x 1,5 m - altura do aterro de 0,25 a 1,00 m - areia e brita comerciais</t>
  </si>
  <si>
    <t>6817754</t>
  </si>
  <si>
    <t>Confecção de BSCC - seção fechada de 1,5 x 1,5 m - altura do aterro de 0,25 a 1,00 m - areia extraída e brita produzida</t>
  </si>
  <si>
    <t>6817755</t>
  </si>
  <si>
    <t>Confecção de BSCC - seção fechada de 1,5 x 1,5 m - altura do aterro de 1,00 a 2,50 m - areia e brita comerciais</t>
  </si>
  <si>
    <t>6817756</t>
  </si>
  <si>
    <t>Confecção de BSCC - seção fechada de 1,5 x 1,5 m - altura do aterro de 1,00 a 2,50 m - areia extraída e brita produzida</t>
  </si>
  <si>
    <t>6817763</t>
  </si>
  <si>
    <t>Confecção de BSCC - seção fechada de 1,5 x 1,5 m - altura do aterro de 10,00 a 12,50 m - areia e brita comerciais</t>
  </si>
  <si>
    <t>6817764</t>
  </si>
  <si>
    <t>Confecção de BSCC - seção fechada de 1,5 x 1,5 m - altura do aterro de 10,00 a 12,50 m - areia extraída e brita produzida</t>
  </si>
  <si>
    <t>6817765</t>
  </si>
  <si>
    <t>Confecção de BSCC - seção fechada de 1,5 x 1,5 m - altura do aterro de 12,50 a 15,00 m - areia e brita comerciais</t>
  </si>
  <si>
    <t>6817766</t>
  </si>
  <si>
    <t>Confecção de BSCC - seção fechada de 1,5 x 1,5 m - altura do aterro de 12,50 a 15,00 m - areia extraída e brita produzida</t>
  </si>
  <si>
    <t>6817757</t>
  </si>
  <si>
    <t>Confecção de BSCC - seção fechada de 1,5 x 1,5 m - altura do aterro de 2,50 a 5,00 m - areia e brita comerciais</t>
  </si>
  <si>
    <t>6817758</t>
  </si>
  <si>
    <t>Confecção de BSCC - seção fechada de 1,5 x 1,5 m - altura do aterro de 2,50 a 5,00 m - areia extraída e brita produzida</t>
  </si>
  <si>
    <t>6817759</t>
  </si>
  <si>
    <t>Confecção de BSCC - seção fechada de 1,5 x 1,5 m - altura do aterro de 5,00 a 7,50 m - areia e brita comerciais</t>
  </si>
  <si>
    <t>6817760</t>
  </si>
  <si>
    <t>Confecção de BSCC - seção fechada de 1,5 x 1,5 m - altura do aterro de 5,00 a 7,50 m - areia extraída e brita produzida</t>
  </si>
  <si>
    <t>6817761</t>
  </si>
  <si>
    <t>Confecção de BSCC - seção fechada de 1,5 x 1,5 m - altura do aterro de 7,50 a 10,00 m - areia e brita comerciais</t>
  </si>
  <si>
    <t>6817762</t>
  </si>
  <si>
    <t>Confecção de BSCC - seção fechada de 1,5 x 1,5 m - altura do aterro de 7,50 a 10,00 m - areia extraída e brita produzida</t>
  </si>
  <si>
    <t>6817767</t>
  </si>
  <si>
    <t>Confecção de BSCC - seção fechada de 2,0 x 2,0 m - altura do aterro de 0,25 a 1,00 m - areia e brita comerciais</t>
  </si>
  <si>
    <t>6817768</t>
  </si>
  <si>
    <t>Confecção de BSCC - seção fechada de 2,0 x 2,0 m - altura do aterro de 0,25 a 1,00 m - areia extraída e brita produzida</t>
  </si>
  <si>
    <t>6817769</t>
  </si>
  <si>
    <t>Confecção de BSCC - seção fechada de 2,0 x 2,0 m - altura do aterro de 1,00 a 2,50 m - areia e brita comerciais</t>
  </si>
  <si>
    <t>6817770</t>
  </si>
  <si>
    <t>Confecção de BSCC - seção fechada de 2,0 x 2,0 m - altura do aterro de 1,00 a 2,50 m - areia extraída e brita produzida</t>
  </si>
  <si>
    <t>6817777</t>
  </si>
  <si>
    <t>Confecção de BSCC - seção fechada de 2,0 x 2,0 m - altura do aterro de 10,00 a 12,50 m - areia e brita comerciais</t>
  </si>
  <si>
    <t>6817778</t>
  </si>
  <si>
    <t>Confecção de BSCC - seção fechada de 2,0 x 2,0 m - altura do aterro de 10,00 a 12,50 m - areia extraída e brita produzida</t>
  </si>
  <si>
    <t>6817779</t>
  </si>
  <si>
    <t>Confecção de BSCC - seção fechada de 2,0 x 2,0 m - altura do aterro de 12,50 a 15,00 m - areia e brita comerciais</t>
  </si>
  <si>
    <t>6817780</t>
  </si>
  <si>
    <t>Confecção de BSCC - seção fechada de 2,0 x 2,0 m - altura do aterro de 12,50 a 15,00 m - areia extraída e brita produzida</t>
  </si>
  <si>
    <t>6817771</t>
  </si>
  <si>
    <t>Confecção de BSCC - seção fechada de 2,0 x 2,0 m - altura do aterro de 2,50 a 5,00 m - areia e brita comerciais</t>
  </si>
  <si>
    <t>6817772</t>
  </si>
  <si>
    <t>Confecção de BSCC - seção fechada de 2,0 x 2,0 m - altura do aterro de 2,50 a 5,00 m - areia extraída e brita produzida</t>
  </si>
  <si>
    <t>6817773</t>
  </si>
  <si>
    <t>Confecção de BSCC - seção fechada de 2,0 x 2,0 m - altura do aterro de 5,00 a 7,50 m - areia e brita comerciais</t>
  </si>
  <si>
    <t>6817774</t>
  </si>
  <si>
    <t>Confecção de BSCC - seção fechada de 2,0 x 2,0 m - altura do aterro de 5,00 a 7,50 m - areia extraída e brita produzida</t>
  </si>
  <si>
    <t>6817775</t>
  </si>
  <si>
    <t>Confecção de BSCC - seção fechada de 2,0 x 2,0 m - altura do aterro de 7,50 a 10,00 m - areia e brita comerciais</t>
  </si>
  <si>
    <t>6817776</t>
  </si>
  <si>
    <t>Confecção de BSCC - seção fechada de 2,0 x 2,0 m - altura do aterro de 7,50 a 10,00 m - areia extraída e brita produzida</t>
  </si>
  <si>
    <t>6817781</t>
  </si>
  <si>
    <t>Confecção de BSCC - seção fechada de 2,5 x 2,5 m - altura do aterro de 0,25 a 1,00 m - areia e brita comerciais</t>
  </si>
  <si>
    <t>6817782</t>
  </si>
  <si>
    <t>Confecção de BSCC - seção fechada de 2,5 x 2,5 m - altura do aterro de 0,25 a 1,00 m - areia extraída e brita produzida</t>
  </si>
  <si>
    <t>6817783</t>
  </si>
  <si>
    <t>Confecção de BSCC - seção fechada de 2,5 x 2,5 m - altura do aterro de 1,00 a 2,50 m - areia e brita comerciais</t>
  </si>
  <si>
    <t>6817784</t>
  </si>
  <si>
    <t>Confecção de BSCC - seção fechada de 2,5 x 2,5 m - altura do aterro de 1,00 a 2,50 m - areia extraída e brita produzida</t>
  </si>
  <si>
    <t>6817791</t>
  </si>
  <si>
    <t>Confecção de BSCC - seção fechada de 2,5 x 2,5 m - altura do aterro de 10,00 a 12,50 m - areia e brita comerciais</t>
  </si>
  <si>
    <t>6817792</t>
  </si>
  <si>
    <t>Confecção de BSCC - seção fechada de 2,5 x 2,5 m - altura do aterro de 10,00 a 12,50 m - areia extraída e brita produzida</t>
  </si>
  <si>
    <t>6817793</t>
  </si>
  <si>
    <t>Confecção de BSCC - seção fechada de 2,5 x 2,5 m - altura do aterro de 12,50 a 15,00 m - areia e brita comerciais</t>
  </si>
  <si>
    <t>6817794</t>
  </si>
  <si>
    <t>Confecção de BSCC - seção fechada de 2,5 x 2,5 m - altura do aterro de 12,50 a 15,00 m - areia extraída e brita produzida</t>
  </si>
  <si>
    <t>6817785</t>
  </si>
  <si>
    <t>Confecção de BSCC - seção fechada de 2,5 x 2,5 m - altura do aterro de 2,50 a 5,00 m - areia e brita comerciais</t>
  </si>
  <si>
    <t>6817786</t>
  </si>
  <si>
    <t>Confecção de BSCC - seção fechada de 2,5 x 2,5 m - altura do aterro de 2,50 a 5,00 m - areia extraída e brita produzida</t>
  </si>
  <si>
    <t>6817787</t>
  </si>
  <si>
    <t>Confecção de BSCC - seção fechada de 2,5 x 2,5 m - altura do aterro de 5,00 a 7,50 m - areia e brita comerciais</t>
  </si>
  <si>
    <t>6817788</t>
  </si>
  <si>
    <t>Confecção de BSCC - seção fechada de 2,5 x 2,5 m - altura do aterro de 5,00 a 7,50 m - areia extraída e brita produzida</t>
  </si>
  <si>
    <t>6817789</t>
  </si>
  <si>
    <t>Confecção de BSCC - seção fechada de 2,5 x 2,5 m - altura do aterro de 7,50 a 10,00 m - areia e brita comerciais</t>
  </si>
  <si>
    <t>6817790</t>
  </si>
  <si>
    <t>Confecção de BSCC - seção fechada de 2,5 x 2,5 m - altura do aterro de 7,50 a 10,00 m - areia extraída e brita produzida</t>
  </si>
  <si>
    <t>6817795</t>
  </si>
  <si>
    <t>Confecção de BSCC - seção fechada de 3,0 x 3,0 m - altura do aterro de 0,25 a 1,00 m - areia e brita comerciais</t>
  </si>
  <si>
    <t>6817796</t>
  </si>
  <si>
    <t>Confecção de BSCC - seção fechada de 3,0 x 3,0 m - altura do aterro de 0,25 a 1,00 m - areia extraída e brita produzida</t>
  </si>
  <si>
    <t>6817797</t>
  </si>
  <si>
    <t>Confecção de BSCC - seção fechada de 3,0 x 3,0 m - altura do aterro de 1,00 a 2,50 m - areia e brita comerciais</t>
  </si>
  <si>
    <t>6817798</t>
  </si>
  <si>
    <t>Confecção de BSCC - seção fechada de 3,0 x 3,0 m - altura do aterro de 1,00 a 2,50 m - areia extraída e brita produzida</t>
  </si>
  <si>
    <t>6817805</t>
  </si>
  <si>
    <t>Confecção de BSCC - seção fechada de 3,0 x 3,0 m - altura do aterro de 10,00 a 12,50 m - areia e brita comerciais</t>
  </si>
  <si>
    <t>6817806</t>
  </si>
  <si>
    <t>Confecção de BSCC - seção fechada de 3,0 x 3,0 m - altura do aterro de 10,00 a 12,50 m - areia extraída e brita produzida</t>
  </si>
  <si>
    <t>6817807</t>
  </si>
  <si>
    <t>Confecção de BSCC - seção fechada de 3,0 x 3,0 m - altura do aterro de 12,50 a 15,00 m - areia e brita comerciais</t>
  </si>
  <si>
    <t>6817808</t>
  </si>
  <si>
    <t>Confecção de BSCC - seção fechada de 3,0 x 3,0 m - altura do aterro de 12,50 a 15,00 m - areia extraída e brita produzida</t>
  </si>
  <si>
    <t>6817799</t>
  </si>
  <si>
    <t>Confecção de BSCC - seção fechada de 3,0 x 3,0 m - altura do aterro de 2,50 a 5,00 m - areia e brita comerciais</t>
  </si>
  <si>
    <t>6817800</t>
  </si>
  <si>
    <t>Confecção de BSCC - seção fechada de 3,0 x 3,0 m - altura do aterro de 2,50 a 5,00 m - areia extraída e brita produzida</t>
  </si>
  <si>
    <t>6817801</t>
  </si>
  <si>
    <t>Confecção de BSCC - seção fechada de 3,0 x 3,0 m - altura do aterro de 5,00 a 7,50 m - areia e brita comerciais</t>
  </si>
  <si>
    <t>6817802</t>
  </si>
  <si>
    <t>Confecção de BSCC - seção fechada de 3,0 x 3,0 m - altura do aterro de 5,00 a 7,50 m - areia extraída e brita produzida</t>
  </si>
  <si>
    <t>6817803</t>
  </si>
  <si>
    <t>Confecção de BSCC - seção fechada de 3,0 x 3,0 m - altura do aterro de 7,50 a 10,00 m - areia e brita comerciais</t>
  </si>
  <si>
    <t>6817804</t>
  </si>
  <si>
    <t>Confecção de BSCC - seção fechada de 3,0 x 3,0 m - altura do aterro de 7,50 a 10,00 m - areia extraída e brita produzida</t>
  </si>
  <si>
    <t>6817885</t>
  </si>
  <si>
    <t>Corpo de BSCC - seção canal de 1,5 x 1,5 m - pré-moldado - areia e brita comerciais</t>
  </si>
  <si>
    <t>6817886</t>
  </si>
  <si>
    <t>Corpo de BSCC - seção canal de 1,5 x 1,5 m - pré-moldado - areia extraída e brita produzida</t>
  </si>
  <si>
    <t>6817887</t>
  </si>
  <si>
    <t>Corpo de BSCC - seção canal de 2,0 x 1,5 m - pré-moldado - areia e brita comerciais</t>
  </si>
  <si>
    <t>6817888</t>
  </si>
  <si>
    <t>Corpo de BSCC - seção canal de 2,0 x 1,5 m - pré-moldado - areia extraída e brita produzida</t>
  </si>
  <si>
    <t>6817889</t>
  </si>
  <si>
    <t>Corpo de BSCC - seção canal de 2,0 x 2,0 m - pré-moldado - tipo I - areia e brita comerciais</t>
  </si>
  <si>
    <t>6817890</t>
  </si>
  <si>
    <t>Corpo de BSCC - seção canal de 2,0 x 2,0 m - pré-moldado - tipo I - areia extraída e brita produzida</t>
  </si>
  <si>
    <t>6817891</t>
  </si>
  <si>
    <t>Corpo de BSCC - seção canal de 2,0 x 2,0 m - pré-moldado - tipo II - areia e brita comerciais</t>
  </si>
  <si>
    <t>6817892</t>
  </si>
  <si>
    <t>Corpo de BSCC - seção canal de 2,0 x 2,0 m - pré-moldado - tipo II - areia extraída e brita produzida</t>
  </si>
  <si>
    <t>6817893</t>
  </si>
  <si>
    <t>Corpo de BSCC - seção canal de 2,5 x 1,5 m - pré-moldado - areia e brita comerciais</t>
  </si>
  <si>
    <t>6817894</t>
  </si>
  <si>
    <t>Corpo de BSCC - seção canal de 2,5 x 1,5 m - pré-moldado - areia extraída e brita produzida</t>
  </si>
  <si>
    <t>6817895</t>
  </si>
  <si>
    <t>Corpo de BSCC - seção canal de 2,5 x 2,0 m - pré-moldado - tipo I - areia e brita comerciais</t>
  </si>
  <si>
    <t>6817896</t>
  </si>
  <si>
    <t>Corpo de BSCC - seção canal de 2,5 x 2,0 m - pré-moldado - tipo I - areia extraída e brita produzida</t>
  </si>
  <si>
    <t>6817897</t>
  </si>
  <si>
    <t>Corpo de BSCC - seção canal de 2,5 x 2,0 m - pré-moldado - tipo II - areia e brita comerciais</t>
  </si>
  <si>
    <t>6817898</t>
  </si>
  <si>
    <t>Corpo de BSCC - seção canal de 2,5 x 2,0 m - pré-moldado - tipo II - areia extraída e brita produzida</t>
  </si>
  <si>
    <t>6817899</t>
  </si>
  <si>
    <t>Corpo de BSCC - seção canal de 3,0 x 1,5 m - pré-moldado - areia e brita comerciais</t>
  </si>
  <si>
    <t>6817900</t>
  </si>
  <si>
    <t>Corpo de BSCC - seção canal de 3,0 x 1,5 m - pré-moldado - areia extraída e brita produzida</t>
  </si>
  <si>
    <t>6817901</t>
  </si>
  <si>
    <t>Corpo de BSCC - seção canal de 3,0 x 2,0 m - pré-moldado - tipo I - areia e brita comerciais</t>
  </si>
  <si>
    <t>6817902</t>
  </si>
  <si>
    <t>Corpo de BSCC - seção canal de 3,0 x 2,0 m - pré-moldado - tipo I - areia extraída e brita produzida</t>
  </si>
  <si>
    <t>6817903</t>
  </si>
  <si>
    <t>Corpo de BSCC - seção canal de 3,0 x 2,0 m - pré-moldado - tipo II - areia e brita comerciais</t>
  </si>
  <si>
    <t>6817904</t>
  </si>
  <si>
    <t>Corpo de BSCC - seção canal de 3,0 x 2,0 m - pré-moldado - tipo II - areia extraída e brita produzida</t>
  </si>
  <si>
    <t>6817829</t>
  </si>
  <si>
    <t>Corpo de BSCC - seção fechada de 1,5 x 1,5 m - pré-moldado - altura do aterro de 0,25 a 1,00 m - areia e brita comerciais</t>
  </si>
  <si>
    <t>6817830</t>
  </si>
  <si>
    <t>Corpo de BSCC - seção fechada de 1,5 x 1,5 m - pré-moldado - altura do aterro de 0,25 a 1,00 m - areia extraída e brita produzida</t>
  </si>
  <si>
    <t>6817831</t>
  </si>
  <si>
    <t>Corpo de BSCC - seção fechada de 1,5 x 1,5 m - pré-moldado - altura do aterro de 1,00 a 2,50 m - areia e brita comerciais</t>
  </si>
  <si>
    <t>6817832</t>
  </si>
  <si>
    <t>Corpo de BSCC - seção fechada de 1,5 x 1,5 m - pré-moldado - altura do aterro de 1,00 a 2,50 m - areia extraída e brita produzida</t>
  </si>
  <si>
    <t>6817839</t>
  </si>
  <si>
    <t>Corpo de BSCC - seção fechada de 1,5 x 1,5 m - pré-moldado - altura do aterro de 10,00 a 12,50 m - areia e brita comerciais</t>
  </si>
  <si>
    <t>6817840</t>
  </si>
  <si>
    <t>Corpo de BSCC - seção fechada de 1,5 x 1,5 m - pré-moldado - altura do aterro de 10,00 a 12,50 m - areia extraída e brita produzida</t>
  </si>
  <si>
    <t>6817841</t>
  </si>
  <si>
    <t>Corpo de BSCC - seção fechada de 1,5 x 1,5 m - pré-moldado - altura do aterro de 12,50 a 15,00 m - areia e brita comerciais</t>
  </si>
  <si>
    <t>6817842</t>
  </si>
  <si>
    <t>Corpo de BSCC - seção fechada de 1,5 x 1,5 m - pré-moldado - altura do aterro de 12,50 a 15,00 m - areia extraída e brita produzida</t>
  </si>
  <si>
    <t>6817833</t>
  </si>
  <si>
    <t>Corpo de BSCC - seção fechada de 1,5 x 1,5 m - pré-moldado - altura do aterro de 2,50 a 5,00 m - areia e brita comerciais</t>
  </si>
  <si>
    <t>6817834</t>
  </si>
  <si>
    <t>Corpo de BSCC - seção fechada de 1,5 x 1,5 m - pré-moldado - altura do aterro de 2,50 a 5,00 m - areia extraída e brita produzida</t>
  </si>
  <si>
    <t>6817835</t>
  </si>
  <si>
    <t>Corpo de BSCC - seção fechada de 1,5 x 1,5 m - pré-moldado - altura do aterro de 5,00 a 7,50 m - areia e brita comerciais</t>
  </si>
  <si>
    <t>6817836</t>
  </si>
  <si>
    <t>Corpo de BSCC - seção fechada de 1,5 x 1,5 m - pré-moldado - altura do aterro de 5,00 a 7,50 m - areia extraída e brita produzida</t>
  </si>
  <si>
    <t>6817837</t>
  </si>
  <si>
    <t>Corpo de BSCC - seção fechada de 1,5 x 1,5 m - pré-moldado - altura do aterro de 7,50 a 10,00 m - areia e brita comerciais</t>
  </si>
  <si>
    <t>6817838</t>
  </si>
  <si>
    <t>Corpo de BSCC - seção fechada de 1,5 x 1,5 m - pré-moldado - altura do aterro de 7,50 a 10,00 m - areia extraída e brita produzida</t>
  </si>
  <si>
    <t>6817843</t>
  </si>
  <si>
    <t>Corpo de BSCC - seção fechada de 2,0 x 2,0 m - pré-moldado - altura do aterro de 0,25 a 1,00 m - areia e brita comerciais</t>
  </si>
  <si>
    <t>6817844</t>
  </si>
  <si>
    <t>Corpo de BSCC - seção fechada de 2,0 x 2,0 m - pré-moldado - altura do aterro de 0,25 a 1,00 m - areia extraída e brita produzida</t>
  </si>
  <si>
    <t>6817845</t>
  </si>
  <si>
    <t>Corpo de BSCC - seção fechada de 2,0 x 2,0 m - pré-moldado - altura do aterro de 1,00 a 2,50 m - areia e brita comerciais</t>
  </si>
  <si>
    <t>6817846</t>
  </si>
  <si>
    <t>Corpo de BSCC - seção fechada de 2,0 x 2,0 m - pré-moldado - altura do aterro de 1,00 a 2,50 m - areia extraída e brita produzida</t>
  </si>
  <si>
    <t>6817853</t>
  </si>
  <si>
    <t>Corpo de BSCC - seção fechada de 2,0 x 2,0 m - pré-moldado - altura do aterro de 10,00 a 12,50 m - areia e brita comerciais</t>
  </si>
  <si>
    <t>6817854</t>
  </si>
  <si>
    <t>Corpo de BSCC - seção fechada de 2,0 x 2,0 m - pré-moldado - altura do aterro de 10,00 a 12,50 m - areia extraída e brita produzida</t>
  </si>
  <si>
    <t>6817855</t>
  </si>
  <si>
    <t>Corpo de BSCC - seção fechada de 2,0 x 2,0 m - pré-moldado - altura do aterro de 12,50 a 15,00 m - areia e brita comerciais</t>
  </si>
  <si>
    <t>6817856</t>
  </si>
  <si>
    <t>Corpo de BSCC - seção fechada de 2,0 x 2,0 m - pré-moldado - altura do aterro de 12,50 a 15,00 m - areia extraída e brita produzida</t>
  </si>
  <si>
    <t>6817847</t>
  </si>
  <si>
    <t>Corpo de BSCC - seção fechada de 2,0 x 2,0 m - pré-moldado - altura do aterro de 2,50 a 5,00 m - areia e brita comerciais</t>
  </si>
  <si>
    <t>6817848</t>
  </si>
  <si>
    <t>Corpo de BSCC - seção fechada de 2,0 x 2,0 m - pré-moldado - altura do aterro de 2,50 a 5,00 m - areia extraída e brita produzida</t>
  </si>
  <si>
    <t>6817849</t>
  </si>
  <si>
    <t>Corpo de BSCC - seção fechada de 2,0 x 2,0 m - pré-moldado - altura do aterro de 5,00 a 7,50 m - areia e brita comerciais</t>
  </si>
  <si>
    <t>6817850</t>
  </si>
  <si>
    <t>Corpo de BSCC - seção fechada de 2,0 x 2,0 m - pré-moldado - altura do aterro de 5,00 a 7,50 m - areia extraída e brita produzida</t>
  </si>
  <si>
    <t>6817851</t>
  </si>
  <si>
    <t>Corpo de BSCC - seção fechada de 2,0 x 2,0 m - pré-moldado - altura do aterro de 7,50 a 10,00 m - areia e brita comerciais</t>
  </si>
  <si>
    <t>6817852</t>
  </si>
  <si>
    <t>Corpo de BSCC - seção fechada de 2,0 x 2,0 m - pré-moldado - altura do aterro de 7,50 a 10,00 m - areia extraída e brita produzida</t>
  </si>
  <si>
    <t>6817857</t>
  </si>
  <si>
    <t>Corpo de BSCC - seção fechada de 2,5 x 2,5 m - pré-moldado - altura do aterro de 0,25 a 1,00 m - areia e brita comerciais</t>
  </si>
  <si>
    <t>6817858</t>
  </si>
  <si>
    <t>Corpo de BSCC - seção fechada de 2,5 x 2,5 m - pré-moldado - altura do aterro de 0,25 a 1,00 m - areia extraída e brita produzida</t>
  </si>
  <si>
    <t>6817859</t>
  </si>
  <si>
    <t>Corpo de BSCC - seção fechada de 2,5 x 2,5 m - pré-moldado - altura do aterro de 1,00 a 2,50 m - areia e brita comerciais</t>
  </si>
  <si>
    <t>6817860</t>
  </si>
  <si>
    <t>Corpo de BSCC - seção fechada de 2,5 x 2,5 m - pré-moldado - altura do aterro de 1,00 a 2,50 m - areia extraída e brita produzida</t>
  </si>
  <si>
    <t>6817867</t>
  </si>
  <si>
    <t>Corpo de BSCC - seção fechada de 2,5 x 2,5 m - pré-moldado - altura do aterro de 10,00 a 12,50 m - areia e brita comerciais</t>
  </si>
  <si>
    <t>6817868</t>
  </si>
  <si>
    <t>Corpo de BSCC - seção fechada de 2,5 x 2,5 m - pré-moldado - altura do aterro de 10,00 a 12,50 m - areia extraída e brita produzida</t>
  </si>
  <si>
    <t>6817869</t>
  </si>
  <si>
    <t>Corpo de BSCC - seção fechada de 2,5 x 2,5 m - pré-moldado - altura do aterro de 12,50 a 15,00 m - areia e brita comerciais</t>
  </si>
  <si>
    <t>6817870</t>
  </si>
  <si>
    <t>Corpo de BSCC - seção fechada de 2,5 x 2,5 m - pré-moldado - altura do aterro de 12,50 a 15,00 m - areia extraída e brita produzida</t>
  </si>
  <si>
    <t>6817861</t>
  </si>
  <si>
    <t>Corpo de BSCC - seção fechada de 2,5 x 2,5 m - pré-moldado - altura do aterro de 2,50 a 5,00 m - areia e brita comerciais</t>
  </si>
  <si>
    <t>6817862</t>
  </si>
  <si>
    <t>Corpo de BSCC - seção fechada de 2,5 x 2,5 m - pré-moldado - altura do aterro de 2,50 a 5,00 m - areia extraída e brita produzida</t>
  </si>
  <si>
    <t>6817863</t>
  </si>
  <si>
    <t>Corpo de BSCC - seção fechada de 2,5 x 2,5 m - pré-moldado - altura do aterro de 5,00 a 7,50 m - areia e brita comerciais</t>
  </si>
  <si>
    <t>6817864</t>
  </si>
  <si>
    <t>Corpo de BSCC - seção fechada de 2,5 x 2,5 m - pré-moldado - altura do aterro de 5,00 a 7,50 m - areia extraída e brita produzida</t>
  </si>
  <si>
    <t>6817865</t>
  </si>
  <si>
    <t>Corpo de BSCC - seção fechada de 2,5 x 2,5 m - pré-moldado - altura do aterro de 7,50 a 10,00 m - areia e brita comerciais</t>
  </si>
  <si>
    <t>6817866</t>
  </si>
  <si>
    <t>Corpo de BSCC - seção fechada de 2,5 x 2,5 m - pré-moldado - altura do aterro de 7,50 a 10,00 m - areia extraída e brita produzida</t>
  </si>
  <si>
    <t>6817871</t>
  </si>
  <si>
    <t>Corpo de BSCC - seção fechada de 3,0 x 3,0 m - pré-moldado - altura do aterro de 0,25 a 1,00 m - areia e brita comerciais</t>
  </si>
  <si>
    <t>6817872</t>
  </si>
  <si>
    <t>Corpo de BSCC - seção fechada de 3,0 x 3,0 m - pré-moldado - altura do aterro de 0,25 a 1,00 m - areia extraída e brita produzida</t>
  </si>
  <si>
    <t>6817873</t>
  </si>
  <si>
    <t>Corpo de BSCC - seção fechada de 3,0 x 3,0 m - pré-moldado - altura do aterro de 1,00 a 2,50 m - areia e brita comerciais</t>
  </si>
  <si>
    <t>6817874</t>
  </si>
  <si>
    <t>Corpo de BSCC - seção fechada de 3,0 x 3,0 m - pré-moldado - altura do aterro de 1,00 a 2,50 m - areia extraída e brita produzida</t>
  </si>
  <si>
    <t>6817881</t>
  </si>
  <si>
    <t>Corpo de BSCC - seção fechada de 3,0 x 3,0 m - pré-moldado - altura do aterro de 10,00 a 12,50 m - areia e brita comerciais</t>
  </si>
  <si>
    <t>6817882</t>
  </si>
  <si>
    <t>Corpo de BSCC - seção fechada de 3,0 x 3,0 m - pré-moldado - altura do aterro de 10,00 a 12,50 m - areia extraída e brita produzida</t>
  </si>
  <si>
    <t>6817883</t>
  </si>
  <si>
    <t>Corpo de BSCC - seção fechada de 3,0 x 3,0 m - pré-moldado - altura do aterro de 12,50 a 15,00 m - areia e brita comerciais</t>
  </si>
  <si>
    <t>6817884</t>
  </si>
  <si>
    <t>Corpo de BSCC - seção fechada de 3,0 x 3,0 m - pré-moldado - altura do aterro de 12,50 a 15,00 m - areia extraída e brita produzida</t>
  </si>
  <si>
    <t>6817875</t>
  </si>
  <si>
    <t>Corpo de BSCC - seção fechada de 3,0 x 3,0 m - pré-moldado - altura do aterro de 2,50 a 5,00 m - areia e brita comerciais</t>
  </si>
  <si>
    <t>6817876</t>
  </si>
  <si>
    <t>Corpo de BSCC - seção fechada de 3,0 x 3,0 m - pré-moldado - altura do aterro de 2,50 a 5,00 m - areia extraída e brita produzida</t>
  </si>
  <si>
    <t>6817877</t>
  </si>
  <si>
    <t>Corpo de BSCC - seção fechada de 3,0 x 3,0 m - pré-moldado - altura do aterro de 5,00 a 7,50 m - areia e brita comerciais</t>
  </si>
  <si>
    <t>6817878</t>
  </si>
  <si>
    <t>Corpo de BSCC - seção fechada de 3,0 x 3,0 m - pré-moldado - altura do aterro de 5,00 a 7,50 m - areia extraída e brita produzida</t>
  </si>
  <si>
    <t>6817879</t>
  </si>
  <si>
    <t>Corpo de BSCC - seção fechada de 3,0 x 3,0 m - pré-moldado - altura do aterro de 7,50 a 10,00 m - areia e brita comerciais</t>
  </si>
  <si>
    <t>6817880</t>
  </si>
  <si>
    <t>Corpo de BSCC - seção fechada de 3,0 x 3,0 m - pré-moldado - altura do aterro de 7,50 a 10,00 m - areia extraída e brita produzida</t>
  </si>
  <si>
    <t>7119788</t>
  </si>
  <si>
    <t>Administração local do Estaleiro Padrão</t>
  </si>
  <si>
    <t>mês</t>
  </si>
  <si>
    <t>7119714</t>
  </si>
  <si>
    <t>Amarração do sistema de fundeio - profundidade de até 50 m</t>
  </si>
  <si>
    <t>7119715</t>
  </si>
  <si>
    <t>Ânodo de sacrifício para proteção do casco - fornecimento e instalação</t>
  </si>
  <si>
    <t>7119678</t>
  </si>
  <si>
    <t>Beneficiamento de aço naval para construção de instalações portuárias de pequeno porte - excluso o aço naval</t>
  </si>
  <si>
    <t>7119712</t>
  </si>
  <si>
    <t>Cabo de segurança para conexão da ponte - fornecimento e instalação</t>
  </si>
  <si>
    <t>7119694</t>
  </si>
  <si>
    <t>Confecção de morto de concreto de 13 t</t>
  </si>
  <si>
    <t>7119695</t>
  </si>
  <si>
    <t>Confecção de morto de concreto de 14 t</t>
  </si>
  <si>
    <t>7119696</t>
  </si>
  <si>
    <t>Confecção de morto de concreto de 22 t</t>
  </si>
  <si>
    <t>7119697</t>
  </si>
  <si>
    <t>Confecção de morto de concreto de 36 t</t>
  </si>
  <si>
    <t>7119698</t>
  </si>
  <si>
    <t>Confecção de morto de concreto de 48 t</t>
  </si>
  <si>
    <t>7119688</t>
  </si>
  <si>
    <t>Confecção de poita de concreto com garras metálicas de 13,3 t (peso submerso = 8 t)</t>
  </si>
  <si>
    <t>7119689</t>
  </si>
  <si>
    <t>Confecção de poita de concreto com garras metálicas de 25 t (peso submerso = 15 t)</t>
  </si>
  <si>
    <t>7119690</t>
  </si>
  <si>
    <t>Confecção de poita de concreto com garras metálicas de 30 t (peso submerso = 18 t)</t>
  </si>
  <si>
    <t>7119691</t>
  </si>
  <si>
    <t>Confecção de poita de concreto com garras metálicas de 41,7 t (peso submerso = 25 t)</t>
  </si>
  <si>
    <t>7119692</t>
  </si>
  <si>
    <t>Confecção de poita de concreto com garras metálicas de 45,8 t (peso submerso = 27,5 t)</t>
  </si>
  <si>
    <t>7119693</t>
  </si>
  <si>
    <t>Confecção de poita de concreto com garras metálicas de 58,3 t (peso submerso = 35 t)</t>
  </si>
  <si>
    <t>7119687</t>
  </si>
  <si>
    <t>Confecção de poita de concreto com garras metálicas de 6,7 t (peso submerso = 4 t)</t>
  </si>
  <si>
    <t>7119681</t>
  </si>
  <si>
    <t>Confecção de poita de concreto de 13,3 t (peso submerso = 8 t)</t>
  </si>
  <si>
    <t>7119682</t>
  </si>
  <si>
    <t>Confecção de poita de concreto de 25 t (peso submerso = 15 t)</t>
  </si>
  <si>
    <t>7119683</t>
  </si>
  <si>
    <t>Confecção de poita de concreto de 30 t (peso submerso = 18 t)</t>
  </si>
  <si>
    <t>7119684</t>
  </si>
  <si>
    <t>Confecção de poita de concreto de 41,7 t (peso submerso = 25 t)</t>
  </si>
  <si>
    <t>7119685</t>
  </si>
  <si>
    <t>Confecção de poita de concreto de 45,8 t (peso submerso = 27,5 t)</t>
  </si>
  <si>
    <t>7119686</t>
  </si>
  <si>
    <t>Confecção de poita de concreto de 58,3 t (peso submerso = 35 t)</t>
  </si>
  <si>
    <t>7119680</t>
  </si>
  <si>
    <t>Confecção de poita de concreto de 6,7 t (peso submerso = 4 t)</t>
  </si>
  <si>
    <t>7119710</t>
  </si>
  <si>
    <t>Defensa de pneus para proteção do flutuante - confecção e instalação</t>
  </si>
  <si>
    <t>7107375</t>
  </si>
  <si>
    <t>Fornecimento e instalação de reservatório metálico tipo taça de 10.000 litros pintura interna e externa com escada de acesso e base de concreto armado - areia e brita comerciais</t>
  </si>
  <si>
    <t>7107376</t>
  </si>
  <si>
    <t>Fornecimento e instalação de reservatório metálico tipo taça de 20.000 litros pintura interna e externa com escada de acesso e base de concreto armado - areia e brita comerciais</t>
  </si>
  <si>
    <t>7107377</t>
  </si>
  <si>
    <t>Fornecimento e instalação de reservatório metálico tipo taça de 30.000 litros pintura interna e externa com escada de acesso e base de concreto armado - areia e brita comerciais</t>
  </si>
  <si>
    <t>7107374</t>
  </si>
  <si>
    <t>Fornecimento e instalação de reservatório metálico tipo taça de 5.000 litros pintura interna e externa com escada de acesso e base de concreto armado - areia e brita comerciais</t>
  </si>
  <si>
    <t>7119708</t>
  </si>
  <si>
    <t>Guincho manual para sistema de fundeio com capacidade de tração de 100 kN - fornecimento e instalação</t>
  </si>
  <si>
    <t>7119709</t>
  </si>
  <si>
    <t>Guincho manual para sistema de fundeio com capacidade de tração de 200 kN - fornecimento e instalação</t>
  </si>
  <si>
    <t>7119706</t>
  </si>
  <si>
    <t>Implantação do sistema naval tipo I - ponte móvel e flutuante principal</t>
  </si>
  <si>
    <t>7119707</t>
  </si>
  <si>
    <t>Implantação do sistema naval tipo II - pontes móveis, flutuante intermediário e flutuante principal</t>
  </si>
  <si>
    <t>7119787</t>
  </si>
  <si>
    <t>Instalações do Estaleiro Padrão para o beneficiamento de estruturas navais, inclusive mobiliário, equipamentos de informática e de segurança</t>
  </si>
  <si>
    <t>7119647</t>
  </si>
  <si>
    <t>Lançamento da embarcação sobre carreira em água</t>
  </si>
  <si>
    <t>7119679</t>
  </si>
  <si>
    <t>Lançamento de poita de concreto - peso submerso</t>
  </si>
  <si>
    <t>7119711</t>
  </si>
  <si>
    <t>Mancal de conexão - confecção e instalação</t>
  </si>
  <si>
    <t>7107379</t>
  </si>
  <si>
    <t>Manutenção de tratamento superficial e pintura da área interna do flutuante (tanques de reserva de flutuabilidade)</t>
  </si>
  <si>
    <t>7107381</t>
  </si>
  <si>
    <t>Manutenção de tratamento superficial e pintura da parte externa do flutuante (costados e espelhos de proa e popa) - exceto fundo</t>
  </si>
  <si>
    <t>7107380</t>
  </si>
  <si>
    <t>Manutenção de tratamento superficial e pintura da ponte, convés, casarias e demais estruturas metálicas navais sobre os flutuantes</t>
  </si>
  <si>
    <t>7107382</t>
  </si>
  <si>
    <t>Manutenção de tratamento superficial e pintura do fundo do flutuante</t>
  </si>
  <si>
    <t>7119713</t>
  </si>
  <si>
    <t>Molinete manual para sistema de fundeio com capacidade de tração de 70 kN - fornecimento e instalação</t>
  </si>
  <si>
    <t>7119646</t>
  </si>
  <si>
    <t>Transporte interno em estaleiro para movimentação de peças</t>
  </si>
  <si>
    <t>7107384</t>
  </si>
  <si>
    <t>Tratamento superficial e pintura da ponte e demais estruturas metálicas navais - exceto fundo do flutuante</t>
  </si>
  <si>
    <t>7107378</t>
  </si>
  <si>
    <t>Tratamento superficial e pintura do fundo do flutuante</t>
  </si>
  <si>
    <t>Fonte</t>
  </si>
  <si>
    <t>SICRO</t>
  </si>
  <si>
    <t>Preço Unitário com BDI (R$)</t>
  </si>
  <si>
    <t>A - Bonificação (lucros)</t>
  </si>
  <si>
    <t>B - Despesas Indiretas</t>
  </si>
  <si>
    <t>B 1 - Administração Central</t>
  </si>
  <si>
    <t>B 2 - Seguro + Garantia</t>
  </si>
  <si>
    <t>B 3 - Risco</t>
  </si>
  <si>
    <t>B 4 - Despesas Financeiras</t>
  </si>
  <si>
    <t>C - Tributos</t>
  </si>
  <si>
    <t>C 2 - ISS</t>
  </si>
  <si>
    <t>C 4 - CPRB</t>
  </si>
  <si>
    <t>BDI</t>
  </si>
  <si>
    <t>C 1 - PIS</t>
  </si>
  <si>
    <t>C 3 - COFINS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</si>
  <si>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</si>
  <si>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</si>
  <si>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</si>
  <si>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</si>
  <si>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</si>
  <si>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</si>
  <si>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</si>
  <si>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</si>
  <si>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</si>
  <si>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</si>
  <si>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</si>
  <si>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</si>
  <si>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Canal: CS19 - Trecho 2</t>
  </si>
  <si>
    <t>Canal: CS19 - Trecho 3</t>
  </si>
  <si>
    <t>Canal: CS19 - Trecho 4</t>
  </si>
  <si>
    <t>Canal: CS19 - Trecho 5</t>
  </si>
  <si>
    <t>Canal: CS19 - Trecho 6</t>
  </si>
  <si>
    <t>Canal: CT1-CS19 - Trecho 1</t>
  </si>
  <si>
    <t>Canal: CT1-CS19 - Trecho 2</t>
  </si>
  <si>
    <t>Canal: CS21</t>
  </si>
  <si>
    <t>Canal: CS21a - Trecho 1</t>
  </si>
  <si>
    <t>Canal: CS21a - Trecho 2</t>
  </si>
  <si>
    <t>Canal: CS21a - Trecho 3</t>
  </si>
  <si>
    <t>Canal: CS21a - Trecho 3.1</t>
  </si>
  <si>
    <t>Canal: CS21a - Trecho 4</t>
  </si>
  <si>
    <t>Canal: CS21a - Trecho 5</t>
  </si>
  <si>
    <t>Canal: CT2-S21</t>
  </si>
  <si>
    <t>ESTRUTURAS DE CONTROLE</t>
  </si>
  <si>
    <t>EX-1 - CS19-Trecho 2 - km 4+200</t>
  </si>
  <si>
    <t>EX-2 - CS19-Trecho 3 - km 9+400</t>
  </si>
  <si>
    <t>EX-3 - CS19-Trecho 4 - km 10+750</t>
  </si>
  <si>
    <t>EX-4 - CS19-Trecho 5 - km 19+500</t>
  </si>
  <si>
    <t>EX-1 - CS21 - km 1+350</t>
  </si>
  <si>
    <t>EX-2 - CS21a - Trecho 1 - km 3+300</t>
  </si>
  <si>
    <t>EX-3 - CS21a - Trecho 2 - km 7+900</t>
  </si>
  <si>
    <t>EX-4 - CS21a - Trecho 3.1 - km 11+700</t>
  </si>
  <si>
    <t>EX-5 - CS21a - Trecho 4 - km 15+900</t>
  </si>
  <si>
    <t>EX-7 - CT2-S21 - km 2+200</t>
  </si>
  <si>
    <t>EXTRAVASORES</t>
  </si>
  <si>
    <t>EC2 - CS19</t>
  </si>
  <si>
    <t>EC3 - CS19</t>
  </si>
  <si>
    <t>EC4 - CS19</t>
  </si>
  <si>
    <t>EC5 - CS19</t>
  </si>
  <si>
    <t>EC6 - CT1-S19</t>
  </si>
  <si>
    <t>EC2 - CS21a</t>
  </si>
  <si>
    <t>EC3 - CS21a</t>
  </si>
  <si>
    <t>EC4 - CS21a</t>
  </si>
  <si>
    <t>EC5 - CS21a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</si>
  <si>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</si>
  <si>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</si>
  <si>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</si>
  <si>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</si>
  <si>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</si>
  <si>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</si>
  <si>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</si>
  <si>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</si>
  <si>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</si>
  <si>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</si>
  <si>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</si>
  <si>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</si>
  <si>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</si>
  <si>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</si>
  <si>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</si>
  <si>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</si>
  <si>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</si>
  <si>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</si>
  <si>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</si>
  <si>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</si>
  <si>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EQUIPAMENTOS</t>
  </si>
  <si>
    <t>4.1</t>
  </si>
  <si>
    <t>CONJUNTO MOTOBOMBAS</t>
  </si>
  <si>
    <t>SIFÕES</t>
  </si>
  <si>
    <t>5.1</t>
  </si>
  <si>
    <t>cj</t>
  </si>
  <si>
    <t>5.1.1</t>
  </si>
  <si>
    <t>5.1.2</t>
  </si>
  <si>
    <t>TUBULAÇÃO</t>
  </si>
  <si>
    <t>TUBO DE AÇO CARBONO ø 1250 MM</t>
  </si>
  <si>
    <t>TUBO DE AÇO CARBONO ø 900 MM</t>
  </si>
  <si>
    <t xml:space="preserve">ER1 - BOMBA: CAPACIDADE = 2,37 m3/s </t>
  </si>
  <si>
    <t>ER1 - BOMBA: CAPACIDADE = 1,29 m3/s</t>
  </si>
  <si>
    <t>B2</t>
  </si>
  <si>
    <t>ETAPA 4</t>
  </si>
  <si>
    <t>Canal: CP3 - Trecho 1</t>
  </si>
  <si>
    <t>Canal: CP3 - Trecho 2</t>
  </si>
  <si>
    <t>Canal: CP3 - Trecho 3</t>
  </si>
  <si>
    <t>Canal: CP3a - Trecho 1</t>
  </si>
  <si>
    <t>Canal: CP3a - Trecho 2</t>
  </si>
  <si>
    <t>Canal: CP3b - Trecho 1</t>
  </si>
  <si>
    <t>Canal: CP3b - Trecho 2</t>
  </si>
  <si>
    <t>Canal: CS23</t>
  </si>
  <si>
    <t>Canal: CS25 - Trecho 1</t>
  </si>
  <si>
    <t>Canal: CS25 - Trecho 2</t>
  </si>
  <si>
    <t>Canal: CS27</t>
  </si>
  <si>
    <t>Canal: CS29</t>
  </si>
  <si>
    <t>EC2 - CP3</t>
  </si>
  <si>
    <t>EC3 - CP3a</t>
  </si>
  <si>
    <t>EC4 - CS25</t>
  </si>
  <si>
    <t>EX-1 - CP3 - Trecho 2 - km 5+500</t>
  </si>
  <si>
    <t>EX-2 - CP3 - Trecho 3 - km 9+750</t>
  </si>
  <si>
    <t>EX-3 - CP3a - Trecho 1 - km 2+700</t>
  </si>
  <si>
    <t>EX-4 - CP3a - Trecho 2 - km 7+500</t>
  </si>
  <si>
    <t>EX-5 - CP3b - Trecho 1 - km 1+400</t>
  </si>
  <si>
    <t>EX-6 - CS23 - km 1+750</t>
  </si>
  <si>
    <t>EX-7 - CS25 - Trecho 1 - km 3+550</t>
  </si>
  <si>
    <t>EX-8 - CS25 - Trecho 2 - km 4+800</t>
  </si>
  <si>
    <t>EX-9 - CS27 - km 2+400</t>
  </si>
  <si>
    <t>ER1 - BOMBA: CAPACIDADE = 1,72 m3/s</t>
  </si>
  <si>
    <t>ER1 - BOMBA: CAPACIDADE = 0,52 m3/s</t>
  </si>
  <si>
    <t>ER2 - BOMBA: CAPACIDADE = 1,53 m3/s</t>
  </si>
  <si>
    <t>ER3 - BOMBA: CAPACIDADE = 0,96 m3/s</t>
  </si>
  <si>
    <t>ER3 - BOMBA: CAPACIDADE = 0,133 m3/s</t>
  </si>
  <si>
    <t>ER4 - BOMBA: CAPACIDADE =1,28 m3/s</t>
  </si>
  <si>
    <t>TUBO DE AÇO CARBONO ø 1050 MM</t>
  </si>
  <si>
    <t>TUBO DE AÇO CARBONO ø 600 MM</t>
  </si>
  <si>
    <t>TUBO DE AÇO CARBONO ø 1000 MM</t>
  </si>
  <si>
    <t>TUBO DE AÇO CARBONO ø 800 MM</t>
  </si>
  <si>
    <t>TUBO DE AÇO CARBONO ø 300 MM</t>
  </si>
  <si>
    <t>5.1.3</t>
  </si>
  <si>
    <t>5.1.4</t>
  </si>
  <si>
    <t>5.1.5</t>
  </si>
  <si>
    <t>5.1.6</t>
  </si>
  <si>
    <t>DEMONSTRATIVO DAS COMPOSICOES DE PRECOS UNITARIOS DE SERVICOS</t>
  </si>
  <si>
    <t>Discriminação:</t>
  </si>
  <si>
    <t>CÓDIGO:</t>
  </si>
  <si>
    <t>UNIDADE:</t>
  </si>
  <si>
    <t>CÓDIGO DO INSUMO</t>
  </si>
  <si>
    <t>VALOR UNITÁRIO</t>
  </si>
  <si>
    <t>COEFICIENTE</t>
  </si>
  <si>
    <t>VALOR PARCELA</t>
  </si>
  <si>
    <t>MATERIAL</t>
  </si>
  <si>
    <t>MÃO DE OBRA</t>
  </si>
  <si>
    <t>EQUIPAMENTO</t>
  </si>
  <si>
    <t>OUTROS SERVIÇOS</t>
  </si>
  <si>
    <t>COMPONENTES DE CUSTO</t>
  </si>
  <si>
    <t>CUSTO TOTAL</t>
  </si>
  <si>
    <t>PREÇO TOTAL</t>
  </si>
  <si>
    <t>DATA BASE: 07/2025</t>
  </si>
  <si>
    <t>Fornecimento e aplicação de geomembrana sintética para impermeabilização do canal, 1,00 mm de espessura (PEAD)</t>
  </si>
  <si>
    <t>CPU-CAN001</t>
  </si>
  <si>
    <t>DESCRIÇÃO</t>
  </si>
  <si>
    <t>COTAÇÃO</t>
  </si>
  <si>
    <t>P9821</t>
  </si>
  <si>
    <t>P9824</t>
  </si>
  <si>
    <t>Pedreiro</t>
  </si>
  <si>
    <t>Servente</t>
  </si>
  <si>
    <t>hora</t>
  </si>
  <si>
    <t>COMPORTAS E GRADES</t>
  </si>
  <si>
    <t>Manta termoplástica, PEAD, geomembrana texturizada em ambas as faces, e = 1,00 mm (NBR 15352)</t>
  </si>
  <si>
    <t>1.1.1</t>
  </si>
  <si>
    <t>TERRAPLENAGEM E TRATAMENTOS</t>
  </si>
  <si>
    <t>Fornecimento e instalação de geocomposto drenante para os taludes</t>
  </si>
  <si>
    <t>CPU-CAN002</t>
  </si>
  <si>
    <t>M0107</t>
  </si>
  <si>
    <t>Geocomposto para drenagem</t>
  </si>
  <si>
    <t>Guias de proteção em concreto pré-moldado</t>
  </si>
  <si>
    <t>CPU-CAN003</t>
  </si>
  <si>
    <t>E9519</t>
  </si>
  <si>
    <t>E9071</t>
  </si>
  <si>
    <t>E9064</t>
  </si>
  <si>
    <t>Betoneira com motor a gasolina com capacidade de 600 l - 10 kW</t>
  </si>
  <si>
    <t>Transportador manual carrinho de mão com capacidade de 80 l</t>
  </si>
  <si>
    <t>Transportador manual gerica com capacidade de 180 l</t>
  </si>
  <si>
    <t>M0424</t>
  </si>
  <si>
    <t>Cimento Portland CP II - 32 - saco</t>
  </si>
  <si>
    <t>M0028</t>
  </si>
  <si>
    <t>Areia média</t>
  </si>
  <si>
    <t>Meio-fio ou guia de concreto, pre-moldado, comp 1 m, *30 x 12/15* cm (h x l1/l2)</t>
  </si>
  <si>
    <t>1.1.2</t>
  </si>
  <si>
    <t>DRENAGEM INTERNA DOS CANAIS</t>
  </si>
  <si>
    <t>Fornecimento e aplicação de manta geotêxtil (Execução de dreno com manta geotêxtil 400 g/m2)</t>
  </si>
  <si>
    <t>CPU-DRE001</t>
  </si>
  <si>
    <t>M1553</t>
  </si>
  <si>
    <t>Geotêxtil não-tecido agulhado em poliéster - resistência à tração longitudinal de 31 kN/m</t>
  </si>
  <si>
    <t>1.1.3</t>
  </si>
  <si>
    <t>OBRAS DE DRENAGEM SUPERFICIAL - VALETAS, SARJETAS, BUEIROS, GALERIAS E PASSAGENS MOLHADAS</t>
  </si>
  <si>
    <t>1.1.4</t>
  </si>
  <si>
    <t>ESTRADAS LATERAIS</t>
  </si>
  <si>
    <t>Revestimento primário para as pistas laterais</t>
  </si>
  <si>
    <t>CPU-PAV001</t>
  </si>
  <si>
    <t>M0191</t>
  </si>
  <si>
    <t>Brita 1</t>
  </si>
  <si>
    <t>M0192</t>
  </si>
  <si>
    <t>Brita 2</t>
  </si>
  <si>
    <t>E9524</t>
  </si>
  <si>
    <t>Motoniveladora - 93 kW</t>
  </si>
  <si>
    <t>E9762</t>
  </si>
  <si>
    <t>Rolo compactador de pneus autopropelido de 27 t - 85 kW</t>
  </si>
  <si>
    <t>1.1.5</t>
  </si>
  <si>
    <t>Alambrados</t>
  </si>
  <si>
    <t>M1176</t>
  </si>
  <si>
    <t>M0156</t>
  </si>
  <si>
    <t>M0745</t>
  </si>
  <si>
    <t>M1638</t>
  </si>
  <si>
    <t>M1639</t>
  </si>
  <si>
    <t>M1000</t>
  </si>
  <si>
    <t>CPU-EST001</t>
  </si>
  <si>
    <t>Arame liso em aço galvanizado - D = 1,65 mm (16 BWG)</t>
  </si>
  <si>
    <t>Bloco de concreto - L = 19 cm, A = 19 cm e C = 39 cm</t>
  </si>
  <si>
    <t>Grampo em aço galvanizado para cerca - C = 25,4 mm e E = 3,76 mm (1" x 9 BWG)</t>
  </si>
  <si>
    <t>Mourão de madeira - H = 2,10 m e D = 0,10 m</t>
  </si>
  <si>
    <t>Mourão de madeira - H = 2,20 m e D = 0,15 m</t>
  </si>
  <si>
    <t>Tela em aço galvanizado para alambrado - E = 1,64 mm (BWG 16) e malha de 50 mm</t>
  </si>
  <si>
    <t>Casa de Comando</t>
  </si>
  <si>
    <t>CPU-SIS001</t>
  </si>
  <si>
    <t>vb</t>
  </si>
  <si>
    <t>Sistema de Aterramento</t>
  </si>
  <si>
    <t>SPDA</t>
  </si>
  <si>
    <t>Edificação</t>
  </si>
  <si>
    <t>CPU-SIS002</t>
  </si>
  <si>
    <t>CPU-SIS003</t>
  </si>
  <si>
    <t>Aquisição e Montagem do Sistema de Aterramento</t>
  </si>
  <si>
    <t>SPDA - Proteção contra Descargas Atmosféricas</t>
  </si>
  <si>
    <t>SIFÃO CS25</t>
  </si>
  <si>
    <t>ESCADA HIDRÁULICA</t>
  </si>
  <si>
    <t>MEMÓRIA DE CÁLCULO - QUANTITATIVOS DOS CANAIS</t>
  </si>
  <si>
    <t>Extensão:</t>
  </si>
  <si>
    <t>metros</t>
  </si>
  <si>
    <t>Aterro</t>
  </si>
  <si>
    <t>Larg faixa</t>
  </si>
  <si>
    <t>Base</t>
  </si>
  <si>
    <t>Altura</t>
  </si>
  <si>
    <t>Perímetro</t>
  </si>
  <si>
    <t>Área</t>
  </si>
  <si>
    <t>Volume</t>
  </si>
  <si>
    <t>Junta</t>
  </si>
  <si>
    <t>Guia</t>
  </si>
  <si>
    <t>CRITÉRIOS DE QUANTIFICAÇÃO DOS SERVIÇOS</t>
  </si>
  <si>
    <t>ESCADA HIDRÁULICA CS21a</t>
  </si>
  <si>
    <t>Grama</t>
  </si>
  <si>
    <t>FICHA TÉCNICA DOS CANAIS</t>
  </si>
  <si>
    <t>SEGMENTO</t>
  </si>
  <si>
    <t>EXTENSÃO</t>
  </si>
  <si>
    <t>BASE</t>
  </si>
  <si>
    <t>ALTURA</t>
  </si>
  <si>
    <t>REVESTIMENTO MANTA</t>
  </si>
  <si>
    <t>CONCRETO REVESTIMENTO</t>
  </si>
  <si>
    <t>TOTAL</t>
  </si>
  <si>
    <t>TERRAPLENAGEM:</t>
  </si>
  <si>
    <t>Calculado nos desenhos de projeto</t>
  </si>
  <si>
    <t>Taludes 1:1,5</t>
  </si>
  <si>
    <t>L talude</t>
  </si>
  <si>
    <t>base (1,5)</t>
  </si>
  <si>
    <r>
      <t xml:space="preserve">L talude = </t>
    </r>
    <r>
      <rPr>
        <sz val="11"/>
        <color theme="1"/>
        <rFont val="Aptos Narrow"/>
        <family val="2"/>
      </rPr>
      <t>√</t>
    </r>
    <r>
      <rPr>
        <sz val="11"/>
        <color theme="1"/>
        <rFont val="Aptos Narrow"/>
        <family val="2"/>
        <scheme val="minor"/>
      </rPr>
      <t>(1,5² + 1,0²) = 1,8028</t>
    </r>
  </si>
  <si>
    <t>Perímetro = base + 2X L talude + 0,40 (ancoragem)</t>
  </si>
  <si>
    <t>altura      (1,0)</t>
  </si>
  <si>
    <t>REVESTIMENTO (Geocomposto + Geomembrana):</t>
  </si>
  <si>
    <t>CONCRETO:</t>
  </si>
  <si>
    <t>JUNTAS:</t>
  </si>
  <si>
    <r>
      <t xml:space="preserve">Perímetro X Comprimento do canal </t>
    </r>
    <r>
      <rPr>
        <sz val="11"/>
        <color theme="1"/>
        <rFont val="Aptos Narrow"/>
        <family val="2"/>
      </rPr>
      <t>÷ 2</t>
    </r>
    <r>
      <rPr>
        <sz val="11"/>
        <color theme="1"/>
        <rFont val="Aptos Narrow"/>
        <family val="2"/>
        <scheme val="minor"/>
      </rPr>
      <t xml:space="preserve"> (junta a cada 2,00 metros)</t>
    </r>
  </si>
  <si>
    <t>GUIAS:</t>
  </si>
  <si>
    <t>Extensão X 2 (margens)</t>
  </si>
  <si>
    <t>GRAMA:</t>
  </si>
  <si>
    <t>DESMATAMENTO:</t>
  </si>
  <si>
    <t>Extensão X 40 metros (faixa de domínio)</t>
  </si>
  <si>
    <t>Extensão X 12 metros (faixa de domínio - largura canal com pistas laterais)</t>
  </si>
  <si>
    <t>Quantitativo</t>
  </si>
  <si>
    <t>Reaterro</t>
  </si>
  <si>
    <t>Manta</t>
  </si>
  <si>
    <t>Tubo</t>
  </si>
  <si>
    <t>Brita</t>
  </si>
  <si>
    <t>VALA 1,20 x 0,70 m</t>
  </si>
  <si>
    <t>TUBO PERFURADO 40 cm</t>
  </si>
  <si>
    <t>ESCAVAÇÃO = extensão X 1,20 x 0,70</t>
  </si>
  <si>
    <r>
      <t>BRITA = extensão x 0,60 x 0,60 - (</t>
    </r>
    <r>
      <rPr>
        <sz val="11"/>
        <color theme="1"/>
        <rFont val="Aptos Narrow"/>
        <family val="2"/>
      </rPr>
      <t>π x 0,40² ÷ 4)</t>
    </r>
  </si>
  <si>
    <t xml:space="preserve">MANTA = extensão x 0,60 x 4 </t>
  </si>
  <si>
    <t>CAMADA DE AREIA = extensão x 1,20 x 0,10</t>
  </si>
  <si>
    <t>Areia</t>
  </si>
  <si>
    <t>REATERRO = ESCAVAÇÃO - (extensão x 0,60 X 0,60)</t>
  </si>
  <si>
    <t>Desmatamento</t>
  </si>
  <si>
    <t>Escavavação</t>
  </si>
  <si>
    <t>Transporte</t>
  </si>
  <si>
    <t>Geocomposto</t>
  </si>
  <si>
    <t>Geomembrana</t>
  </si>
  <si>
    <t>Lançamento</t>
  </si>
  <si>
    <t>Extensão</t>
  </si>
  <si>
    <t>Comprimento</t>
  </si>
  <si>
    <t>Escavação</t>
  </si>
  <si>
    <t>Valeta</t>
  </si>
  <si>
    <t>Sarjeta</t>
  </si>
  <si>
    <t>Bueiro</t>
  </si>
  <si>
    <t>Boca</t>
  </si>
  <si>
    <t>Regularização</t>
  </si>
  <si>
    <t>Revestimento</t>
  </si>
  <si>
    <t>Cercas</t>
  </si>
  <si>
    <t>PLANILHA RESUMO DO ORÇAMENTO</t>
  </si>
  <si>
    <t>C</t>
  </si>
  <si>
    <t>C1</t>
  </si>
  <si>
    <t>INSTALAÇÕES</t>
  </si>
  <si>
    <t>C2</t>
  </si>
  <si>
    <t>Canal: CS19</t>
  </si>
  <si>
    <t>Canal: CT1-CS19</t>
  </si>
  <si>
    <t>Canal: CS21a</t>
  </si>
  <si>
    <t>Canal: CP3</t>
  </si>
  <si>
    <t>Canal: CP3a</t>
  </si>
  <si>
    <t>Canal: CP3b</t>
  </si>
  <si>
    <t>Canal: CS25</t>
  </si>
  <si>
    <t>FICHA TÉCNICA DAS ESTRUTURAS DE CONTROLE</t>
  </si>
  <si>
    <t>COTA BERMA</t>
  </si>
  <si>
    <t>COTA FUNDO</t>
  </si>
  <si>
    <t>h = altura</t>
  </si>
  <si>
    <t>b = base</t>
  </si>
  <si>
    <t>L = extensão</t>
  </si>
  <si>
    <t>L X (b + 20,00)</t>
  </si>
  <si>
    <t>ESCAVAÇÃO:</t>
  </si>
  <si>
    <t>L X (b + 5,00) X h</t>
  </si>
  <si>
    <t>BOTAFORA</t>
  </si>
  <si>
    <t>L X b X h</t>
  </si>
  <si>
    <t>ATERRO:</t>
  </si>
  <si>
    <t>ESCAVAÇÃO - BOTAFORA</t>
  </si>
  <si>
    <t>(b + 3Xh) X 0,30 X L</t>
  </si>
  <si>
    <t>(b + 3Xh) X 2 X L</t>
  </si>
  <si>
    <t>AÇO CA-50:</t>
  </si>
  <si>
    <t>FORMAS:</t>
  </si>
  <si>
    <t>120 kg/m³ X CONCRETO</t>
  </si>
  <si>
    <t>GUARDA-CORPO:</t>
  </si>
  <si>
    <t>b X 4</t>
  </si>
  <si>
    <t>MEMÓRIA DE CÁLCULO - QUANTITATIVOS DAS ESTRUTURAS DE CONTROLE</t>
  </si>
  <si>
    <t>ALAMBRADOS</t>
  </si>
  <si>
    <t>Formas</t>
  </si>
  <si>
    <t>Armação</t>
  </si>
  <si>
    <t>Guarda-corpo</t>
  </si>
  <si>
    <t>Alambrado</t>
  </si>
  <si>
    <t>Peso</t>
  </si>
  <si>
    <t>L X 2 X 2,20 (h)</t>
  </si>
  <si>
    <t>%</t>
  </si>
  <si>
    <t>ESTAÇÃO DE RECALQUE ER1</t>
  </si>
  <si>
    <t>ESTAÇÃO DE RECALQUE</t>
  </si>
  <si>
    <t>1.2.1</t>
  </si>
  <si>
    <t>1.2.2</t>
  </si>
  <si>
    <t>1.2.3</t>
  </si>
  <si>
    <t>1.2.4</t>
  </si>
  <si>
    <t>1.2.5</t>
  </si>
  <si>
    <t>SERVIÇOS COMPLEMENTARES</t>
  </si>
  <si>
    <t>1.1.1.1</t>
  </si>
  <si>
    <t>1.1.1.2</t>
  </si>
  <si>
    <t>1.1.1.3</t>
  </si>
  <si>
    <t>1.1.1.4</t>
  </si>
  <si>
    <t>1.1.1.5</t>
  </si>
  <si>
    <t>1.1.1.6</t>
  </si>
  <si>
    <t>1.1.1.7</t>
  </si>
  <si>
    <t>1.1.1.8</t>
  </si>
  <si>
    <t>1.1.1.9</t>
  </si>
  <si>
    <t>1.1.1.10</t>
  </si>
  <si>
    <t>1.1.1.11</t>
  </si>
  <si>
    <t>1.1.2.1</t>
  </si>
  <si>
    <t>1.1.2.2</t>
  </si>
  <si>
    <t>1.1.2.3</t>
  </si>
  <si>
    <t>1.1.2.4</t>
  </si>
  <si>
    <t>1.1.2.5</t>
  </si>
  <si>
    <t>1.1.2.6</t>
  </si>
  <si>
    <t>1.1.2.7</t>
  </si>
  <si>
    <t>1.1.3.1</t>
  </si>
  <si>
    <t>1.1.3.2</t>
  </si>
  <si>
    <t>1.1.3.3</t>
  </si>
  <si>
    <t>1.1.3.4</t>
  </si>
  <si>
    <t>1.1.4.1</t>
  </si>
  <si>
    <t>1.1.4.2</t>
  </si>
  <si>
    <t>1.1.4.5</t>
  </si>
  <si>
    <t>1.1.4.3</t>
  </si>
  <si>
    <t>1.1.4.4</t>
  </si>
  <si>
    <t>1.1.5.1</t>
  </si>
  <si>
    <t>1.2.1.1</t>
  </si>
  <si>
    <t>1.2.1.2</t>
  </si>
  <si>
    <t>1.2.1.3</t>
  </si>
  <si>
    <t>1.2.1.4</t>
  </si>
  <si>
    <t>1.2.1.5</t>
  </si>
  <si>
    <t>1.2.1.6</t>
  </si>
  <si>
    <t>1.2.1.7</t>
  </si>
  <si>
    <t>1.2.1.8</t>
  </si>
  <si>
    <t>1.2.1.9</t>
  </si>
  <si>
    <t>1.2.1.10</t>
  </si>
  <si>
    <t>1.2.1.11</t>
  </si>
  <si>
    <t>1.2.2.1</t>
  </si>
  <si>
    <t>1.2.2.2</t>
  </si>
  <si>
    <t>1.2.2.3</t>
  </si>
  <si>
    <t>1.2.2.4</t>
  </si>
  <si>
    <t>1.2.2.5</t>
  </si>
  <si>
    <t>1.2.2.6</t>
  </si>
  <si>
    <t>1.2.2.7</t>
  </si>
  <si>
    <t>1.2.3.1</t>
  </si>
  <si>
    <t>1.2.3.2</t>
  </si>
  <si>
    <t>1.2.3.3</t>
  </si>
  <si>
    <t>1.2.3.4</t>
  </si>
  <si>
    <t>1.2.4.1</t>
  </si>
  <si>
    <t>1.2.4.2</t>
  </si>
  <si>
    <t>1.2.4.5</t>
  </si>
  <si>
    <t>1.2.4.3</t>
  </si>
  <si>
    <t>1.2.4.4</t>
  </si>
  <si>
    <t>1.2.5.1</t>
  </si>
  <si>
    <t>1.3.1</t>
  </si>
  <si>
    <t>1.3.1.1</t>
  </si>
  <si>
    <t>1.3.1.2</t>
  </si>
  <si>
    <t>1.3.1.3</t>
  </si>
  <si>
    <t>1.3.1.4</t>
  </si>
  <si>
    <t>1.3.1.5</t>
  </si>
  <si>
    <t>1.3.1.6</t>
  </si>
  <si>
    <t>1.3.1.7</t>
  </si>
  <si>
    <t>1.3.1.8</t>
  </si>
  <si>
    <t>1.3.1.9</t>
  </si>
  <si>
    <t>1.3.1.10</t>
  </si>
  <si>
    <t>1.3.1.11</t>
  </si>
  <si>
    <t>1.3.2</t>
  </si>
  <si>
    <t>1.3.2.1</t>
  </si>
  <si>
    <t>1.3.2.2</t>
  </si>
  <si>
    <t>1.3.2.3</t>
  </si>
  <si>
    <t>1.3.2.4</t>
  </si>
  <si>
    <t>1.3.2.5</t>
  </si>
  <si>
    <t>1.3.2.6</t>
  </si>
  <si>
    <t>1.3.2.7</t>
  </si>
  <si>
    <t>1.3.3</t>
  </si>
  <si>
    <t>1.3.3.1</t>
  </si>
  <si>
    <t>1.3.3.2</t>
  </si>
  <si>
    <t>1.3.3.3</t>
  </si>
  <si>
    <t>1.3.3.4</t>
  </si>
  <si>
    <t>1.3.4</t>
  </si>
  <si>
    <t>1.3.4.1</t>
  </si>
  <si>
    <t>1.3.4.2</t>
  </si>
  <si>
    <t>1.3.4.3</t>
  </si>
  <si>
    <t>1.3.4.4</t>
  </si>
  <si>
    <t>1.3.4.5</t>
  </si>
  <si>
    <t>1.3.5</t>
  </si>
  <si>
    <t>1.3.5.1</t>
  </si>
  <si>
    <t>1.4.1</t>
  </si>
  <si>
    <t>1.4.1.1</t>
  </si>
  <si>
    <t>1.4.1.2</t>
  </si>
  <si>
    <t>1.4.1.3</t>
  </si>
  <si>
    <t>1.4.1.4</t>
  </si>
  <si>
    <t>1.4.1.5</t>
  </si>
  <si>
    <t>1.4.1.6</t>
  </si>
  <si>
    <t>1.4.1.7</t>
  </si>
  <si>
    <t>1.4.1.8</t>
  </si>
  <si>
    <t>1.4.1.9</t>
  </si>
  <si>
    <t>1.4.1.10</t>
  </si>
  <si>
    <t>1.4.1.11</t>
  </si>
  <si>
    <t>1.4.2</t>
  </si>
  <si>
    <t>1.4.2.1</t>
  </si>
  <si>
    <t>1.4.2.2</t>
  </si>
  <si>
    <t>1.4.2.3</t>
  </si>
  <si>
    <t>1.4.2.4</t>
  </si>
  <si>
    <t>1.4.2.5</t>
  </si>
  <si>
    <t>1.4.2.6</t>
  </si>
  <si>
    <t>1.4.2.7</t>
  </si>
  <si>
    <t>1.4.3</t>
  </si>
  <si>
    <t>1.4.3.1</t>
  </si>
  <si>
    <t>1.4.3.2</t>
  </si>
  <si>
    <t>1.4.3.3</t>
  </si>
  <si>
    <t>1.4.3.4</t>
  </si>
  <si>
    <t>1.4.4</t>
  </si>
  <si>
    <t>1.4.4.1</t>
  </si>
  <si>
    <t>1.4.4.2</t>
  </si>
  <si>
    <t>1.4.4.3</t>
  </si>
  <si>
    <t>1.4.4.4</t>
  </si>
  <si>
    <t>1.4.4.5</t>
  </si>
  <si>
    <t>1.4.5</t>
  </si>
  <si>
    <t>1.4.5.1</t>
  </si>
  <si>
    <t>1.5.1</t>
  </si>
  <si>
    <t>1.5.1.1</t>
  </si>
  <si>
    <t>1.5.1.2</t>
  </si>
  <si>
    <t>1.5.1.3</t>
  </si>
  <si>
    <t>1.5.1.4</t>
  </si>
  <si>
    <t>1.5.1.5</t>
  </si>
  <si>
    <t>1.5.1.6</t>
  </si>
  <si>
    <t>1.5.1.7</t>
  </si>
  <si>
    <t>1.5.1.8</t>
  </si>
  <si>
    <t>1.5.1.9</t>
  </si>
  <si>
    <t>1.5.1.10</t>
  </si>
  <si>
    <t>1.5.1.11</t>
  </si>
  <si>
    <t>1.5.2</t>
  </si>
  <si>
    <t>1.5.2.1</t>
  </si>
  <si>
    <t>1.5.2.2</t>
  </si>
  <si>
    <t>1.5.2.3</t>
  </si>
  <si>
    <t>1.5.2.4</t>
  </si>
  <si>
    <t>1.5.2.5</t>
  </si>
  <si>
    <t>1.5.2.6</t>
  </si>
  <si>
    <t>1.5.2.7</t>
  </si>
  <si>
    <t>1.5.3</t>
  </si>
  <si>
    <t>1.5.3.1</t>
  </si>
  <si>
    <t>1.5.3.2</t>
  </si>
  <si>
    <t>1.5.3.3</t>
  </si>
  <si>
    <t>1.5.3.4</t>
  </si>
  <si>
    <t>1.5.4</t>
  </si>
  <si>
    <t>1.5.4.1</t>
  </si>
  <si>
    <t>1.5.4.2</t>
  </si>
  <si>
    <t>1.5.4.3</t>
  </si>
  <si>
    <t>1.5.4.4</t>
  </si>
  <si>
    <t>1.5.4.5</t>
  </si>
  <si>
    <t>1.5.5</t>
  </si>
  <si>
    <t>1.5.5.1</t>
  </si>
  <si>
    <t>1.6.1</t>
  </si>
  <si>
    <t>1.6.1.1</t>
  </si>
  <si>
    <t>1.6.1.2</t>
  </si>
  <si>
    <t>1.6.1.3</t>
  </si>
  <si>
    <t>1.6.1.4</t>
  </si>
  <si>
    <t>1.6.1.5</t>
  </si>
  <si>
    <t>1.6.1.6</t>
  </si>
  <si>
    <t>1.6.1.7</t>
  </si>
  <si>
    <t>1.6.1.8</t>
  </si>
  <si>
    <t>1.6.1.9</t>
  </si>
  <si>
    <t>1.6.1.10</t>
  </si>
  <si>
    <t>1.6.1.11</t>
  </si>
  <si>
    <t>1.6.2</t>
  </si>
  <si>
    <t>1.6.2.1</t>
  </si>
  <si>
    <t>1.6.2.2</t>
  </si>
  <si>
    <t>1.6.2.3</t>
  </si>
  <si>
    <t>1.6.2.4</t>
  </si>
  <si>
    <t>1.6.2.5</t>
  </si>
  <si>
    <t>1.6.2.6</t>
  </si>
  <si>
    <t>1.6.2.7</t>
  </si>
  <si>
    <t>1.6.3</t>
  </si>
  <si>
    <t>1.6.3.1</t>
  </si>
  <si>
    <t>1.6.3.2</t>
  </si>
  <si>
    <t>1.6.3.3</t>
  </si>
  <si>
    <t>1.6.3.4</t>
  </si>
  <si>
    <t>1.6.4</t>
  </si>
  <si>
    <t>1.6.4.1</t>
  </si>
  <si>
    <t>1.6.4.2</t>
  </si>
  <si>
    <t>1.6.4.3</t>
  </si>
  <si>
    <t>1.6.4.4</t>
  </si>
  <si>
    <t>1.6.4.5</t>
  </si>
  <si>
    <t>1.6.5</t>
  </si>
  <si>
    <t>1.6.5.1</t>
  </si>
  <si>
    <t>1.7.1</t>
  </si>
  <si>
    <t>1.7.1.1</t>
  </si>
  <si>
    <t>1.7.1.2</t>
  </si>
  <si>
    <t>1.7.1.3</t>
  </si>
  <si>
    <t>1.7.1.4</t>
  </si>
  <si>
    <t>1.7.1.5</t>
  </si>
  <si>
    <t>1.7.1.6</t>
  </si>
  <si>
    <t>1.7.1.7</t>
  </si>
  <si>
    <t>1.7.1.8</t>
  </si>
  <si>
    <t>1.7.1.9</t>
  </si>
  <si>
    <t>1.7.1.10</t>
  </si>
  <si>
    <t>1.7.1.11</t>
  </si>
  <si>
    <t>1.7.2</t>
  </si>
  <si>
    <t>1.7.2.1</t>
  </si>
  <si>
    <t>1.7.2.2</t>
  </si>
  <si>
    <t>1.7.2.3</t>
  </si>
  <si>
    <t>1.7.2.4</t>
  </si>
  <si>
    <t>1.7.2.5</t>
  </si>
  <si>
    <t>1.7.2.6</t>
  </si>
  <si>
    <t>1.7.2.7</t>
  </si>
  <si>
    <t>1.7.3</t>
  </si>
  <si>
    <t>1.7.3.1</t>
  </si>
  <si>
    <t>1.7.3.2</t>
  </si>
  <si>
    <t>1.7.3.3</t>
  </si>
  <si>
    <t>1.7.3.4</t>
  </si>
  <si>
    <t>1.7.4</t>
  </si>
  <si>
    <t>1.7.4.1</t>
  </si>
  <si>
    <t>1.7.4.2</t>
  </si>
  <si>
    <t>1.7.4.3</t>
  </si>
  <si>
    <t>1.7.4.4</t>
  </si>
  <si>
    <t>1.7.4.5</t>
  </si>
  <si>
    <t>1.7.5</t>
  </si>
  <si>
    <t>1.7.5.1</t>
  </si>
  <si>
    <t>1.8.1</t>
  </si>
  <si>
    <t>1.8.1.1</t>
  </si>
  <si>
    <t>1.8.1.2</t>
  </si>
  <si>
    <t>1.8.1.3</t>
  </si>
  <si>
    <t>1.8.1.4</t>
  </si>
  <si>
    <t>1.8.1.5</t>
  </si>
  <si>
    <t>1.8.1.6</t>
  </si>
  <si>
    <t>1.8.1.7</t>
  </si>
  <si>
    <t>1.8.1.8</t>
  </si>
  <si>
    <t>1.8.1.9</t>
  </si>
  <si>
    <t>1.8.1.10</t>
  </si>
  <si>
    <t>1.8.1.11</t>
  </si>
  <si>
    <t>1.8.2</t>
  </si>
  <si>
    <t>1.8.2.1</t>
  </si>
  <si>
    <t>1.8.2.2</t>
  </si>
  <si>
    <t>1.8.2.3</t>
  </si>
  <si>
    <t>1.8.2.4</t>
  </si>
  <si>
    <t>1.8.2.5</t>
  </si>
  <si>
    <t>1.8.2.6</t>
  </si>
  <si>
    <t>1.8.2.7</t>
  </si>
  <si>
    <t>1.8.3</t>
  </si>
  <si>
    <t>1.8.3.1</t>
  </si>
  <si>
    <t>1.8.3.2</t>
  </si>
  <si>
    <t>1.8.3.3</t>
  </si>
  <si>
    <t>1.8.3.4</t>
  </si>
  <si>
    <t>1.8.4</t>
  </si>
  <si>
    <t>1.8.4.1</t>
  </si>
  <si>
    <t>1.8.4.2</t>
  </si>
  <si>
    <t>1.8.4.3</t>
  </si>
  <si>
    <t>1.8.4.4</t>
  </si>
  <si>
    <t>1.8.4.5</t>
  </si>
  <si>
    <t>1.8.5</t>
  </si>
  <si>
    <t>1.8.5.1</t>
  </si>
  <si>
    <t>1.9.1</t>
  </si>
  <si>
    <t>1.9.1.1</t>
  </si>
  <si>
    <t>1.9.1.2</t>
  </si>
  <si>
    <t>1.9.1.3</t>
  </si>
  <si>
    <t>1.9.1.4</t>
  </si>
  <si>
    <t>1.9.1.5</t>
  </si>
  <si>
    <t>1.9.1.6</t>
  </si>
  <si>
    <t>1.9.1.7</t>
  </si>
  <si>
    <t>1.9.1.8</t>
  </si>
  <si>
    <t>1.9.1.9</t>
  </si>
  <si>
    <t>1.9.1.10</t>
  </si>
  <si>
    <t>1.9.1.11</t>
  </si>
  <si>
    <t>1.9.2</t>
  </si>
  <si>
    <t>1.9.2.1</t>
  </si>
  <si>
    <t>1.9.2.2</t>
  </si>
  <si>
    <t>1.9.2.3</t>
  </si>
  <si>
    <t>1.9.2.4</t>
  </si>
  <si>
    <t>1.9.2.5</t>
  </si>
  <si>
    <t>1.9.2.6</t>
  </si>
  <si>
    <t>1.9.2.7</t>
  </si>
  <si>
    <t>1.9.3</t>
  </si>
  <si>
    <t>1.9.3.1</t>
  </si>
  <si>
    <t>1.9.3.2</t>
  </si>
  <si>
    <t>1.9.3.3</t>
  </si>
  <si>
    <t>1.9.3.4</t>
  </si>
  <si>
    <t>1.9.4</t>
  </si>
  <si>
    <t>1.9.4.1</t>
  </si>
  <si>
    <t>1.9.4.2</t>
  </si>
  <si>
    <t>1.9.4.3</t>
  </si>
  <si>
    <t>1.9.4.4</t>
  </si>
  <si>
    <t>1.9.4.5</t>
  </si>
  <si>
    <t>1.9.5</t>
  </si>
  <si>
    <t>1.9.5.1</t>
  </si>
  <si>
    <t>1.10.1</t>
  </si>
  <si>
    <t>1.10.1.1</t>
  </si>
  <si>
    <t>1.10.1.2</t>
  </si>
  <si>
    <t>1.10.1.3</t>
  </si>
  <si>
    <t>1.10.1.4</t>
  </si>
  <si>
    <t>1.10.1.5</t>
  </si>
  <si>
    <t>1.10.1.6</t>
  </si>
  <si>
    <t>1.10.1.7</t>
  </si>
  <si>
    <t>1.10.1.8</t>
  </si>
  <si>
    <t>1.10.1.9</t>
  </si>
  <si>
    <t>1.10.1.10</t>
  </si>
  <si>
    <t>1.10.1.11</t>
  </si>
  <si>
    <t>1.10.2</t>
  </si>
  <si>
    <t>1.10.2.1</t>
  </si>
  <si>
    <t>1.10.2.2</t>
  </si>
  <si>
    <t>1.10.2.3</t>
  </si>
  <si>
    <t>1.10.2.4</t>
  </si>
  <si>
    <t>1.10.2.5</t>
  </si>
  <si>
    <t>1.10.2.6</t>
  </si>
  <si>
    <t>1.10.2.7</t>
  </si>
  <si>
    <t>1.10.3</t>
  </si>
  <si>
    <t>1.10.3.1</t>
  </si>
  <si>
    <t>1.10.3.2</t>
  </si>
  <si>
    <t>1.10.3.3</t>
  </si>
  <si>
    <t>1.10.3.4</t>
  </si>
  <si>
    <t>1.10.4</t>
  </si>
  <si>
    <t>1.10.4.1</t>
  </si>
  <si>
    <t>1.10.4.2</t>
  </si>
  <si>
    <t>1.10.4.3</t>
  </si>
  <si>
    <t>1.10.4.4</t>
  </si>
  <si>
    <t>1.10.4.5</t>
  </si>
  <si>
    <t>1.10.5</t>
  </si>
  <si>
    <t>1.10.5.1</t>
  </si>
  <si>
    <t>1.11.1</t>
  </si>
  <si>
    <t>1.11.1.1</t>
  </si>
  <si>
    <t>1.11.1.2</t>
  </si>
  <si>
    <t>1.11.1.3</t>
  </si>
  <si>
    <t>1.11.1.4</t>
  </si>
  <si>
    <t>1.11.1.5</t>
  </si>
  <si>
    <t>1.11.1.6</t>
  </si>
  <si>
    <t>1.11.1.7</t>
  </si>
  <si>
    <t>1.11.1.8</t>
  </si>
  <si>
    <t>1.11.1.9</t>
  </si>
  <si>
    <t>1.11.1.11</t>
  </si>
  <si>
    <t>1.11.2</t>
  </si>
  <si>
    <t>1.11.2.1</t>
  </si>
  <si>
    <t>1.11.2.2</t>
  </si>
  <si>
    <t>1.11.2.3</t>
  </si>
  <si>
    <t>1.11.2.4</t>
  </si>
  <si>
    <t>1.11.2.5</t>
  </si>
  <si>
    <t>1.11.2.6</t>
  </si>
  <si>
    <t>1.11.2.7</t>
  </si>
  <si>
    <t>1.11.3</t>
  </si>
  <si>
    <t>1.11.3.1</t>
  </si>
  <si>
    <t>1.11.3.2</t>
  </si>
  <si>
    <t>1.11.3.3</t>
  </si>
  <si>
    <t>1.11.3.4</t>
  </si>
  <si>
    <t>1.11.4</t>
  </si>
  <si>
    <t>1.11.4.1</t>
  </si>
  <si>
    <t>1.11.4.2</t>
  </si>
  <si>
    <t>1.11.4.3</t>
  </si>
  <si>
    <t>1.11.4.4</t>
  </si>
  <si>
    <t>1.11.4.5</t>
  </si>
  <si>
    <t>1.11.5</t>
  </si>
  <si>
    <t>1.11.5.1</t>
  </si>
  <si>
    <t>1.12.1</t>
  </si>
  <si>
    <t>1.12.1.1</t>
  </si>
  <si>
    <t>1.12.1.2</t>
  </si>
  <si>
    <t>1.12.1.3</t>
  </si>
  <si>
    <t>1.12.1.4</t>
  </si>
  <si>
    <t>1.12.1.5</t>
  </si>
  <si>
    <t>1.12.1.6</t>
  </si>
  <si>
    <t>1.12.1.7</t>
  </si>
  <si>
    <t>1.12.1.8</t>
  </si>
  <si>
    <t>1.12.1.9</t>
  </si>
  <si>
    <t>1.12.1.11</t>
  </si>
  <si>
    <t>1.12.2</t>
  </si>
  <si>
    <t>1.12.2.1</t>
  </si>
  <si>
    <t>1.12.2.2</t>
  </si>
  <si>
    <t>1.12.2.3</t>
  </si>
  <si>
    <t>1.12.2.4</t>
  </si>
  <si>
    <t>1.12.2.5</t>
  </si>
  <si>
    <t>1.12.2.6</t>
  </si>
  <si>
    <t>1.12.2.7</t>
  </si>
  <si>
    <t>1.12.3</t>
  </si>
  <si>
    <t>1.12.3.1</t>
  </si>
  <si>
    <t>1.12.3.2</t>
  </si>
  <si>
    <t>1.12.3.3</t>
  </si>
  <si>
    <t>1.12.3.4</t>
  </si>
  <si>
    <t>1.12.4</t>
  </si>
  <si>
    <t>1.12.4.1</t>
  </si>
  <si>
    <t>1.12.4.2</t>
  </si>
  <si>
    <t>1.12.4.3</t>
  </si>
  <si>
    <t>1.12.4.4</t>
  </si>
  <si>
    <t>1.12.4.5</t>
  </si>
  <si>
    <t>1.12.5</t>
  </si>
  <si>
    <t>1.12.5.1</t>
  </si>
  <si>
    <t>1.13.1</t>
  </si>
  <si>
    <t>1.13.1.1</t>
  </si>
  <si>
    <t>1.13.1.2</t>
  </si>
  <si>
    <t>1.13.1.3</t>
  </si>
  <si>
    <t>1.13.1.4</t>
  </si>
  <si>
    <t>1.13.1.5</t>
  </si>
  <si>
    <t>1.13.1.6</t>
  </si>
  <si>
    <t>1.13.1.7</t>
  </si>
  <si>
    <t>1.13.1.8</t>
  </si>
  <si>
    <t>1.13.1.9</t>
  </si>
  <si>
    <t>1.13.1.11</t>
  </si>
  <si>
    <t>1.13.2</t>
  </si>
  <si>
    <t>1.13.2.1</t>
  </si>
  <si>
    <t>1.13.2.2</t>
  </si>
  <si>
    <t>1.13.2.3</t>
  </si>
  <si>
    <t>1.13.2.4</t>
  </si>
  <si>
    <t>1.13.2.5</t>
  </si>
  <si>
    <t>1.13.2.6</t>
  </si>
  <si>
    <t>1.13.2.7</t>
  </si>
  <si>
    <t>1.13.3</t>
  </si>
  <si>
    <t>1.13.3.1</t>
  </si>
  <si>
    <t>1.13.3.2</t>
  </si>
  <si>
    <t>1.13.3.3</t>
  </si>
  <si>
    <t>1.13.3.4</t>
  </si>
  <si>
    <t>1.13.4</t>
  </si>
  <si>
    <t>1.13.4.1</t>
  </si>
  <si>
    <t>1.13.4.2</t>
  </si>
  <si>
    <t>1.13.4.3</t>
  </si>
  <si>
    <t>1.13.4.4</t>
  </si>
  <si>
    <t>1.13.4.5</t>
  </si>
  <si>
    <t>1.13.5</t>
  </si>
  <si>
    <t>1.13.5.1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</si>
  <si>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</si>
  <si>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</si>
  <si>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</si>
  <si>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</si>
  <si>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</si>
  <si>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</si>
  <si>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</si>
  <si>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</si>
  <si>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</si>
  <si>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</si>
  <si>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</si>
  <si>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</si>
  <si>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</si>
  <si>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</si>
  <si>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</si>
  <si>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</si>
  <si>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</si>
  <si>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</si>
  <si>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</si>
  <si>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</si>
  <si>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</si>
  <si>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</si>
  <si>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</si>
  <si>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</si>
  <si>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</si>
  <si>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</si>
  <si>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2.3.1</t>
  </si>
  <si>
    <t>2.3.2</t>
  </si>
  <si>
    <t>2.3.3</t>
  </si>
  <si>
    <t>2.3.4</t>
  </si>
  <si>
    <t>2.3.5</t>
  </si>
  <si>
    <t>2.3.6</t>
  </si>
  <si>
    <t>2.3.7</t>
  </si>
  <si>
    <t>2.3.8</t>
  </si>
  <si>
    <t>2.3.9</t>
  </si>
  <si>
    <t>2.3.10</t>
  </si>
  <si>
    <t>2.3.11</t>
  </si>
  <si>
    <t>2.3.12</t>
  </si>
  <si>
    <t>2.3.13</t>
  </si>
  <si>
    <t>2.4.1</t>
  </si>
  <si>
    <t>2.4.2</t>
  </si>
  <si>
    <t>2.4.3</t>
  </si>
  <si>
    <t>2.4.4</t>
  </si>
  <si>
    <t>2.4.5</t>
  </si>
  <si>
    <t>2.4.6</t>
  </si>
  <si>
    <t>2.4.7</t>
  </si>
  <si>
    <t>2.4.8</t>
  </si>
  <si>
    <t>2.4.9</t>
  </si>
  <si>
    <t>2.4.10</t>
  </si>
  <si>
    <t>2.4.11</t>
  </si>
  <si>
    <t>2.4.12</t>
  </si>
  <si>
    <t>2.4.13</t>
  </si>
  <si>
    <t>2.6.1</t>
  </si>
  <si>
    <t>2.6.2</t>
  </si>
  <si>
    <t>2.6.3</t>
  </si>
  <si>
    <t>2.6.4</t>
  </si>
  <si>
    <t>2.6.5</t>
  </si>
  <si>
    <t>2.6.6</t>
  </si>
  <si>
    <t>2.6.7</t>
  </si>
  <si>
    <t>2.6.8</t>
  </si>
  <si>
    <t>2.6.9</t>
  </si>
  <si>
    <t>2.6.10</t>
  </si>
  <si>
    <t>2.6.11</t>
  </si>
  <si>
    <t>2.6.12</t>
  </si>
  <si>
    <t>2.6.13</t>
  </si>
  <si>
    <t>2.7.1</t>
  </si>
  <si>
    <t>2.7.2</t>
  </si>
  <si>
    <t>2.7.3</t>
  </si>
  <si>
    <t>2.7.4</t>
  </si>
  <si>
    <t>2.7.5</t>
  </si>
  <si>
    <t>2.7.6</t>
  </si>
  <si>
    <t>2.7.7</t>
  </si>
  <si>
    <t>2.7.8</t>
  </si>
  <si>
    <t>2.7.9</t>
  </si>
  <si>
    <t>2.7.10</t>
  </si>
  <si>
    <t>2.7.11</t>
  </si>
  <si>
    <t>2.7.12</t>
  </si>
  <si>
    <t>2.7.13</t>
  </si>
  <si>
    <t>2.8.1</t>
  </si>
  <si>
    <t>2.8.2</t>
  </si>
  <si>
    <t>2.8.3</t>
  </si>
  <si>
    <t>2.8.4</t>
  </si>
  <si>
    <t>2.8.5</t>
  </si>
  <si>
    <t>2.8.6</t>
  </si>
  <si>
    <t>2.8.7</t>
  </si>
  <si>
    <t>2.8.8</t>
  </si>
  <si>
    <t>2.8.9</t>
  </si>
  <si>
    <t>2.8.10</t>
  </si>
  <si>
    <t>2.8.11</t>
  </si>
  <si>
    <t>2.8.12</t>
  </si>
  <si>
    <t>2.8.13</t>
  </si>
  <si>
    <t>2.9.1</t>
  </si>
  <si>
    <t>2.9.2</t>
  </si>
  <si>
    <t>2.9.3</t>
  </si>
  <si>
    <t>2.9.4</t>
  </si>
  <si>
    <t>2.9.5</t>
  </si>
  <si>
    <t>2.9.6</t>
  </si>
  <si>
    <t>2.9.7</t>
  </si>
  <si>
    <t>2.9.8</t>
  </si>
  <si>
    <t>2.9.9</t>
  </si>
  <si>
    <t>2.9.10</t>
  </si>
  <si>
    <t>2.9.11</t>
  </si>
  <si>
    <t>2.9.12</t>
  </si>
  <si>
    <t>2.9.13</t>
  </si>
  <si>
    <t>COMPORTAS</t>
  </si>
  <si>
    <t>Comporta tipo Segmento - EC2 - CS19</t>
  </si>
  <si>
    <t>Comporta tipo Segmento - EC3 - CS19</t>
  </si>
  <si>
    <t>Comporta tipo Segmento - EC4 - CS19</t>
  </si>
  <si>
    <t>Comporta tipo Segmento - EC5 - CS19</t>
  </si>
  <si>
    <t>Comporta tipo Segmento - EC6 - CT1-S19</t>
  </si>
  <si>
    <t>Comporta tipo Segmento - EC2 - CS21a</t>
  </si>
  <si>
    <t>Comporta tipo Segmento - EC3 - CS21a</t>
  </si>
  <si>
    <t>Comporta tipo Segmento - EC4 - CS21a</t>
  </si>
  <si>
    <t>Comporta tipo Segmento - EC5 - CS21a</t>
  </si>
  <si>
    <t>CPU-CPT001</t>
  </si>
  <si>
    <t>CPU-CPT002</t>
  </si>
  <si>
    <t>CPU-CPT003</t>
  </si>
  <si>
    <t>CPU-CPT004</t>
  </si>
  <si>
    <t>CPU-CPT005</t>
  </si>
  <si>
    <t>CPU-CPT006</t>
  </si>
  <si>
    <t>CPU-CPT007</t>
  </si>
  <si>
    <t>CPU-CPT008</t>
  </si>
  <si>
    <t>CPU-CPT009</t>
  </si>
  <si>
    <t>Preço Material</t>
  </si>
  <si>
    <t>Mão-de-Obra</t>
  </si>
  <si>
    <t>SUBTOTAL</t>
  </si>
  <si>
    <t>CPU-CPT010</t>
  </si>
  <si>
    <t>CPU-CPT011</t>
  </si>
  <si>
    <t>CPU-CPT012</t>
  </si>
  <si>
    <t>gb</t>
  </si>
  <si>
    <t>Comporta tipo Segmento - EC2 - CP3</t>
  </si>
  <si>
    <t>Comporta tipo Segmento - EC3 - CP3a</t>
  </si>
  <si>
    <t>Comporta tipo Segmento - EC4 - CS25</t>
  </si>
  <si>
    <t>TOTAL ETAPA 3</t>
  </si>
  <si>
    <t>TOTAL ETAPA 4</t>
  </si>
  <si>
    <t>TOTAL ETAPAS 3 E 4</t>
  </si>
  <si>
    <t>VALOR TOTAL DO PROJETO</t>
  </si>
  <si>
    <t>ESTAÇÃO DE RECALQUE ER2</t>
  </si>
  <si>
    <t>ESTAÇÃO DE RECALQUE ER3</t>
  </si>
  <si>
    <t>ESTAÇÃO DE RECALQUE ER4</t>
  </si>
  <si>
    <t>MEMÓRIA DE CÁLCULO - QUANTITATIVOS DAS OBRAS</t>
  </si>
  <si>
    <t>Escavação: 7,00 x 5,00 x 250,00 =</t>
  </si>
  <si>
    <t>Botafora: 4,00 x 4,00 x 250,00 =</t>
  </si>
  <si>
    <t>Reaterro:</t>
  </si>
  <si>
    <t>Concreto: (3,00 + 2,00 + 2,00) x 0,30 x 250,00 =</t>
  </si>
  <si>
    <t>Formas: (3,00 + 2,00 + 2,00) x 2 x 250,00 =</t>
  </si>
  <si>
    <t>Aço CA-50: 120 kg/m³ x</t>
  </si>
  <si>
    <t>4.1.1</t>
  </si>
  <si>
    <t>4.1.2</t>
  </si>
  <si>
    <t>4.1.3</t>
  </si>
  <si>
    <t>4.1.4</t>
  </si>
  <si>
    <t>4.1.5</t>
  </si>
  <si>
    <t>4.1.6</t>
  </si>
  <si>
    <t>4.1.7</t>
  </si>
  <si>
    <t>ETAPA 3 - ESCADA HIDRÁULICA CS21a</t>
  </si>
  <si>
    <t>ETAPA 4 - SIFÃO CS25</t>
  </si>
  <si>
    <t>Extensão: Poços (Entrada e Saída) = 4,50 m cada</t>
  </si>
  <si>
    <t>Galeria: 40,00 m</t>
  </si>
  <si>
    <t>Extensão Total = 49,00 metros</t>
  </si>
  <si>
    <t>Escavação: 5,00 x 2,00 x 49,00 =</t>
  </si>
  <si>
    <t>Botafora:</t>
  </si>
  <si>
    <t>Concreto: (2,10 x 3 + 3,60 x 2) x 0,30 x 49,00 =</t>
  </si>
  <si>
    <t>Formas: (2,10 x 3 + 3,60 x 2) x 2 x 49,00 =</t>
  </si>
  <si>
    <t>Área REVESTIMENTO X 0,07 m</t>
  </si>
  <si>
    <t>Tubulações</t>
  </si>
  <si>
    <t>Comjuntos Motobombas</t>
  </si>
  <si>
    <t>Etapa 4</t>
  </si>
  <si>
    <t>Etapa 3</t>
  </si>
  <si>
    <t>Preço Bomba</t>
  </si>
  <si>
    <t>Montagem</t>
  </si>
  <si>
    <t>Total</t>
  </si>
  <si>
    <t>Final</t>
  </si>
  <si>
    <t>Cálculo do peso por diâmetro:</t>
  </si>
  <si>
    <t>Adotada espessura 5/8" = 0,015875 m</t>
  </si>
  <si>
    <r>
      <t xml:space="preserve">P (kg/m) = </t>
    </r>
    <r>
      <rPr>
        <sz val="11"/>
        <color theme="1"/>
        <rFont val="Aptos Narrow"/>
        <family val="2"/>
      </rPr>
      <t>π x d (m) x 0,015875 (m) x 7800 kg/m³</t>
    </r>
  </si>
  <si>
    <t xml:space="preserve">Comprimento total = </t>
  </si>
  <si>
    <t>Diâmetro da tubulação =</t>
  </si>
  <si>
    <t>Peso =</t>
  </si>
  <si>
    <t xml:space="preserve">Preço = </t>
  </si>
  <si>
    <t>Montagem =</t>
  </si>
  <si>
    <t>Total =</t>
  </si>
  <si>
    <t>BDI =</t>
  </si>
  <si>
    <t>Final =</t>
  </si>
  <si>
    <t>/ kg</t>
  </si>
  <si>
    <t>ETAPA 3 - CS21 - ER1</t>
  </si>
  <si>
    <t>ETAPA 4 - CP3 -ER1</t>
  </si>
  <si>
    <t>ETAPA 4 - CP3a - ER2</t>
  </si>
  <si>
    <t>ETAPA 4 - CP3b - ER3</t>
  </si>
  <si>
    <t>ETAPA 4 - CP3 - ER4</t>
  </si>
  <si>
    <t>6.1</t>
  </si>
  <si>
    <t>TRECHOS EM TUBULAÇÃO</t>
  </si>
  <si>
    <t>TS1-S19</t>
  </si>
  <si>
    <t>MEMÓRIA DE CÁLCULO - QUANTITATIVOS DOS TRECHOS EM TUBULAÇÕES</t>
  </si>
  <si>
    <t>Eextensão 1.683 metros</t>
  </si>
  <si>
    <t>Tubos Aço 800 mm</t>
  </si>
  <si>
    <t>Escavação: 1,40 x 1,20 x 1.683 =</t>
  </si>
  <si>
    <r>
      <t xml:space="preserve">Botafora: </t>
    </r>
    <r>
      <rPr>
        <sz val="11"/>
        <color theme="1"/>
        <rFont val="Aptos Narrow"/>
        <family val="2"/>
      </rPr>
      <t>π x 0,8²/4 x 1.683 =</t>
    </r>
  </si>
  <si>
    <t xml:space="preserve">Reaterro: </t>
  </si>
  <si>
    <t>Lastro: 1,20 x 1.683 x 0,10 =</t>
  </si>
  <si>
    <t>Tubulação de aço =</t>
  </si>
  <si>
    <t>Escoramento: 1.683 x 1,20 x 2 =</t>
  </si>
  <si>
    <t>txkm</t>
  </si>
  <si>
    <t>Eextensão 2.100 metros</t>
  </si>
  <si>
    <t>Tubos Aço 1.000 mm</t>
  </si>
  <si>
    <t>TP3</t>
  </si>
  <si>
    <t>ETAPA 4 - 1000 mm</t>
  </si>
  <si>
    <t>ETAPA 4 - 600 mm</t>
  </si>
  <si>
    <t>Eextensão 665 metros</t>
  </si>
  <si>
    <t>Tubos Aço 600 mm</t>
  </si>
  <si>
    <t>ETAPA 4 - 500 mm</t>
  </si>
  <si>
    <t>Eextensão 1.377 metros</t>
  </si>
  <si>
    <t>Tubos Aço 500 mm</t>
  </si>
  <si>
    <t>TS29</t>
  </si>
  <si>
    <t>Eextensão 1.537 metros</t>
  </si>
  <si>
    <t>6.2</t>
  </si>
  <si>
    <t>6.3</t>
  </si>
  <si>
    <t>6.4</t>
  </si>
  <si>
    <t xml:space="preserve">Preço Referencial: USD 2,50/kg = </t>
  </si>
  <si>
    <t>Escavação: 1,60 x 1,40 x 2.100 =</t>
  </si>
  <si>
    <r>
      <t xml:space="preserve">Botafora: </t>
    </r>
    <r>
      <rPr>
        <sz val="11"/>
        <color theme="1"/>
        <rFont val="Aptos Narrow"/>
        <family val="2"/>
      </rPr>
      <t>π x 1,0²/4 x 2.100 =</t>
    </r>
  </si>
  <si>
    <t>Escoramento: 2.100 x 1,20 x 2 =</t>
  </si>
  <si>
    <t>Lastro: 1,40 x 2.100 x 0,10 =</t>
  </si>
  <si>
    <t>Escavação: 1,20 x 1,00 x 665 =</t>
  </si>
  <si>
    <r>
      <t xml:space="preserve">Botafora: </t>
    </r>
    <r>
      <rPr>
        <sz val="11"/>
        <color theme="1"/>
        <rFont val="Aptos Narrow"/>
        <family val="2"/>
      </rPr>
      <t>π x 0,6²/4 x 665 =</t>
    </r>
  </si>
  <si>
    <t>Escoramento: 665 x 1,00 x 2 =</t>
  </si>
  <si>
    <t>Lastro: 1,00 x 665 x 0,10 =</t>
  </si>
  <si>
    <t>Escavação: 1,10 x 0,90 x 1.377 =</t>
  </si>
  <si>
    <r>
      <t xml:space="preserve">Botafora: </t>
    </r>
    <r>
      <rPr>
        <sz val="11"/>
        <color theme="1"/>
        <rFont val="Aptos Narrow"/>
        <family val="2"/>
      </rPr>
      <t>π x 0,5²/4 x 1.377 =</t>
    </r>
  </si>
  <si>
    <t>Escoramento: 1.377 x 1,10 x 2 =</t>
  </si>
  <si>
    <t>Lastro: 0,90 x 1.377 x 0,10 =</t>
  </si>
  <si>
    <t>Escavação: 1,10 x 0,90 x 1.537 =</t>
  </si>
  <si>
    <r>
      <t xml:space="preserve">Botafora: </t>
    </r>
    <r>
      <rPr>
        <sz val="11"/>
        <color theme="1"/>
        <rFont val="Aptos Narrow"/>
        <family val="2"/>
      </rPr>
      <t>π x 0,5²/4 x 1.537 =</t>
    </r>
  </si>
  <si>
    <t>Escoramento: 1.537 x 1,10 x 2 =</t>
  </si>
  <si>
    <t>Lastro: 0,90 x 1.537 x 0,10 =</t>
  </si>
  <si>
    <t>TP3 1000 mm</t>
  </si>
  <si>
    <t>TP3 600 mm</t>
  </si>
  <si>
    <t>TP3 500 mm</t>
  </si>
  <si>
    <t>TUBO DE AÇO CARBONO ø 500 MM</t>
  </si>
  <si>
    <t>ETAPA 4 - TS29</t>
  </si>
  <si>
    <t>TS29 500 mm</t>
  </si>
  <si>
    <t>PEÇAS E ACESSÓRIOS</t>
  </si>
  <si>
    <t>MEMÓRIA DE CÁLCULO - QUANTITATIVOS DAS ESTAÇÕES DE RECALQUE</t>
  </si>
  <si>
    <t>ETAPA 3 - ER1</t>
  </si>
  <si>
    <t>Concreto:</t>
  </si>
  <si>
    <t>Escavação: 32,00 x 8,10 x 3,00 =</t>
  </si>
  <si>
    <t>Lajes de fundo: 23,30 x 7,80 x 0,30 =</t>
  </si>
  <si>
    <t>Formas:</t>
  </si>
  <si>
    <t>Paredes Laterais: 23,30 x 2 x 2,70 x 0,30 =</t>
  </si>
  <si>
    <t>Desmatamento: 42,00 x 18,10 =</t>
  </si>
  <si>
    <t>Paredes Bombas : (11,30 x 4 + 8,10 x 2) x 9,75 x 0,30 =</t>
  </si>
  <si>
    <t>Paredes Cãmara de Manobras : (9,00 x 2 + 2,00 x 2) x 3,00 x 0,30 =</t>
  </si>
  <si>
    <t>Vigas: 8,10 x 2 x 1,00 x 0,10 =</t>
  </si>
  <si>
    <t>Cobertura: 10,00 x 10,00 =</t>
  </si>
  <si>
    <t>Cobertura em telha de fibrocimento estrutural, l = 90 cm</t>
  </si>
  <si>
    <t>6.1.1</t>
  </si>
  <si>
    <t>6.1.2</t>
  </si>
  <si>
    <t>6.1.3</t>
  </si>
  <si>
    <t>6.1.4</t>
  </si>
  <si>
    <t>6.1.5</t>
  </si>
  <si>
    <t>6.1.6</t>
  </si>
  <si>
    <t>ETAPA 4 - ER1</t>
  </si>
  <si>
    <t>ETAPA 4 - ER2</t>
  </si>
  <si>
    <t>Laje: 7,70 x 7,00 x 0,10 =</t>
  </si>
  <si>
    <t>ETAPA 4 - ER3</t>
  </si>
  <si>
    <t>ETAPA 4 - ER4</t>
  </si>
  <si>
    <t>6.2.1</t>
  </si>
  <si>
    <t>6.2.2</t>
  </si>
  <si>
    <t>6.2.3</t>
  </si>
  <si>
    <t>6.2.4</t>
  </si>
  <si>
    <t>6.2.5</t>
  </si>
  <si>
    <t>6.2.6</t>
  </si>
  <si>
    <t>6.3.1</t>
  </si>
  <si>
    <t>6.3.2</t>
  </si>
  <si>
    <t>6.3.3</t>
  </si>
  <si>
    <t>6.3.4</t>
  </si>
  <si>
    <t>6.3.5</t>
  </si>
  <si>
    <t>6.3.6</t>
  </si>
  <si>
    <t>6.4.1</t>
  </si>
  <si>
    <t>6.4.2</t>
  </si>
  <si>
    <t>6.4.3</t>
  </si>
  <si>
    <t>6.4.4</t>
  </si>
  <si>
    <t>6.4.5</t>
  </si>
  <si>
    <t>6.4.6</t>
  </si>
  <si>
    <t>Escavação: 26,60 x 8,45</t>
  </si>
  <si>
    <t>Desmatamento: 36,60 x 18,45 =</t>
  </si>
  <si>
    <t>Lajes de fundo: 8,10 x 22,00 x 0,30 =</t>
  </si>
  <si>
    <t>Paredes Laterais: 8,10 x 2 x 2,70 x 0,30 =</t>
  </si>
  <si>
    <t>Paredes Bombas : (7,70 x 4 + 8,10 x 2) x 9,50 x 0,30</t>
  </si>
  <si>
    <t>Paredes Cãmara de Manobras : (8,70 x 2 + 2,00 x 2) x 2,80 x 0,30 =</t>
  </si>
  <si>
    <t>Laje: 9,70 x 8,40 x 0,10</t>
  </si>
  <si>
    <t>Escavação: 16,55 x 4,30 x 2,30 =</t>
  </si>
  <si>
    <t>Desmatamento: 26,55 x 14,30 =</t>
  </si>
  <si>
    <t>Lajes de fundo: 4,30 x 16,55 * 0,30 =</t>
  </si>
  <si>
    <t>Paredes Laterais: (7,50 x 3 + 3,50 x 3 + 5,10 x 2) x 6,80 x 0,30 =</t>
  </si>
  <si>
    <t>Paredes Laterais: 5,25 x 2 x 2,00 =</t>
  </si>
  <si>
    <t>Paredes Cãmara de Manobras : (6,70 + 2,00) x 2 x 2,80 x 0,30</t>
  </si>
  <si>
    <t>Laje: (4,20 x 3,60 + 3,50 x 2,55) x 0,10 =</t>
  </si>
  <si>
    <t>Vigas: 5,50 x 2 x 1,00 x 0,10 =</t>
  </si>
  <si>
    <t>Cobertura: 10,00 x 6,50 =</t>
  </si>
  <si>
    <t>Dissipador de Energia</t>
  </si>
  <si>
    <t>Mureta (Dissipador)</t>
  </si>
  <si>
    <t>Mureta (Enrocamento)</t>
  </si>
  <si>
    <t xml:space="preserve">Enrocamento </t>
  </si>
  <si>
    <t>Obra</t>
  </si>
  <si>
    <t>Trecho</t>
  </si>
  <si>
    <t>L (m)</t>
  </si>
  <si>
    <r>
      <t>A</t>
    </r>
    <r>
      <rPr>
        <b/>
        <sz val="8"/>
        <color theme="1"/>
        <rFont val="Aptos Narrow"/>
        <family val="2"/>
        <scheme val="minor"/>
      </rPr>
      <t>início</t>
    </r>
    <r>
      <rPr>
        <b/>
        <sz val="11"/>
        <color theme="1"/>
        <rFont val="Aptos Narrow"/>
        <family val="2"/>
        <scheme val="minor"/>
      </rPr>
      <t xml:space="preserve">
(m²)</t>
    </r>
  </si>
  <si>
    <r>
      <t>A</t>
    </r>
    <r>
      <rPr>
        <b/>
        <sz val="8"/>
        <color theme="1"/>
        <rFont val="Aptos Narrow"/>
        <family val="2"/>
        <scheme val="minor"/>
      </rPr>
      <t>degrau</t>
    </r>
    <r>
      <rPr>
        <b/>
        <sz val="11"/>
        <color theme="1"/>
        <rFont val="Aptos Narrow"/>
        <family val="2"/>
        <scheme val="minor"/>
      </rPr>
      <t xml:space="preserve">
(m²)</t>
    </r>
  </si>
  <si>
    <r>
      <t>A</t>
    </r>
    <r>
      <rPr>
        <b/>
        <sz val="8"/>
        <color theme="1"/>
        <rFont val="Aptos Narrow"/>
        <family val="2"/>
        <scheme val="minor"/>
      </rPr>
      <t>final</t>
    </r>
    <r>
      <rPr>
        <b/>
        <sz val="11"/>
        <color theme="1"/>
        <rFont val="Aptos Narrow"/>
        <family val="2"/>
        <scheme val="minor"/>
      </rPr>
      <t xml:space="preserve">
(m²)</t>
    </r>
  </si>
  <si>
    <t>N degraus
(un)</t>
  </si>
  <si>
    <r>
      <t>P</t>
    </r>
    <r>
      <rPr>
        <b/>
        <sz val="8"/>
        <color theme="1"/>
        <rFont val="Aptos Narrow"/>
        <family val="2"/>
        <scheme val="minor"/>
      </rPr>
      <t xml:space="preserve">lat
</t>
    </r>
    <r>
      <rPr>
        <b/>
        <sz val="11"/>
        <color theme="1"/>
        <rFont val="Aptos Narrow"/>
        <family val="2"/>
        <scheme val="minor"/>
      </rPr>
      <t>(m)</t>
    </r>
  </si>
  <si>
    <r>
      <t>P</t>
    </r>
    <r>
      <rPr>
        <b/>
        <sz val="8"/>
        <color theme="1"/>
        <rFont val="Aptos Narrow"/>
        <family val="2"/>
        <scheme val="minor"/>
      </rPr>
      <t xml:space="preserve">fundo
</t>
    </r>
    <r>
      <rPr>
        <b/>
        <sz val="11"/>
        <color theme="1"/>
        <rFont val="Aptos Narrow"/>
        <family val="2"/>
        <scheme val="minor"/>
      </rPr>
      <t>(m)</t>
    </r>
  </si>
  <si>
    <t>Forma
(m²)</t>
  </si>
  <si>
    <t>Concreto
(m³)</t>
  </si>
  <si>
    <t>Largura (m)</t>
  </si>
  <si>
    <r>
      <t>A</t>
    </r>
    <r>
      <rPr>
        <b/>
        <sz val="8"/>
        <color theme="1"/>
        <rFont val="Aptos Narrow"/>
        <family val="2"/>
        <scheme val="minor"/>
      </rPr>
      <t>lat</t>
    </r>
    <r>
      <rPr>
        <b/>
        <sz val="11"/>
        <color theme="1"/>
        <rFont val="Aptos Narrow"/>
        <family val="2"/>
        <scheme val="minor"/>
      </rPr>
      <t xml:space="preserve">
(m²)</t>
    </r>
  </si>
  <si>
    <r>
      <t>P</t>
    </r>
    <r>
      <rPr>
        <b/>
        <sz val="8"/>
        <color theme="1"/>
        <rFont val="Aptos Narrow"/>
        <family val="2"/>
        <scheme val="minor"/>
      </rPr>
      <t xml:space="preserve">fechamento
</t>
    </r>
    <r>
      <rPr>
        <b/>
        <sz val="11"/>
        <color theme="1"/>
        <rFont val="Aptos Narrow"/>
        <family val="2"/>
        <scheme val="minor"/>
      </rPr>
      <t>(m)</t>
    </r>
  </si>
  <si>
    <t>Comprimento (m)</t>
  </si>
  <si>
    <t>Altura (m)</t>
  </si>
  <si>
    <r>
      <t>L</t>
    </r>
    <r>
      <rPr>
        <b/>
        <sz val="8"/>
        <color theme="1"/>
        <rFont val="Aptos Narrow"/>
        <family val="2"/>
        <scheme val="minor"/>
      </rPr>
      <t xml:space="preserve">1
</t>
    </r>
    <r>
      <rPr>
        <b/>
        <sz val="11"/>
        <color theme="1"/>
        <rFont val="Aptos Narrow"/>
        <family val="2"/>
        <scheme val="minor"/>
      </rPr>
      <t>(m)</t>
    </r>
  </si>
  <si>
    <r>
      <t>L</t>
    </r>
    <r>
      <rPr>
        <b/>
        <sz val="8"/>
        <color theme="1"/>
        <rFont val="Aptos Narrow"/>
        <family val="2"/>
        <scheme val="minor"/>
      </rPr>
      <t xml:space="preserve">2
</t>
    </r>
    <r>
      <rPr>
        <b/>
        <sz val="11"/>
        <color theme="1"/>
        <rFont val="Aptos Narrow"/>
        <family val="2"/>
        <scheme val="minor"/>
      </rPr>
      <t>(m)</t>
    </r>
  </si>
  <si>
    <r>
      <t>C</t>
    </r>
    <r>
      <rPr>
        <b/>
        <sz val="8"/>
        <color theme="1"/>
        <rFont val="Aptos Narrow"/>
        <family val="2"/>
        <scheme val="minor"/>
      </rPr>
      <t xml:space="preserve">1
</t>
    </r>
    <r>
      <rPr>
        <b/>
        <sz val="11"/>
        <color theme="1"/>
        <rFont val="Aptos Narrow"/>
        <family val="2"/>
        <scheme val="minor"/>
      </rPr>
      <t>(m)</t>
    </r>
  </si>
  <si>
    <r>
      <t>C</t>
    </r>
    <r>
      <rPr>
        <b/>
        <sz val="8"/>
        <color theme="1"/>
        <rFont val="Aptos Narrow"/>
        <family val="2"/>
        <scheme val="minor"/>
      </rPr>
      <t xml:space="preserve">2
</t>
    </r>
    <r>
      <rPr>
        <b/>
        <sz val="11"/>
        <color theme="1"/>
        <rFont val="Aptos Narrow"/>
        <family val="2"/>
        <scheme val="minor"/>
      </rPr>
      <t>(m)</t>
    </r>
  </si>
  <si>
    <t>Volume
(m³)</t>
  </si>
  <si>
    <t>EX-1</t>
  </si>
  <si>
    <t>CS19-Trecho 2</t>
  </si>
  <si>
    <t>EX-2</t>
  </si>
  <si>
    <t>CS19-Trecho 3</t>
  </si>
  <si>
    <t>EX-3</t>
  </si>
  <si>
    <t>CS19-Trecho 4</t>
  </si>
  <si>
    <t>EX-4</t>
  </si>
  <si>
    <t>CS19-Trecho 5</t>
  </si>
  <si>
    <t>EX-5</t>
  </si>
  <si>
    <t>CT1-CS19-Trecho 1</t>
  </si>
  <si>
    <t>EX-6</t>
  </si>
  <si>
    <t>CT1-CS19-Trecho 2</t>
  </si>
  <si>
    <t>CS21</t>
  </si>
  <si>
    <t>CS21a-Trecho 1</t>
  </si>
  <si>
    <t>CS21a-Trecho 2</t>
  </si>
  <si>
    <t>CS21a-Trecho 3.1</t>
  </si>
  <si>
    <t>CS21a-Trecho 4</t>
  </si>
  <si>
    <t>CS21a-Trecho 5</t>
  </si>
  <si>
    <t>CT2-S21</t>
  </si>
  <si>
    <t>CP3 - Trecho 2</t>
  </si>
  <si>
    <t>CP3 - Trecho 3</t>
  </si>
  <si>
    <t>CP3a - Trecho 1</t>
  </si>
  <si>
    <t>CP3a - Trecho 2</t>
  </si>
  <si>
    <t>CP3b - Trecho 1</t>
  </si>
  <si>
    <t>CS23</t>
  </si>
  <si>
    <t>EX-7</t>
  </si>
  <si>
    <t>CS25 - Trecho 1</t>
  </si>
  <si>
    <t>EX-8</t>
  </si>
  <si>
    <t>CS25 - Trecho 2</t>
  </si>
  <si>
    <t>EX-9</t>
  </si>
  <si>
    <t>CS27</t>
  </si>
  <si>
    <t>Resumo</t>
  </si>
  <si>
    <t>Forma</t>
  </si>
  <si>
    <t>3.1.1</t>
  </si>
  <si>
    <t>3.1.2</t>
  </si>
  <si>
    <t>3.1.3</t>
  </si>
  <si>
    <t>3.1.4</t>
  </si>
  <si>
    <t>3.2.1</t>
  </si>
  <si>
    <t>3.2.2</t>
  </si>
  <si>
    <t>3.2.3</t>
  </si>
  <si>
    <t>3.2.4</t>
  </si>
  <si>
    <t>3.3.1</t>
  </si>
  <si>
    <t>3.3.2</t>
  </si>
  <si>
    <t>3.3.3</t>
  </si>
  <si>
    <t>3.3.4</t>
  </si>
  <si>
    <t>3.4.1</t>
  </si>
  <si>
    <t>3.4.2</t>
  </si>
  <si>
    <t>3.4.3</t>
  </si>
  <si>
    <t>3.4.4</t>
  </si>
  <si>
    <t>3.5.1</t>
  </si>
  <si>
    <t>3.5.2</t>
  </si>
  <si>
    <t>3.5.3</t>
  </si>
  <si>
    <t>3.5.4</t>
  </si>
  <si>
    <t>3.6.1</t>
  </si>
  <si>
    <t>3.6.2</t>
  </si>
  <si>
    <t>3.6.3</t>
  </si>
  <si>
    <t>3.6.4</t>
  </si>
  <si>
    <t>3.7.1</t>
  </si>
  <si>
    <t>3.7.2</t>
  </si>
  <si>
    <t>3.7.3</t>
  </si>
  <si>
    <t>3.7.4</t>
  </si>
  <si>
    <t>3.8.1</t>
  </si>
  <si>
    <t>3.8.2</t>
  </si>
  <si>
    <t>3.8.3</t>
  </si>
  <si>
    <t>3.8.4</t>
  </si>
  <si>
    <t>3.9.1</t>
  </si>
  <si>
    <t>3.9.2</t>
  </si>
  <si>
    <t>3.9.3</t>
  </si>
  <si>
    <t>3.9.4</t>
  </si>
  <si>
    <t>3.10.1</t>
  </si>
  <si>
    <t>3.10.2</t>
  </si>
  <si>
    <t>3.10.3</t>
  </si>
  <si>
    <t>3.10.4</t>
  </si>
  <si>
    <t>3.11.1</t>
  </si>
  <si>
    <t>3.11.2</t>
  </si>
  <si>
    <t>3.11.3</t>
  </si>
  <si>
    <t>3.11.4</t>
  </si>
  <si>
    <t>Desmatamento: 34,00 x 12,00 =</t>
  </si>
  <si>
    <t>Escavação: 24,00 x 8,00 x  2,50 =</t>
  </si>
  <si>
    <t>Lajes de fundo: 19,00 x 2,00 0,30 =</t>
  </si>
  <si>
    <t>Paredes Bombas: 3,50 x 4 x 10,00 x 0,3 =</t>
  </si>
  <si>
    <t>Paredes Laterais: 7,00 x 2 x 2,20 x 0,3 =</t>
  </si>
  <si>
    <t>Paredes Cãmara de Manobras : 5,50 x 2 x 2,80 x 0,3</t>
  </si>
  <si>
    <t>Laje: 4,50 x 2,50 x 0,10 =</t>
  </si>
  <si>
    <t>Vigas: 3,40 x 2 x 1,00 x 0,10 =</t>
  </si>
  <si>
    <t>Cobertura: 10,00 x 5,00 =</t>
  </si>
  <si>
    <t>Escavação: 22,20 x 4,00 x 1,80 =</t>
  </si>
  <si>
    <t>Desmatamento: 32,20 x 14,00 =</t>
  </si>
  <si>
    <t>Lajes de fundo: 18,00 x 4,40 x 0,30 =</t>
  </si>
  <si>
    <t>Paredes Laterais: 5,25 x 2 x 0,30 =</t>
  </si>
  <si>
    <t>Paredes Bombas : (11,30 x 3 + 4,52 x 2) x 9,00 x 0,30 =</t>
  </si>
  <si>
    <t>Paredes Cãmara de Manobras : (5,05 + 2,00) x 2 x 2,80 x 0,30 =</t>
  </si>
  <si>
    <t>Laje: 7,70 x 4,30 x 0,10 =</t>
  </si>
  <si>
    <t>Vigas: 5,00 x 2 x 1,00 x 0,10 =</t>
  </si>
  <si>
    <t>Cobertura: 10,00 x 6,00 =</t>
  </si>
  <si>
    <t>B3</t>
  </si>
  <si>
    <t>C3</t>
  </si>
  <si>
    <t>1.8.</t>
  </si>
  <si>
    <t xml:space="preserve">Etapa </t>
  </si>
  <si>
    <t>Q (m³/s)</t>
  </si>
  <si>
    <t>ER1</t>
  </si>
  <si>
    <t>ER2</t>
  </si>
  <si>
    <t>ER3</t>
  </si>
  <si>
    <t>ER4</t>
  </si>
  <si>
    <t>Potência das bombas (kw)</t>
  </si>
  <si>
    <t>Valor</t>
  </si>
  <si>
    <t>EB3</t>
  </si>
  <si>
    <t>Etapa 2</t>
  </si>
  <si>
    <t>SERVIÇOS TÉCNICOS DE ENGENHARIA</t>
  </si>
  <si>
    <t>Projetos Básico/Executivo</t>
  </si>
  <si>
    <t>Gerenciamento/Supervisão de Obras</t>
  </si>
  <si>
    <t>Controles Tecnológicos</t>
  </si>
  <si>
    <t>SERVIÇOS TÉCNICOS DE ENGENHARIA (B1)</t>
  </si>
  <si>
    <t>SERVIÇOS TÉCNICOS DE ENGENHARIA (C1)</t>
  </si>
  <si>
    <t>ESTRUTURAÇÃO DE PROJETO DE CONCESSÃO DO 
PERÍMETRO IRRIGADO DO JAÍBA (ETAPAS 3 E 4)</t>
  </si>
  <si>
    <t>D</t>
  </si>
  <si>
    <t>AMPLIAÇÃO DA INFRAESTRUTURA DA EB2 - ETAPA 1</t>
  </si>
  <si>
    <t>E</t>
  </si>
  <si>
    <t>AMPLIAÇÃO DA INFRAESTRUTURA DA EB3 - ETAPA 2</t>
  </si>
  <si>
    <t>GALERIAS DE TRANSPOSIÇÃO</t>
  </si>
  <si>
    <t>5.1.7</t>
  </si>
  <si>
    <t>7.1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</si>
  <si>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</si>
  <si>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</si>
  <si>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</si>
  <si>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</si>
  <si>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</si>
  <si>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</si>
  <si>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</si>
  <si>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</si>
  <si>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7.2</t>
  </si>
  <si>
    <t>7.2.1</t>
  </si>
  <si>
    <t>7.2.2</t>
  </si>
  <si>
    <t>7.2.3</t>
  </si>
  <si>
    <t>7.2.4</t>
  </si>
  <si>
    <t>7.2.5</t>
  </si>
  <si>
    <t>7.2.6</t>
  </si>
  <si>
    <t>7.2.7</t>
  </si>
  <si>
    <t>7.2.8</t>
  </si>
  <si>
    <t>7.3</t>
  </si>
  <si>
    <t>7.3.1</t>
  </si>
  <si>
    <t>7.3.2</t>
  </si>
  <si>
    <t>7.3.3</t>
  </si>
  <si>
    <t>7.3.4</t>
  </si>
  <si>
    <t>7.3.5</t>
  </si>
  <si>
    <t>7.3.6</t>
  </si>
  <si>
    <t>7.3.7</t>
  </si>
  <si>
    <t>7.3.8</t>
  </si>
  <si>
    <t>7.4</t>
  </si>
  <si>
    <t>7.4.1</t>
  </si>
  <si>
    <t>7.4.2</t>
  </si>
  <si>
    <t>7.4.3</t>
  </si>
  <si>
    <t>7.4.4</t>
  </si>
  <si>
    <t>7.4.5</t>
  </si>
  <si>
    <t>7.4.6</t>
  </si>
  <si>
    <t>7.4.7</t>
  </si>
  <si>
    <t>7.4.8</t>
  </si>
  <si>
    <t>1.3.6</t>
  </si>
  <si>
    <t>1.3.7</t>
  </si>
  <si>
    <t>1.3.8</t>
  </si>
  <si>
    <t>1.3.9</t>
  </si>
  <si>
    <t>1.1.6</t>
  </si>
  <si>
    <t>1.2.6</t>
  </si>
  <si>
    <t>F</t>
  </si>
  <si>
    <t>ESCAVAÇÃO</t>
  </si>
  <si>
    <t>ATERRO</t>
  </si>
  <si>
    <t>GEOCOMPOSTO</t>
  </si>
  <si>
    <t>Galerias de Transposição Simples</t>
  </si>
  <si>
    <t>Galerias de Transposição Dupla</t>
  </si>
  <si>
    <t>GT1 - CS19-Trecho 5</t>
  </si>
  <si>
    <t>Escavações:</t>
  </si>
  <si>
    <t>Encontros:</t>
  </si>
  <si>
    <t xml:space="preserve">L1 Encontros = </t>
  </si>
  <si>
    <t>Bases Montante e Jusante =</t>
  </si>
  <si>
    <t>Galeria:</t>
  </si>
  <si>
    <t>2,30 X 3,00 X 7,00 =</t>
  </si>
  <si>
    <t xml:space="preserve">1,30 X 2,70 X 7,00 = </t>
  </si>
  <si>
    <t>(1,30 + 2,40) X 2 X 0,30 X 7,00 =</t>
  </si>
  <si>
    <t>1,30 + (2,40 X 4) X 7,00 =</t>
  </si>
  <si>
    <t>Aço:</t>
  </si>
  <si>
    <t>GT2 - CT1-S19-Trecho 1</t>
  </si>
  <si>
    <t>GT3 - CT1-S19-Trecho 2</t>
  </si>
  <si>
    <t>GT1 - CS21a-Trecho 5</t>
  </si>
  <si>
    <t>4,40 X 2,40 X 7,00 =</t>
  </si>
  <si>
    <t xml:space="preserve">2,20 X 2,10 X 7,00 = </t>
  </si>
  <si>
    <t>(2,20 + 1,80) X 2 X 0,30 X 7,00 =</t>
  </si>
  <si>
    <t>1,80 + (1,80 X 4) X 7,00 =</t>
  </si>
  <si>
    <t>GT1 - CS27</t>
  </si>
  <si>
    <r>
      <t xml:space="preserve">2 X (2,60 + 1,30) </t>
    </r>
    <r>
      <rPr>
        <sz val="11"/>
        <color theme="1"/>
        <rFont val="Aptos Narrow"/>
        <family val="2"/>
      </rPr>
      <t>÷ 2 X 1,60 X 2,40 =</t>
    </r>
  </si>
  <si>
    <r>
      <t xml:space="preserve">2 X (2,60 + 1,30) </t>
    </r>
    <r>
      <rPr>
        <sz val="11"/>
        <color theme="1"/>
        <rFont val="Aptos Narrow"/>
        <family val="2"/>
      </rPr>
      <t>÷ 2 + (2,40 X 2) X 1,60 X 0,30 =</t>
    </r>
  </si>
  <si>
    <r>
      <t xml:space="preserve">2 X (4,40 + 1,80) </t>
    </r>
    <r>
      <rPr>
        <sz val="11"/>
        <color theme="1"/>
        <rFont val="Aptos Narrow"/>
        <family val="2"/>
      </rPr>
      <t>÷ 2 X 1,20 X 1,80 =</t>
    </r>
  </si>
  <si>
    <r>
      <t xml:space="preserve">2 X (4,40 + 1,80) </t>
    </r>
    <r>
      <rPr>
        <sz val="11"/>
        <color theme="1"/>
        <rFont val="Aptos Narrow"/>
        <family val="2"/>
      </rPr>
      <t>÷ 2 + (1,80 X 2) X  1,20 X 0,30 =</t>
    </r>
  </si>
  <si>
    <r>
      <t xml:space="preserve">2 X (2,60 + 1,30) </t>
    </r>
    <r>
      <rPr>
        <sz val="11"/>
        <color theme="1"/>
        <rFont val="Aptos Narrow"/>
        <family val="2"/>
      </rPr>
      <t>÷ 2 X  0,83 X 1,30 =</t>
    </r>
  </si>
  <si>
    <t>2,60 X 1,85 X 7,00 =</t>
  </si>
  <si>
    <t xml:space="preserve">1,30 X 1,55 X 7,00 = </t>
  </si>
  <si>
    <r>
      <t xml:space="preserve">2 X (2,60 + 1,25) </t>
    </r>
    <r>
      <rPr>
        <sz val="11"/>
        <color theme="1"/>
        <rFont val="Aptos Narrow"/>
        <family val="2"/>
      </rPr>
      <t>÷ 2 + (1,25 X 2) X  0,83 X 0,30 =</t>
    </r>
  </si>
  <si>
    <t>(1,30 + 1,25) X 2 X 0,30 X 7,00 =</t>
  </si>
  <si>
    <t>1,30 + (1,25 X 4) X 7,00 =</t>
  </si>
  <si>
    <t>Resumo das Quantidades</t>
  </si>
  <si>
    <t>5.1.8</t>
  </si>
  <si>
    <t>Aço</t>
  </si>
  <si>
    <t>GTD1 - CS19-Trecho 1</t>
  </si>
  <si>
    <t>GTD1 - CS21</t>
  </si>
  <si>
    <t>GTD2 - CS21a - Trecho 1</t>
  </si>
  <si>
    <t>GTD3 - CS21a - Trecho 3.1</t>
  </si>
  <si>
    <t>GTD1 - CP3 - Trecho 2</t>
  </si>
  <si>
    <t>GTD2 - CP3a - Trecho 2</t>
  </si>
  <si>
    <t>GTD3 - CS25 - Trecho 1</t>
  </si>
  <si>
    <t>Juntas:</t>
  </si>
  <si>
    <t>GT1 - CS21a-Trecho 6</t>
  </si>
  <si>
    <r>
      <t xml:space="preserve">2 X (8,80 + 4,40) </t>
    </r>
    <r>
      <rPr>
        <sz val="11"/>
        <color theme="1"/>
        <rFont val="Aptos Narrow"/>
        <family val="2"/>
      </rPr>
      <t>÷ 2 X 2,93 X 2,20 =</t>
    </r>
  </si>
  <si>
    <t>6,40 X 2,80 X 7,00 =</t>
  </si>
  <si>
    <t xml:space="preserve">4,40 X 2,40 X 7,00 = </t>
  </si>
  <si>
    <r>
      <t xml:space="preserve">2 X (8,80 +4,40) </t>
    </r>
    <r>
      <rPr>
        <sz val="11"/>
        <color theme="1"/>
        <rFont val="Aptos Narrow"/>
        <family val="2"/>
      </rPr>
      <t>÷ 2 + (2,20 X 2) X 2,20 X 0,30 =</t>
    </r>
  </si>
  <si>
    <t>(2,20 + 2,20 x 3) X 2 X 0,30 X 7,00 =</t>
  </si>
  <si>
    <t>2,20 + (2,20 X 3 X 2) X 7,00 =</t>
  </si>
  <si>
    <r>
      <t xml:space="preserve">2 X (7,20 + 3,6) </t>
    </r>
    <r>
      <rPr>
        <sz val="11"/>
        <color theme="1"/>
        <rFont val="Aptos Narrow"/>
        <family val="2"/>
      </rPr>
      <t>÷ 2 X 2,40 X 1,80 =</t>
    </r>
  </si>
  <si>
    <t>5,60 X 2,40 X 7,00 =</t>
  </si>
  <si>
    <t xml:space="preserve">3,60 X 2,10 X 7,00 = </t>
  </si>
  <si>
    <r>
      <t xml:space="preserve">2 X (7,20 +3,60) </t>
    </r>
    <r>
      <rPr>
        <sz val="11"/>
        <color theme="1"/>
        <rFont val="Aptos Narrow"/>
        <family val="2"/>
      </rPr>
      <t>÷ 2 + (1,80 X 2) X1,80 X 0,30 =</t>
    </r>
  </si>
  <si>
    <t>(1,80 + 1,80 x 3) X 2 X 0,30 X 7,00 =</t>
  </si>
  <si>
    <t>1,80 + (1,80 X 3 X 2) X 7,00 =</t>
  </si>
  <si>
    <r>
      <t xml:space="preserve">2 X (5,20 + 6,00) </t>
    </r>
    <r>
      <rPr>
        <sz val="11"/>
        <color theme="1"/>
        <rFont val="Aptos Narrow"/>
        <family val="2"/>
      </rPr>
      <t>÷ 2 X 2,00 X 1,73 =</t>
    </r>
  </si>
  <si>
    <t>8,00 X 2,60 X 7,00 =</t>
  </si>
  <si>
    <t>6,00 X 2,30 X 7,00 =</t>
  </si>
  <si>
    <r>
      <t xml:space="preserve">2 X (5,20 + 3,60) </t>
    </r>
    <r>
      <rPr>
        <sz val="11"/>
        <color theme="1"/>
        <rFont val="Aptos Narrow"/>
        <family val="2"/>
      </rPr>
      <t>÷ 2 + (2,00 X 2) X 2,00 X 0,30 =</t>
    </r>
  </si>
  <si>
    <t>(3,00 + 2,00 x 3) X 2 X 0,30 X 7,00 =</t>
  </si>
  <si>
    <t>3,00 + (2,00 X 3 X 2) X 7,00 =</t>
  </si>
  <si>
    <t>4,60 X 2,02 X 7,00 =</t>
  </si>
  <si>
    <r>
      <t xml:space="preserve">2 X (5,20 + 3,60) </t>
    </r>
    <r>
      <rPr>
        <sz val="11"/>
        <color theme="1"/>
        <rFont val="Aptos Narrow"/>
        <family val="2"/>
      </rPr>
      <t>÷ 2 + (1,42 X 2) X 1,42 X 0,30 =</t>
    </r>
  </si>
  <si>
    <t>(2,60 + 1,42 x 3) X 2 X 0,30 X 7,00 =</t>
  </si>
  <si>
    <t>1,30 + (1,42 X 3 X 2) X 7,00 =</t>
  </si>
  <si>
    <t>2,60 X 1,72 X 7,00 =</t>
  </si>
  <si>
    <r>
      <t xml:space="preserve">2 X (5,20 + 2,60) </t>
    </r>
    <r>
      <rPr>
        <sz val="11"/>
        <color theme="1"/>
        <rFont val="Aptos Narrow"/>
        <family val="2"/>
      </rPr>
      <t>÷ 2 X 1,42 X 1,73 =</t>
    </r>
  </si>
  <si>
    <t>5.2</t>
  </si>
  <si>
    <t>5.2.1</t>
  </si>
  <si>
    <t>5.2.2</t>
  </si>
  <si>
    <t>5.2.3</t>
  </si>
  <si>
    <t>5.2.4</t>
  </si>
  <si>
    <t>5.2.5</t>
  </si>
  <si>
    <t>5.2.6</t>
  </si>
  <si>
    <t>5.2.7</t>
  </si>
  <si>
    <t>5.3</t>
  </si>
  <si>
    <t>5.3.1</t>
  </si>
  <si>
    <t>5.3.2</t>
  </si>
  <si>
    <t>5.3.3</t>
  </si>
  <si>
    <t>5.3.4</t>
  </si>
  <si>
    <t>5.3.5</t>
  </si>
  <si>
    <t>5.3.6</t>
  </si>
  <si>
    <t>5.3.7</t>
  </si>
  <si>
    <t>5.2.8</t>
  </si>
  <si>
    <t>5.3.8</t>
  </si>
  <si>
    <t>5.4</t>
  </si>
  <si>
    <t>5.4.1</t>
  </si>
  <si>
    <t>5.4.2</t>
  </si>
  <si>
    <t>5.4.3</t>
  </si>
  <si>
    <t>5.4.4</t>
  </si>
  <si>
    <t>5.4.5</t>
  </si>
  <si>
    <t>5.4.6</t>
  </si>
  <si>
    <t>5.4.7</t>
  </si>
  <si>
    <t>5.4.8</t>
  </si>
  <si>
    <t>5.5</t>
  </si>
  <si>
    <t>5.5.1</t>
  </si>
  <si>
    <t>5.5.2</t>
  </si>
  <si>
    <t>5.5.3</t>
  </si>
  <si>
    <t>5.5.4</t>
  </si>
  <si>
    <t>5.5.5</t>
  </si>
  <si>
    <t>5.5.6</t>
  </si>
  <si>
    <t>5.5.7</t>
  </si>
  <si>
    <t>5.5.8</t>
  </si>
  <si>
    <t>5.6</t>
  </si>
  <si>
    <t>5.6.1</t>
  </si>
  <si>
    <t>5.6.2</t>
  </si>
  <si>
    <t>5.6.3</t>
  </si>
  <si>
    <t>5.6.4</t>
  </si>
  <si>
    <t>5.6.5</t>
  </si>
  <si>
    <t>5.6.6</t>
  </si>
  <si>
    <t>5.6.7</t>
  </si>
  <si>
    <t>5.6.8</t>
  </si>
  <si>
    <t>GT1 - CS21</t>
  </si>
  <si>
    <t>GTD2 - CS21a-Trecho 1</t>
  </si>
  <si>
    <t>GTD3 - CS21a-Trecho 3.1</t>
  </si>
  <si>
    <t>GT1-CS27</t>
  </si>
  <si>
    <t>GTD1-CP3 - Trecho 2</t>
  </si>
  <si>
    <t>GTD1-CP3a - Trecho 2</t>
  </si>
  <si>
    <t>GTD3-CS25 - Trecho 1</t>
  </si>
  <si>
    <t>Etapa 1</t>
  </si>
  <si>
    <t>EB2</t>
  </si>
  <si>
    <t>AREA</t>
  </si>
  <si>
    <t>EQUIPAMENTO/MATERIAL</t>
  </si>
  <si>
    <t>PROPÓSITO</t>
  </si>
  <si>
    <t>PESO[kg] OU COMPRIMENJTO [m] TOTAL</t>
  </si>
  <si>
    <t>R$ MONTAGEM</t>
  </si>
  <si>
    <t>VALOR AQUISIÇÃO</t>
  </si>
  <si>
    <t>EB1</t>
  </si>
  <si>
    <t>TRANSFORMADOR A ÓLEO 138-6,6 kV, 10/12 MVA</t>
  </si>
  <si>
    <t>RESERVA</t>
  </si>
  <si>
    <t>PAINEL DE PROTEÇÃO DO TRANSFORMADOR</t>
  </si>
  <si>
    <t>NOVO</t>
  </si>
  <si>
    <t>CABOS HEPR 105º, 6/10 kV, 240 mm2</t>
  </si>
  <si>
    <t xml:space="preserve"> CUBÍCULOS DE MÉDIA TENSÃO CLASSE 7,2 kV</t>
  </si>
  <si>
    <t>CABOS HEPR 105º, 6/10 kV, 70 mm2</t>
  </si>
  <si>
    <t>CABOS HEPR 105º, 6/10 kV, 25 mm2</t>
  </si>
  <si>
    <t>SISTEMA DE CORRENTE CONTÍNUA</t>
  </si>
  <si>
    <t>TRANSFORMADOR A ÓLEO 138-6,6 kV, 5/6,5 MVA</t>
  </si>
  <si>
    <t>TRANSFORMADOR A SECO 13,8-0,46 kV, 1000 kVA</t>
  </si>
  <si>
    <t>CCM 460 V, 1600 A</t>
  </si>
  <si>
    <t>CABOS EPR 90º, 0,6/1 kV - 240 mm2</t>
  </si>
  <si>
    <t>CABOS EPR 90º, 0,6/1 kV - 120 mm2</t>
  </si>
  <si>
    <t>CABOS EPR 90º, 0,6/1 kV - 70 mm2</t>
  </si>
  <si>
    <t>CABOS EPR 90º, 0,6/1 kV - 25 mm2</t>
  </si>
  <si>
    <t>BANCO DE DUTOS 4X2, 4 POLEGADAS</t>
  </si>
  <si>
    <t>TRANSFORMADOR A SECO 13,8-0,46 kV, 500 kVA</t>
  </si>
  <si>
    <t>CCM 460 V, 800 A</t>
  </si>
  <si>
    <t>CABOS EPR 90º, 0,6/1 kV - 150 mm2</t>
  </si>
  <si>
    <t>BANCO DE DUTOS 3X2, 4 POLEGADAS</t>
  </si>
  <si>
    <t>TRANSFORMADOR A SECO 13,8-0,46 kV, 112,5 kVA</t>
  </si>
  <si>
    <t>CCM 460 V, 400 A</t>
  </si>
  <si>
    <t>CABOS EPR 90º, 0,6/1 kV - 4 mm2 - tetrapolar</t>
  </si>
  <si>
    <t>TRANSFORMADOR A SECO 13,8-0,46 kV, 150 kVA</t>
  </si>
  <si>
    <t>CABOS EPR 90º, 0,6/1 kV - 95 mm2</t>
  </si>
  <si>
    <t>ECs</t>
  </si>
  <si>
    <t>ALIMENTAÇÃO DE COMPORTA</t>
  </si>
  <si>
    <t>GERAL</t>
  </si>
  <si>
    <t>REDE AÉREA 13,8 kV</t>
  </si>
  <si>
    <t>SISTEMA DE COMUNICAÇÃO</t>
  </si>
  <si>
    <t>PREMISSAS</t>
  </si>
  <si>
    <t>NÃO ESTÁ INCLUSO OS ORÇAMENTOS REFERENTES AO SISTEMA DE ALTA TENSÃO EM 138 kV COM RELATÓRIOS JÁ ENVIADOS PELA CEMIG</t>
  </si>
  <si>
    <t>HAVERÁ UM SISTEMA DE 138 kV PARA ALIMENTAR A EB3 CONFORME ESTUDO DA CEMIG</t>
  </si>
  <si>
    <t>AMPLIAÇÃO DA INFRAESTRUTURA DA EB1</t>
  </si>
  <si>
    <t>EQUIPAMENTOS ELÉTRICOS</t>
  </si>
  <si>
    <t>Equipamenos ER1</t>
  </si>
  <si>
    <t>Equipamenos ER2</t>
  </si>
  <si>
    <t>Equipamenos ER3</t>
  </si>
  <si>
    <t>Equipamenos ER4</t>
  </si>
  <si>
    <t>Equipamenos Elétricos EB1</t>
  </si>
  <si>
    <t>Equipamenos Elétricos EB2</t>
  </si>
  <si>
    <t>Equipamenos Elétricos EB3</t>
  </si>
  <si>
    <t>EB2 - BOMBA: CAPACIDADE = 5,60 m3/s</t>
  </si>
  <si>
    <t>EB3 - BOMBA: CAPACIDADE = 5,67 m3/s</t>
  </si>
  <si>
    <t>SUBTOTAL ETAPA 4 (C2 + C3)</t>
  </si>
  <si>
    <t>SUBTOTAL ETAPA 3 (B2 + B3)</t>
  </si>
  <si>
    <t>Cronograma - Alternativa 1 (implantação independente entre Etapas)</t>
  </si>
  <si>
    <t>Ano de concessão</t>
  </si>
  <si>
    <t>Proj executivo</t>
  </si>
  <si>
    <t>E4-L1</t>
  </si>
  <si>
    <t>E4-L2</t>
  </si>
  <si>
    <t>E4-L3</t>
  </si>
  <si>
    <t>E3-L1</t>
  </si>
  <si>
    <t>E3-L2</t>
  </si>
  <si>
    <t>E3-L3</t>
  </si>
  <si>
    <t>E3-L4</t>
  </si>
  <si>
    <t>Faseamento Implantação Projeto Jaíba</t>
  </si>
  <si>
    <t>Etapa</t>
  </si>
  <si>
    <t>Lote</t>
  </si>
  <si>
    <t>Canais</t>
  </si>
  <si>
    <t>Ext. (km)</t>
  </si>
  <si>
    <t>Blocos</t>
  </si>
  <si>
    <t>Área (ha)</t>
  </si>
  <si>
    <t>Obs.</t>
  </si>
  <si>
    <t>CS19 (até EC3)</t>
  </si>
  <si>
    <t>CT1-S19</t>
  </si>
  <si>
    <t>CS19 (até final)</t>
  </si>
  <si>
    <t>CS21 (até EC3)</t>
  </si>
  <si>
    <t>CS21 (até final)</t>
  </si>
  <si>
    <t>CP3</t>
  </si>
  <si>
    <t>CP3a</t>
  </si>
  <si>
    <t>CP3b</t>
  </si>
  <si>
    <t>CS25</t>
  </si>
  <si>
    <t>N/A</t>
  </si>
  <si>
    <t>Regularização dos taludes do canal com solo-cimento (5% de cimento)</t>
  </si>
  <si>
    <t>E9017</t>
  </si>
  <si>
    <t>E9571</t>
  </si>
  <si>
    <t>E9647</t>
  </si>
  <si>
    <t>E9615</t>
  </si>
  <si>
    <t>E9575</t>
  </si>
  <si>
    <t>Cimento Portland CP II - 32</t>
  </si>
  <si>
    <t>CPU-CAN004</t>
  </si>
  <si>
    <t>Ancoragem da geomembrana com escavação de material de 1ª e 2ª categorias</t>
  </si>
  <si>
    <t>CPU-CAN005</t>
  </si>
  <si>
    <t>E9577</t>
  </si>
  <si>
    <t>Trator agrícola - 77 kW</t>
  </si>
  <si>
    <t>Escavadeira hidráulica sobre esteira com capacidade de 0,4 m³ - 64 kW</t>
  </si>
  <si>
    <t>Caminhão tanque com capacidade de 10.000 l - 188 kW</t>
  </si>
  <si>
    <t>Compactador manual com soquete vibratório - 4,10 kW</t>
  </si>
  <si>
    <t>Usina misturadora de solos com capacidade de 300 t/h - 44 kW</t>
  </si>
  <si>
    <t>Caminhão basculante com caçamba estanque com capacidade de 14 m³ - 210 kW</t>
  </si>
  <si>
    <t>Solo cimento</t>
  </si>
  <si>
    <t>Ancoragem</t>
  </si>
  <si>
    <t>1.1.1.12</t>
  </si>
  <si>
    <t>1.1.1.13</t>
  </si>
  <si>
    <t>1.13.1.10</t>
  </si>
  <si>
    <t>1.13.1.12</t>
  </si>
  <si>
    <t>1.13.1.13</t>
  </si>
  <si>
    <t>1.12.1.10</t>
  </si>
  <si>
    <t>1.12.1.12</t>
  </si>
  <si>
    <t>1.12.1.13</t>
  </si>
  <si>
    <t>1.11.1.10</t>
  </si>
  <si>
    <t>1.11.1.12</t>
  </si>
  <si>
    <t>1.11.1.13</t>
  </si>
  <si>
    <t>1.10.1.12</t>
  </si>
  <si>
    <t>1.10.1.13</t>
  </si>
  <si>
    <t>1.9.1.12</t>
  </si>
  <si>
    <t>1.9.1.13</t>
  </si>
  <si>
    <t>1.8.1.12</t>
  </si>
  <si>
    <t>1.8.1.13</t>
  </si>
  <si>
    <t>1.7.1.12</t>
  </si>
  <si>
    <t>1.7.1.13</t>
  </si>
  <si>
    <t>1.6.1.12</t>
  </si>
  <si>
    <t>1.6.1.13</t>
  </si>
  <si>
    <t>1.5.1.12</t>
  </si>
  <si>
    <t>1.5.1.13</t>
  </si>
  <si>
    <t>1.4.1.12</t>
  </si>
  <si>
    <t>1.4.1.13</t>
  </si>
  <si>
    <t>1.3.1.12</t>
  </si>
  <si>
    <t>1.3.1.13</t>
  </si>
  <si>
    <t>1.2.1.12</t>
  </si>
  <si>
    <t>1.2.1.13</t>
  </si>
  <si>
    <t>Magro</t>
  </si>
  <si>
    <t>2.1.14</t>
  </si>
  <si>
    <t>2.2.14</t>
  </si>
  <si>
    <t>2.3.14</t>
  </si>
  <si>
    <t>2.4.14</t>
  </si>
  <si>
    <t>2.6.14</t>
  </si>
  <si>
    <t>2.7.14</t>
  </si>
  <si>
    <t>2.8.14</t>
  </si>
  <si>
    <t>2.9.14</t>
  </si>
  <si>
    <t>Cimbramento:</t>
  </si>
  <si>
    <t>Laje: 7,70 x 7,00 x 2,80 =</t>
  </si>
  <si>
    <t>Laje: 9,70 x 8,40 x 2,80 =</t>
  </si>
  <si>
    <t>Laje: 4,50 x 2,50 x 2,80 =</t>
  </si>
  <si>
    <t>Laje: 7,70 x 4,30 x 2,80 =</t>
  </si>
  <si>
    <t>Laje: (4,20 x 3,60 + 3,50 x 2,55) x 2,80 =</t>
  </si>
  <si>
    <t>7.1.9</t>
  </si>
  <si>
    <t>7.4.9</t>
  </si>
  <si>
    <t>7.3.9</t>
  </si>
  <si>
    <t>7.2.9</t>
  </si>
  <si>
    <t>Brita: 1,40 x 2,100 x 0,30 =</t>
  </si>
  <si>
    <t>Brita: 1,00 x 665 x 0,30 =</t>
  </si>
  <si>
    <t>Brita: 1,20 x 1.683 x 0,30 =</t>
  </si>
  <si>
    <t>Brita: 0,90 x 1.377 x 0,30 =</t>
  </si>
  <si>
    <t>Brita: 0,90 x 1.537 x 0,30 =</t>
  </si>
  <si>
    <t>6.2.7</t>
  </si>
  <si>
    <t>6.1.7</t>
  </si>
  <si>
    <t>6.3.7</t>
  </si>
  <si>
    <t>6.4.7</t>
  </si>
  <si>
    <t>1.1.1.14</t>
  </si>
  <si>
    <t>1.2.1.14</t>
  </si>
  <si>
    <t>1.3.1.14</t>
  </si>
  <si>
    <t>1.4.1.14</t>
  </si>
  <si>
    <t>1.5.1.14</t>
  </si>
  <si>
    <t>1.6.1.14</t>
  </si>
  <si>
    <t>1.7.1.14</t>
  </si>
  <si>
    <t>1.8.1.14</t>
  </si>
  <si>
    <t>1.9.1.14</t>
  </si>
  <si>
    <t>1.10.1.14</t>
  </si>
  <si>
    <t>1.11.1.14</t>
  </si>
  <si>
    <t>1.12.1.14</t>
  </si>
  <si>
    <t>1.13.1.14</t>
  </si>
  <si>
    <t>DMT (KM) =</t>
  </si>
  <si>
    <t>EB2 - BOMBA: CAPACIDADE = 1,25 m3/s</t>
  </si>
  <si>
    <t>EB2 - BOMBA: CAPACIDADE = 2,50 m3/s</t>
  </si>
  <si>
    <t>G</t>
  </si>
  <si>
    <t>Instalação</t>
  </si>
  <si>
    <t>Atividade</t>
  </si>
  <si>
    <t>Custos com Participação Financeira do Cliente - Obras de Conexão (R$)</t>
  </si>
  <si>
    <t>Custos de Responsabilidade da Distribuidora - Obras de Conexão, Reforços e Melhorias (R$)</t>
  </si>
  <si>
    <t>Serviços e Fornecimentos Exclusivos CEMIG D (R$)</t>
  </si>
  <si>
    <t>Total (R$)</t>
  </si>
  <si>
    <t>SE Manga 5</t>
  </si>
  <si>
    <t>Instalação de 1 seção de entrada de linha 138 kV para conexão do consumidor.</t>
  </si>
  <si>
    <t>LD 138 kV SE EB3 - Manga 5</t>
  </si>
  <si>
    <t>Construção de aproximadamente 16,5 km de linha de distribuição 138 kV. Especificação: cabo Linnet (170,5 mm²), 25 MVA, estrutura metálica de circuito simples.</t>
  </si>
  <si>
    <t>CUSTO TOTAL DAS OBRAS</t>
  </si>
  <si>
    <t>Custo de Perdas</t>
  </si>
  <si>
    <t>CUSTO TOTAL DA ALTERNATIVA</t>
  </si>
  <si>
    <t>Instalação de 1 seção de entrada de linha 138 kV para conexão do consumidor</t>
  </si>
  <si>
    <t>CONEXÃO DA EB3 COM REDE DE ENERGIA ELÉTRICA</t>
  </si>
  <si>
    <t>H</t>
  </si>
  <si>
    <t>CONEXÃO DO PONTO P1 COM REDE DE ENERGIA ELÉTRICA</t>
  </si>
  <si>
    <t>P1</t>
  </si>
  <si>
    <t>SE Integração</t>
  </si>
  <si>
    <t>Construção de subestação de integração 138 kV próxima à linha com 3 disjuntores e casa de controle.</t>
  </si>
  <si>
    <t>LD 138 kV Jaíba 1 - Manga 5</t>
  </si>
  <si>
    <t>Seccionamento da LD e construção de aproximadamente 0,25 km de circuito duplo para interligação da SE de Integração; Especificação da LD: cabo Linnet 170,50 mm²; estrutura metálica de circuito duplo.</t>
  </si>
  <si>
    <t>LD 138 kV SE P1 - SE Integração</t>
  </si>
  <si>
    <t>Obras de Conexão (Cliente)</t>
  </si>
  <si>
    <t>Obras de Conexão, Reforços e Melhorias (Distribuidora)</t>
  </si>
  <si>
    <t>Serviços e Fornecimentos Exclusivos CEMIG D</t>
  </si>
  <si>
    <t>Construção de aproximadamente 0,5 km de linha de distribuição 138 kV; Especificação: cabo Linnet (170,5 mm²), 125 MVA, estrutura metálica de circuito simples.</t>
  </si>
  <si>
    <t>TRANSFORMADOR A ÓLEO 138-6,6 kV, 15 MVA</t>
  </si>
  <si>
    <t>Ampliação EB1, 2 e 3 e conexão com CEMIG</t>
  </si>
  <si>
    <t>REVISÃO</t>
  </si>
  <si>
    <t>EXCLUÍDO DO ORÇAMENTO REVISADO</t>
  </si>
  <si>
    <t>EXCLUÍDO NO ORÇAMENTO REVISADO</t>
  </si>
  <si>
    <t>EXCLUÍDOS</t>
  </si>
  <si>
    <t>1.7.</t>
  </si>
  <si>
    <t>ELIMINADO</t>
  </si>
  <si>
    <t>EX-5 - CT1-CS19-Trecho 1 - km 3+950</t>
  </si>
  <si>
    <t>Equipamentos, peças e acessórios</t>
  </si>
  <si>
    <t>E4-L2i</t>
  </si>
  <si>
    <t>E4-L3i</t>
  </si>
  <si>
    <t>Canteiro de obras - E3</t>
  </si>
  <si>
    <t>Supervisão de obras - E3</t>
  </si>
  <si>
    <t>Canteiro de obras - E4</t>
  </si>
  <si>
    <t>Supervisão de obras - E4</t>
  </si>
  <si>
    <t>Aux_Cronograma</t>
  </si>
  <si>
    <t>CANTEIRO</t>
  </si>
  <si>
    <t>PROJETO3</t>
  </si>
  <si>
    <t>SUP3</t>
  </si>
  <si>
    <t>E3-L2i</t>
  </si>
  <si>
    <t>E3-L1i</t>
  </si>
  <si>
    <t>E3-L3i</t>
  </si>
  <si>
    <t>E3-L4i</t>
  </si>
  <si>
    <t>PEÇAS3</t>
  </si>
  <si>
    <t>PROJETO4</t>
  </si>
  <si>
    <t>SUP4</t>
  </si>
  <si>
    <t>E4-L1i</t>
  </si>
  <si>
    <t>PEÇAS4</t>
  </si>
  <si>
    <t>EB 1</t>
  </si>
  <si>
    <t>EB 3</t>
  </si>
  <si>
    <t>EB 2</t>
  </si>
  <si>
    <t>CEMIG</t>
  </si>
  <si>
    <t>Cronograma</t>
  </si>
  <si>
    <t>Total Lotes</t>
  </si>
  <si>
    <t>Lotes E3</t>
  </si>
  <si>
    <t>Lotes 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</si>
</sst>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mmmm/yyyy"/>
    <numFmt numFmtId="166" formatCode="_-* #,##0.000_-;\-* #,##0.000_-;_-* &quot;-&quot;??_-;_-@_-"/>
    <numFmt numFmtId="167" formatCode="_-* #,##0.000000_-;\-* #,##0.000000_-;_-* &quot;-&quot;??_-;_-@_-"/>
    <numFmt numFmtId="168" formatCode="_-* #,##0.0000_-;\-* #,##0.0000_-;_-* &quot;-&quot;??_-;_-@_-"/>
    <numFmt numFmtId="169" formatCode="0.000"/>
    <numFmt numFmtId="170" formatCode="0.0000"/>
    <numFmt numFmtId="171" formatCode="0.0"/>
    <numFmt numFmtId="172" formatCode="&quot;R$&quot;\ #,##0.00"/>
    <numFmt numFmtId="173" formatCode="_-* #,##0_-;\-* #,##0_-;_-* &quot;-&quot;??_-;_-@_-"/>
    <numFmt numFmtId="174" formatCode="#,##0.0"/>
    <numFmt numFmtId="175" formatCode="_(* #,##0_);_(* \(#,##0\);_(* &quot;-&quot;??_);_(@_)"/>
    <numFmt numFmtId="176" formatCode="_-* #,##0_-;\-* #,##0_-;_-* &quot;-&quot;?_-;_-@_-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2"/>
      <color theme="1"/>
      <name val="Montserrat"/>
      <family val="2"/>
    </font>
    <font>
      <b/>
      <sz val="12"/>
      <color theme="1"/>
      <name val="Montserrat"/>
    </font>
    <font>
      <b/>
      <sz val="14"/>
      <color theme="1"/>
      <name val="Montserrat"/>
    </font>
    <font>
      <b/>
      <sz val="11"/>
      <name val="Aptos Narrow"/>
      <family val="2"/>
      <scheme val="minor"/>
    </font>
    <font>
      <b/>
      <sz val="9"/>
      <name val="Aptos Narrow"/>
      <family val="2"/>
      <scheme val="minor"/>
    </font>
    <font>
      <b/>
      <sz val="14"/>
      <name val="Aptos Narrow"/>
      <family val="2"/>
      <scheme val="minor"/>
    </font>
    <font>
      <sz val="10"/>
      <color theme="1"/>
      <name val="Calibri"/>
      <family val="2"/>
    </font>
    <font>
      <sz val="10"/>
      <color rgb="FF0000FF"/>
      <name val="Calibri"/>
      <family val="2"/>
    </font>
    <font>
      <b/>
      <sz val="12"/>
      <color theme="1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99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9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164" fontId="1" fillId="0" borderId="0" applyFont="0" applyFill="0" applyBorder="0" applyAlignment="0" applyProtection="0"/>
    <xf numFmtId="175" fontId="20" fillId="21" borderId="0" applyNumberFormat="0" applyBorder="0" applyAlignment="0">
      <alignment vertical="center"/>
    </xf>
    <xf numFmtId="0" fontId="1" fillId="0" borderId="0"/>
    <xf numFmtId="9" fontId="21" fillId="22" borderId="0" applyNumberFormat="0" applyBorder="0" applyAlignment="0">
      <alignment vertical="center"/>
    </xf>
  </cellStyleXfs>
  <cellXfs count="357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43" fontId="0" fillId="0" borderId="0" xfId="1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3" fontId="0" fillId="0" borderId="1" xfId="1" applyFont="1" applyBorder="1" applyAlignment="1">
      <alignment horizontal="center"/>
    </xf>
    <xf numFmtId="0" fontId="4" fillId="0" borderId="0" xfId="0" applyFont="1"/>
    <xf numFmtId="10" fontId="0" fillId="0" borderId="0" xfId="2" applyNumberFormat="1" applyFont="1"/>
    <xf numFmtId="0" fontId="2" fillId="0" borderId="0" xfId="0" applyFont="1"/>
    <xf numFmtId="10" fontId="2" fillId="0" borderId="0" xfId="2" applyNumberFormat="1" applyFont="1"/>
    <xf numFmtId="10" fontId="0" fillId="0" borderId="0" xfId="0" applyNumberFormat="1" applyAlignment="1">
      <alignment horizontal="center"/>
    </xf>
    <xf numFmtId="10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8" fillId="0" borderId="0" xfId="0" applyFont="1"/>
    <xf numFmtId="166" fontId="8" fillId="0" borderId="0" xfId="1" applyNumberFormat="1" applyFont="1"/>
    <xf numFmtId="167" fontId="8" fillId="0" borderId="0" xfId="1" applyNumberFormat="1" applyFont="1"/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3" fontId="8" fillId="0" borderId="1" xfId="1" applyFont="1" applyBorder="1" applyAlignment="1">
      <alignment horizontal="center" vertical="center"/>
    </xf>
    <xf numFmtId="166" fontId="8" fillId="0" borderId="1" xfId="1" applyNumberFormat="1" applyFont="1" applyBorder="1" applyAlignment="1">
      <alignment horizontal="center" vertical="center"/>
    </xf>
    <xf numFmtId="167" fontId="8" fillId="0" borderId="1" xfId="1" applyNumberFormat="1" applyFont="1" applyBorder="1" applyAlignment="1">
      <alignment horizontal="center" vertical="center"/>
    </xf>
    <xf numFmtId="166" fontId="8" fillId="0" borderId="0" xfId="1" applyNumberFormat="1" applyFont="1" applyAlignment="1">
      <alignment horizontal="center" vertical="center"/>
    </xf>
    <xf numFmtId="167" fontId="8" fillId="0" borderId="0" xfId="1" applyNumberFormat="1" applyFont="1" applyAlignment="1">
      <alignment horizontal="center" vertical="center"/>
    </xf>
    <xf numFmtId="10" fontId="8" fillId="0" borderId="1" xfId="2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168" fontId="8" fillId="0" borderId="1" xfId="1" applyNumberFormat="1" applyFont="1" applyBorder="1" applyAlignment="1">
      <alignment horizontal="center" vertical="center"/>
    </xf>
    <xf numFmtId="169" fontId="8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170" fontId="8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43" fontId="2" fillId="0" borderId="1" xfId="1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43" fontId="0" fillId="0" borderId="0" xfId="0" applyNumberFormat="1"/>
    <xf numFmtId="43" fontId="2" fillId="0" borderId="0" xfId="1" applyFont="1"/>
    <xf numFmtId="43" fontId="0" fillId="3" borderId="0" xfId="0" applyNumberFormat="1" applyFill="1"/>
    <xf numFmtId="43" fontId="0" fillId="3" borderId="0" xfId="1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43" fontId="0" fillId="4" borderId="0" xfId="0" applyNumberFormat="1" applyFill="1"/>
    <xf numFmtId="43" fontId="0" fillId="4" borderId="0" xfId="1" applyFont="1" applyFill="1"/>
    <xf numFmtId="43" fontId="0" fillId="4" borderId="0" xfId="1" applyFont="1" applyFill="1" applyAlignment="1">
      <alignment horizontal="center"/>
    </xf>
    <xf numFmtId="0" fontId="2" fillId="5" borderId="1" xfId="0" applyFont="1" applyFill="1" applyBorder="1" applyAlignment="1">
      <alignment horizontal="center"/>
    </xf>
    <xf numFmtId="10" fontId="0" fillId="3" borderId="0" xfId="0" applyNumberFormat="1" applyFill="1"/>
    <xf numFmtId="0" fontId="10" fillId="0" borderId="0" xfId="0" applyFont="1" applyAlignment="1">
      <alignment horizontal="center"/>
    </xf>
    <xf numFmtId="0" fontId="10" fillId="0" borderId="0" xfId="0" applyFont="1"/>
    <xf numFmtId="43" fontId="10" fillId="0" borderId="0" xfId="1" applyFont="1"/>
    <xf numFmtId="43" fontId="10" fillId="0" borderId="0" xfId="0" applyNumberFormat="1" applyFont="1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43" fontId="2" fillId="0" borderId="1" xfId="0" applyNumberFormat="1" applyFont="1" applyBorder="1" applyAlignment="1">
      <alignment horizontal="center" vertical="center" wrapText="1"/>
    </xf>
    <xf numFmtId="43" fontId="0" fillId="6" borderId="0" xfId="1" applyFont="1" applyFill="1"/>
    <xf numFmtId="43" fontId="0" fillId="6" borderId="0" xfId="0" applyNumberFormat="1" applyFill="1"/>
    <xf numFmtId="43" fontId="1" fillId="6" borderId="0" xfId="1" applyFont="1" applyFill="1"/>
    <xf numFmtId="10" fontId="0" fillId="3" borderId="0" xfId="2" applyNumberFormat="1" applyFont="1" applyFill="1"/>
    <xf numFmtId="0" fontId="2" fillId="0" borderId="0" xfId="0" quotePrefix="1" applyFont="1"/>
    <xf numFmtId="44" fontId="2" fillId="0" borderId="0" xfId="5" applyFont="1" applyAlignment="1">
      <alignment horizontal="right"/>
    </xf>
    <xf numFmtId="0" fontId="11" fillId="3" borderId="0" xfId="0" applyFont="1" applyFill="1"/>
    <xf numFmtId="43" fontId="11" fillId="3" borderId="0" xfId="1" applyFont="1" applyFill="1"/>
    <xf numFmtId="0" fontId="2" fillId="8" borderId="8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 vertical="center" wrapText="1"/>
    </xf>
    <xf numFmtId="0" fontId="2" fillId="8" borderId="16" xfId="0" applyFont="1" applyFill="1" applyBorder="1" applyAlignment="1">
      <alignment horizontal="center" vertical="center" wrapText="1"/>
    </xf>
    <xf numFmtId="0" fontId="2" fillId="8" borderId="17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8" xfId="0" applyFont="1" applyFill="1" applyBorder="1" applyAlignment="1">
      <alignment horizontal="center" vertical="center" wrapText="1"/>
    </xf>
    <xf numFmtId="0" fontId="0" fillId="5" borderId="17" xfId="0" applyFill="1" applyBorder="1"/>
    <xf numFmtId="0" fontId="0" fillId="5" borderId="2" xfId="0" applyFill="1" applyBorder="1"/>
    <xf numFmtId="2" fontId="0" fillId="0" borderId="19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5" borderId="24" xfId="0" applyFill="1" applyBorder="1"/>
    <xf numFmtId="0" fontId="0" fillId="5" borderId="25" xfId="0" applyFill="1" applyBorder="1"/>
    <xf numFmtId="2" fontId="0" fillId="0" borderId="26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0" fontId="0" fillId="0" borderId="29" xfId="0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171" fontId="0" fillId="0" borderId="32" xfId="0" applyNumberFormat="1" applyBorder="1" applyAlignment="1">
      <alignment horizontal="center" vertical="center"/>
    </xf>
    <xf numFmtId="171" fontId="0" fillId="0" borderId="33" xfId="0" applyNumberFormat="1" applyBorder="1" applyAlignment="1">
      <alignment horizontal="center" vertical="center"/>
    </xf>
    <xf numFmtId="171" fontId="0" fillId="0" borderId="7" xfId="0" applyNumberFormat="1" applyBorder="1" applyAlignment="1">
      <alignment horizontal="center" vertical="center"/>
    </xf>
    <xf numFmtId="0" fontId="0" fillId="7" borderId="10" xfId="0" applyFill="1" applyBorder="1" applyAlignment="1">
      <alignment horizontal="left" vertical="center" wrapText="1"/>
    </xf>
    <xf numFmtId="2" fontId="0" fillId="0" borderId="13" xfId="0" applyNumberFormat="1" applyBorder="1"/>
    <xf numFmtId="0" fontId="0" fillId="0" borderId="34" xfId="0" applyBorder="1"/>
    <xf numFmtId="0" fontId="0" fillId="7" borderId="26" xfId="0" applyFill="1" applyBorder="1" applyAlignment="1">
      <alignment horizontal="left" vertical="center" wrapText="1"/>
    </xf>
    <xf numFmtId="2" fontId="0" fillId="0" borderId="31" xfId="0" applyNumberFormat="1" applyBorder="1"/>
    <xf numFmtId="0" fontId="0" fillId="0" borderId="30" xfId="0" applyBorder="1"/>
    <xf numFmtId="0" fontId="2" fillId="0" borderId="1" xfId="0" applyFont="1" applyBorder="1" applyAlignment="1">
      <alignment horizontal="center" wrapText="1"/>
    </xf>
    <xf numFmtId="2" fontId="0" fillId="0" borderId="1" xfId="0" applyNumberFormat="1" applyBorder="1"/>
    <xf numFmtId="1" fontId="0" fillId="0" borderId="1" xfId="0" applyNumberFormat="1" applyBorder="1"/>
    <xf numFmtId="172" fontId="0" fillId="0" borderId="1" xfId="0" applyNumberFormat="1" applyBorder="1"/>
    <xf numFmtId="43" fontId="0" fillId="0" borderId="1" xfId="1" applyFont="1" applyFill="1" applyBorder="1" applyAlignment="1">
      <alignment horizontal="center"/>
    </xf>
    <xf numFmtId="43" fontId="11" fillId="0" borderId="0" xfId="1" applyFont="1" applyFill="1"/>
    <xf numFmtId="43" fontId="0" fillId="0" borderId="0" xfId="1" applyFont="1" applyFill="1"/>
    <xf numFmtId="0" fontId="2" fillId="10" borderId="0" xfId="0" applyFont="1" applyFill="1"/>
    <xf numFmtId="0" fontId="0" fillId="10" borderId="0" xfId="0" applyFill="1"/>
    <xf numFmtId="43" fontId="2" fillId="10" borderId="0" xfId="0" applyNumberFormat="1" applyFont="1" applyFill="1"/>
    <xf numFmtId="43" fontId="2" fillId="10" borderId="0" xfId="1" applyFont="1" applyFill="1"/>
    <xf numFmtId="43" fontId="13" fillId="10" borderId="0" xfId="0" applyNumberFormat="1" applyFont="1" applyFill="1"/>
    <xf numFmtId="0" fontId="8" fillId="0" borderId="1" xfId="0" applyFont="1" applyBorder="1"/>
    <xf numFmtId="43" fontId="2" fillId="0" borderId="0" xfId="1" applyFont="1" applyFill="1"/>
    <xf numFmtId="43" fontId="8" fillId="0" borderId="1" xfId="0" applyNumberFormat="1" applyFont="1" applyBorder="1"/>
    <xf numFmtId="43" fontId="8" fillId="0" borderId="1" xfId="1" applyFont="1" applyBorder="1"/>
    <xf numFmtId="0" fontId="8" fillId="0" borderId="35" xfId="0" applyFont="1" applyBorder="1"/>
    <xf numFmtId="0" fontId="15" fillId="0" borderId="36" xfId="6" applyFont="1" applyBorder="1" applyAlignment="1">
      <alignment horizontal="center" vertical="center"/>
    </xf>
    <xf numFmtId="0" fontId="15" fillId="0" borderId="37" xfId="6" applyFont="1" applyBorder="1" applyAlignment="1">
      <alignment horizontal="center" vertical="center"/>
    </xf>
    <xf numFmtId="0" fontId="15" fillId="0" borderId="37" xfId="6" applyFont="1" applyBorder="1" applyAlignment="1">
      <alignment horizontal="center" vertical="center" wrapText="1"/>
    </xf>
    <xf numFmtId="0" fontId="15" fillId="0" borderId="38" xfId="6" applyFont="1" applyBorder="1" applyAlignment="1">
      <alignment horizontal="center" vertical="center"/>
    </xf>
    <xf numFmtId="0" fontId="14" fillId="0" borderId="0" xfId="6"/>
    <xf numFmtId="0" fontId="14" fillId="12" borderId="39" xfId="6" applyFill="1" applyBorder="1"/>
    <xf numFmtId="0" fontId="14" fillId="12" borderId="40" xfId="6" applyFill="1" applyBorder="1"/>
    <xf numFmtId="173" fontId="0" fillId="12" borderId="40" xfId="7" applyNumberFormat="1" applyFont="1" applyFill="1" applyBorder="1"/>
    <xf numFmtId="173" fontId="0" fillId="12" borderId="41" xfId="7" applyNumberFormat="1" applyFont="1" applyFill="1" applyBorder="1"/>
    <xf numFmtId="0" fontId="14" fillId="13" borderId="39" xfId="6" applyFill="1" applyBorder="1"/>
    <xf numFmtId="0" fontId="14" fillId="13" borderId="40" xfId="6" applyFill="1" applyBorder="1"/>
    <xf numFmtId="173" fontId="0" fillId="13" borderId="40" xfId="7" applyNumberFormat="1" applyFont="1" applyFill="1" applyBorder="1"/>
    <xf numFmtId="173" fontId="0" fillId="13" borderId="41" xfId="7" applyNumberFormat="1" applyFont="1" applyFill="1" applyBorder="1"/>
    <xf numFmtId="0" fontId="14" fillId="14" borderId="39" xfId="6" applyFill="1" applyBorder="1"/>
    <xf numFmtId="0" fontId="14" fillId="14" borderId="40" xfId="6" applyFill="1" applyBorder="1"/>
    <xf numFmtId="173" fontId="0" fillId="14" borderId="40" xfId="7" applyNumberFormat="1" applyFont="1" applyFill="1" applyBorder="1"/>
    <xf numFmtId="173" fontId="0" fillId="14" borderId="41" xfId="7" applyNumberFormat="1" applyFont="1" applyFill="1" applyBorder="1"/>
    <xf numFmtId="0" fontId="14" fillId="4" borderId="39" xfId="6" applyFill="1" applyBorder="1"/>
    <xf numFmtId="0" fontId="14" fillId="4" borderId="40" xfId="6" applyFill="1" applyBorder="1"/>
    <xf numFmtId="173" fontId="0" fillId="4" borderId="40" xfId="7" applyNumberFormat="1" applyFont="1" applyFill="1" applyBorder="1"/>
    <xf numFmtId="173" fontId="0" fillId="4" borderId="41" xfId="7" applyNumberFormat="1" applyFont="1" applyFill="1" applyBorder="1"/>
    <xf numFmtId="0" fontId="14" fillId="15" borderId="39" xfId="6" applyFill="1" applyBorder="1"/>
    <xf numFmtId="0" fontId="14" fillId="15" borderId="40" xfId="6" applyFill="1" applyBorder="1"/>
    <xf numFmtId="173" fontId="0" fillId="15" borderId="40" xfId="7" applyNumberFormat="1" applyFont="1" applyFill="1" applyBorder="1"/>
    <xf numFmtId="173" fontId="0" fillId="15" borderId="41" xfId="7" applyNumberFormat="1" applyFont="1" applyFill="1" applyBorder="1"/>
    <xf numFmtId="0" fontId="14" fillId="16" borderId="39" xfId="6" applyFill="1" applyBorder="1"/>
    <xf numFmtId="0" fontId="14" fillId="16" borderId="40" xfId="6" applyFill="1" applyBorder="1"/>
    <xf numFmtId="173" fontId="0" fillId="16" borderId="40" xfId="7" applyNumberFormat="1" applyFont="1" applyFill="1" applyBorder="1"/>
    <xf numFmtId="173" fontId="0" fillId="16" borderId="41" xfId="7" applyNumberFormat="1" applyFont="1" applyFill="1" applyBorder="1"/>
    <xf numFmtId="0" fontId="14" fillId="17" borderId="39" xfId="6" applyFill="1" applyBorder="1"/>
    <xf numFmtId="0" fontId="14" fillId="17" borderId="40" xfId="6" applyFill="1" applyBorder="1"/>
    <xf numFmtId="173" fontId="0" fillId="17" borderId="40" xfId="7" applyNumberFormat="1" applyFont="1" applyFill="1" applyBorder="1"/>
    <xf numFmtId="173" fontId="0" fillId="17" borderId="41" xfId="7" applyNumberFormat="1" applyFont="1" applyFill="1" applyBorder="1"/>
    <xf numFmtId="0" fontId="14" fillId="18" borderId="39" xfId="6" applyFill="1" applyBorder="1"/>
    <xf numFmtId="0" fontId="14" fillId="18" borderId="40" xfId="6" applyFill="1" applyBorder="1"/>
    <xf numFmtId="173" fontId="0" fillId="18" borderId="40" xfId="7" applyNumberFormat="1" applyFont="1" applyFill="1" applyBorder="1"/>
    <xf numFmtId="173" fontId="0" fillId="18" borderId="41" xfId="7" applyNumberFormat="1" applyFont="1" applyFill="1" applyBorder="1"/>
    <xf numFmtId="0" fontId="14" fillId="19" borderId="42" xfId="6" applyFill="1" applyBorder="1"/>
    <xf numFmtId="0" fontId="14" fillId="19" borderId="43" xfId="6" applyFill="1" applyBorder="1"/>
    <xf numFmtId="173" fontId="0" fillId="19" borderId="43" xfId="7" applyNumberFormat="1" applyFont="1" applyFill="1" applyBorder="1"/>
    <xf numFmtId="173" fontId="0" fillId="19" borderId="44" xfId="7" applyNumberFormat="1" applyFont="1" applyFill="1" applyBorder="1"/>
    <xf numFmtId="0" fontId="14" fillId="19" borderId="45" xfId="6" applyFill="1" applyBorder="1"/>
    <xf numFmtId="0" fontId="14" fillId="19" borderId="46" xfId="6" applyFill="1" applyBorder="1"/>
    <xf numFmtId="173" fontId="0" fillId="19" borderId="46" xfId="7" applyNumberFormat="1" applyFont="1" applyFill="1" applyBorder="1"/>
    <xf numFmtId="173" fontId="0" fillId="19" borderId="47" xfId="7" applyNumberFormat="1" applyFont="1" applyFill="1" applyBorder="1"/>
    <xf numFmtId="173" fontId="16" fillId="2" borderId="2" xfId="7" applyNumberFormat="1" applyFont="1" applyFill="1" applyBorder="1"/>
    <xf numFmtId="173" fontId="16" fillId="2" borderId="4" xfId="6" applyNumberFormat="1" applyFont="1" applyFill="1" applyBorder="1"/>
    <xf numFmtId="173" fontId="0" fillId="0" borderId="0" xfId="7" applyNumberFormat="1" applyFont="1"/>
    <xf numFmtId="0" fontId="3" fillId="0" borderId="0" xfId="0" applyFont="1"/>
    <xf numFmtId="0" fontId="2" fillId="0" borderId="1" xfId="0" applyFont="1" applyBorder="1" applyAlignment="1">
      <alignment horizontal="center" wrapText="1" shrinkToFit="1"/>
    </xf>
    <xf numFmtId="43" fontId="0" fillId="5" borderId="1" xfId="0" applyNumberFormat="1" applyFill="1" applyBorder="1"/>
    <xf numFmtId="0" fontId="2" fillId="0" borderId="4" xfId="0" applyFont="1" applyBorder="1" applyAlignment="1">
      <alignment horizontal="center"/>
    </xf>
    <xf numFmtId="171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71" fontId="2" fillId="5" borderId="1" xfId="0" applyNumberFormat="1" applyFont="1" applyFill="1" applyBorder="1" applyAlignment="1">
      <alignment horizontal="center"/>
    </xf>
    <xf numFmtId="3" fontId="2" fillId="5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71" fontId="2" fillId="4" borderId="1" xfId="0" applyNumberFormat="1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173" fontId="0" fillId="9" borderId="40" xfId="7" applyNumberFormat="1" applyFont="1" applyFill="1" applyBorder="1" applyAlignment="1">
      <alignment horizontal="right"/>
    </xf>
    <xf numFmtId="0" fontId="0" fillId="9" borderId="40" xfId="0" applyFill="1" applyBorder="1"/>
    <xf numFmtId="168" fontId="8" fillId="0" borderId="0" xfId="1" applyNumberFormat="1" applyFont="1" applyAlignment="1">
      <alignment horizontal="center" vertical="center"/>
    </xf>
    <xf numFmtId="43" fontId="10" fillId="6" borderId="0" xfId="1" applyFont="1" applyFill="1"/>
    <xf numFmtId="43" fontId="10" fillId="4" borderId="0" xfId="0" applyNumberFormat="1" applyFont="1" applyFill="1"/>
    <xf numFmtId="43" fontId="13" fillId="0" borderId="0" xfId="1" applyFont="1"/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43" fontId="11" fillId="0" borderId="1" xfId="1" applyFont="1" applyBorder="1" applyAlignment="1">
      <alignment horizontal="left" vertical="center"/>
    </xf>
    <xf numFmtId="43" fontId="11" fillId="0" borderId="1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1" fillId="0" borderId="1" xfId="0" applyFont="1" applyBorder="1"/>
    <xf numFmtId="43" fontId="11" fillId="0" borderId="1" xfId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/>
    </xf>
    <xf numFmtId="49" fontId="17" fillId="5" borderId="1" xfId="0" applyNumberFormat="1" applyFont="1" applyFill="1" applyBorder="1" applyAlignment="1">
      <alignment horizontal="center"/>
    </xf>
    <xf numFmtId="0" fontId="17" fillId="5" borderId="1" xfId="0" applyFont="1" applyFill="1" applyBorder="1"/>
    <xf numFmtId="43" fontId="17" fillId="5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43" fontId="17" fillId="0" borderId="1" xfId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0" fontId="17" fillId="0" borderId="1" xfId="0" applyFont="1" applyBorder="1"/>
    <xf numFmtId="43" fontId="17" fillId="0" borderId="1" xfId="0" applyNumberFormat="1" applyFont="1" applyBorder="1" applyAlignment="1">
      <alignment horizontal="center"/>
    </xf>
    <xf numFmtId="0" fontId="17" fillId="0" borderId="0" xfId="0" applyFont="1"/>
    <xf numFmtId="0" fontId="11" fillId="5" borderId="1" xfId="0" applyFont="1" applyFill="1" applyBorder="1" applyAlignment="1">
      <alignment horizontal="center"/>
    </xf>
    <xf numFmtId="49" fontId="11" fillId="5" borderId="1" xfId="0" applyNumberFormat="1" applyFont="1" applyFill="1" applyBorder="1" applyAlignment="1">
      <alignment horizontal="center"/>
    </xf>
    <xf numFmtId="0" fontId="11" fillId="5" borderId="1" xfId="0" applyFont="1" applyFill="1" applyBorder="1"/>
    <xf numFmtId="43" fontId="11" fillId="5" borderId="1" xfId="1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49" fontId="11" fillId="11" borderId="1" xfId="0" applyNumberFormat="1" applyFont="1" applyFill="1" applyBorder="1" applyAlignment="1">
      <alignment horizontal="center"/>
    </xf>
    <xf numFmtId="0" fontId="11" fillId="11" borderId="1" xfId="0" applyFont="1" applyFill="1" applyBorder="1"/>
    <xf numFmtId="43" fontId="11" fillId="11" borderId="1" xfId="1" applyFont="1" applyFill="1" applyBorder="1" applyAlignment="1">
      <alignment horizontal="center"/>
    </xf>
    <xf numFmtId="0" fontId="11" fillId="0" borderId="1" xfId="0" applyFont="1" applyBorder="1" applyAlignment="1">
      <alignment vertical="center"/>
    </xf>
    <xf numFmtId="0" fontId="18" fillId="0" borderId="0" xfId="0" applyFont="1"/>
    <xf numFmtId="0" fontId="11" fillId="0" borderId="0" xfId="0" applyFont="1"/>
    <xf numFmtId="0" fontId="11" fillId="0" borderId="0" xfId="0" applyFont="1" applyAlignment="1">
      <alignment horizontal="right"/>
    </xf>
    <xf numFmtId="165" fontId="11" fillId="0" borderId="0" xfId="0" applyNumberFormat="1" applyFont="1"/>
    <xf numFmtId="10" fontId="11" fillId="0" borderId="0" xfId="0" applyNumberFormat="1" applyFont="1"/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43" fontId="17" fillId="0" borderId="1" xfId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43" fontId="17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3" fontId="11" fillId="0" borderId="1" xfId="1" applyFont="1" applyBorder="1"/>
    <xf numFmtId="0" fontId="11" fillId="0" borderId="0" xfId="0" applyFont="1" applyAlignment="1">
      <alignment vertical="center"/>
    </xf>
    <xf numFmtId="0" fontId="11" fillId="2" borderId="1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11" fillId="2" borderId="1" xfId="0" applyFont="1" applyFill="1" applyBorder="1"/>
    <xf numFmtId="43" fontId="11" fillId="2" borderId="1" xfId="1" applyFont="1" applyFill="1" applyBorder="1" applyAlignment="1">
      <alignment horizontal="center"/>
    </xf>
    <xf numFmtId="43" fontId="11" fillId="0" borderId="1" xfId="1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17" fillId="0" borderId="1" xfId="0" applyFont="1" applyBorder="1" applyAlignment="1">
      <alignment wrapText="1" shrinkToFit="1"/>
    </xf>
    <xf numFmtId="172" fontId="10" fillId="0" borderId="1" xfId="0" applyNumberFormat="1" applyFont="1" applyBorder="1"/>
    <xf numFmtId="173" fontId="0" fillId="9" borderId="40" xfId="7" applyNumberFormat="1" applyFont="1" applyFill="1" applyBorder="1"/>
    <xf numFmtId="173" fontId="0" fillId="9" borderId="41" xfId="7" applyNumberFormat="1" applyFont="1" applyFill="1" applyBorder="1"/>
    <xf numFmtId="0" fontId="13" fillId="0" borderId="1" xfId="0" applyFont="1" applyBorder="1" applyAlignment="1">
      <alignment wrapText="1" shrinkToFit="1"/>
    </xf>
    <xf numFmtId="10" fontId="0" fillId="5" borderId="1" xfId="2" applyNumberFormat="1" applyFont="1" applyFill="1" applyBorder="1"/>
    <xf numFmtId="0" fontId="10" fillId="0" borderId="1" xfId="0" applyFont="1" applyBorder="1"/>
    <xf numFmtId="0" fontId="0" fillId="20" borderId="0" xfId="0" applyFill="1"/>
    <xf numFmtId="43" fontId="0" fillId="20" borderId="0" xfId="1" applyFont="1" applyFill="1"/>
    <xf numFmtId="43" fontId="10" fillId="20" borderId="0" xfId="1" applyFont="1" applyFill="1"/>
    <xf numFmtId="43" fontId="11" fillId="20" borderId="0" xfId="1" applyFont="1" applyFill="1"/>
    <xf numFmtId="43" fontId="2" fillId="20" borderId="0" xfId="1" applyFont="1" applyFill="1"/>
    <xf numFmtId="43" fontId="11" fillId="0" borderId="0" xfId="1" applyFont="1"/>
    <xf numFmtId="43" fontId="10" fillId="3" borderId="0" xfId="1" applyFont="1" applyFill="1"/>
    <xf numFmtId="0" fontId="0" fillId="3" borderId="17" xfId="0" applyFill="1" applyBorder="1"/>
    <xf numFmtId="0" fontId="0" fillId="3" borderId="2" xfId="0" applyFill="1" applyBorder="1"/>
    <xf numFmtId="2" fontId="0" fillId="3" borderId="19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0" fillId="3" borderId="17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3" borderId="18" xfId="0" applyNumberFormat="1" applyFill="1" applyBorder="1" applyAlignment="1">
      <alignment horizontal="center" vertical="center"/>
    </xf>
    <xf numFmtId="0" fontId="8" fillId="3" borderId="1" xfId="0" applyFont="1" applyFill="1" applyBorder="1"/>
    <xf numFmtId="43" fontId="8" fillId="3" borderId="1" xfId="0" applyNumberFormat="1" applyFont="1" applyFill="1" applyBorder="1"/>
    <xf numFmtId="171" fontId="11" fillId="0" borderId="1" xfId="0" applyNumberFormat="1" applyFon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174" fontId="0" fillId="0" borderId="0" xfId="0" applyNumberFormat="1"/>
    <xf numFmtId="3" fontId="0" fillId="0" borderId="0" xfId="0" applyNumberFormat="1"/>
    <xf numFmtId="174" fontId="2" fillId="0" borderId="0" xfId="0" applyNumberFormat="1" applyFont="1"/>
    <xf numFmtId="3" fontId="2" fillId="0" borderId="0" xfId="0" applyNumberFormat="1" applyFont="1"/>
    <xf numFmtId="10" fontId="0" fillId="5" borderId="0" xfId="2" applyNumberFormat="1" applyFont="1" applyFill="1" applyBorder="1"/>
    <xf numFmtId="0" fontId="0" fillId="0" borderId="0" xfId="0" applyAlignment="1">
      <alignment horizontal="left" vertical="center"/>
    </xf>
    <xf numFmtId="9" fontId="0" fillId="0" borderId="0" xfId="2" applyFont="1"/>
    <xf numFmtId="43" fontId="0" fillId="0" borderId="0" xfId="2" applyNumberFormat="1" applyFont="1"/>
    <xf numFmtId="0" fontId="2" fillId="5" borderId="1" xfId="8" applyNumberFormat="1" applyFont="1" applyFill="1" applyBorder="1" applyAlignment="1">
      <alignment horizontal="center"/>
    </xf>
    <xf numFmtId="0" fontId="2" fillId="3" borderId="1" xfId="8" applyNumberFormat="1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173" fontId="0" fillId="0" borderId="1" xfId="1" applyNumberFormat="1" applyFont="1" applyBorder="1"/>
    <xf numFmtId="43" fontId="0" fillId="0" borderId="1" xfId="0" applyNumberFormat="1" applyBorder="1"/>
    <xf numFmtId="43" fontId="10" fillId="0" borderId="1" xfId="1" applyFont="1" applyBorder="1"/>
    <xf numFmtId="0" fontId="2" fillId="0" borderId="0" xfId="10" applyFont="1"/>
    <xf numFmtId="0" fontId="2" fillId="2" borderId="1" xfId="10" applyFont="1" applyFill="1" applyBorder="1" applyAlignment="1">
      <alignment horizontal="center" vertical="center" wrapText="1"/>
    </xf>
    <xf numFmtId="0" fontId="2" fillId="0" borderId="1" xfId="10" applyFont="1" applyBorder="1" applyAlignment="1">
      <alignment horizontal="center" vertical="center" wrapText="1"/>
    </xf>
    <xf numFmtId="176" fontId="21" fillId="22" borderId="0" xfId="11" applyNumberFormat="1" applyAlignment="1">
      <alignment horizontal="center" vertical="center"/>
    </xf>
    <xf numFmtId="0" fontId="2" fillId="0" borderId="1" xfId="8" applyNumberFormat="1" applyFont="1" applyBorder="1" applyAlignment="1"/>
    <xf numFmtId="0" fontId="2" fillId="0" borderId="1" xfId="10" applyFont="1" applyBorder="1"/>
    <xf numFmtId="0" fontId="2" fillId="0" borderId="1" xfId="8" applyNumberFormat="1" applyFont="1" applyBorder="1" applyAlignment="1">
      <alignment horizontal="center"/>
    </xf>
    <xf numFmtId="0" fontId="21" fillId="22" borderId="0" xfId="11" applyNumberFormat="1" applyAlignment="1">
      <alignment horizontal="center" vertical="center"/>
    </xf>
    <xf numFmtId="0" fontId="2" fillId="0" borderId="1" xfId="8" applyNumberFormat="1" applyFont="1" applyBorder="1" applyAlignment="1">
      <alignment horizontal="center" vertical="center"/>
    </xf>
    <xf numFmtId="43" fontId="10" fillId="0" borderId="1" xfId="0" applyNumberFormat="1" applyFont="1" applyBorder="1"/>
    <xf numFmtId="43" fontId="0" fillId="12" borderId="0" xfId="0" applyNumberFormat="1" applyFill="1"/>
    <xf numFmtId="43" fontId="2" fillId="0" borderId="0" xfId="0" applyNumberFormat="1" applyFont="1" applyAlignment="1">
      <alignment horizontal="center"/>
    </xf>
    <xf numFmtId="0" fontId="22" fillId="0" borderId="1" xfId="0" applyFont="1" applyBorder="1" applyAlignment="1">
      <alignment horizontal="left" vertical="center"/>
    </xf>
    <xf numFmtId="173" fontId="22" fillId="0" borderId="1" xfId="1" applyNumberFormat="1" applyFont="1" applyBorder="1"/>
    <xf numFmtId="0" fontId="0" fillId="0" borderId="1" xfId="0" applyBorder="1" applyAlignment="1">
      <alignment horizontal="left" vertical="center"/>
    </xf>
    <xf numFmtId="9" fontId="0" fillId="0" borderId="1" xfId="2" applyFont="1" applyBorder="1"/>
    <xf numFmtId="0" fontId="0" fillId="4" borderId="21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166" fontId="8" fillId="0" borderId="2" xfId="1" applyNumberFormat="1" applyFont="1" applyBorder="1" applyAlignment="1">
      <alignment horizontal="center" vertical="center"/>
    </xf>
    <xf numFmtId="166" fontId="8" fillId="0" borderId="3" xfId="1" applyNumberFormat="1" applyFont="1" applyBorder="1" applyAlignment="1">
      <alignment horizontal="center" vertical="center"/>
    </xf>
    <xf numFmtId="166" fontId="8" fillId="0" borderId="4" xfId="1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43" fontId="0" fillId="3" borderId="0" xfId="1" applyFont="1" applyFill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2" fontId="0" fillId="0" borderId="18" xfId="0" applyNumberFormat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2" fillId="7" borderId="5" xfId="0" applyFont="1" applyFill="1" applyBorder="1" applyAlignment="1">
      <alignment horizontal="right"/>
    </xf>
    <xf numFmtId="0" fontId="2" fillId="7" borderId="6" xfId="0" applyFont="1" applyFill="1" applyBorder="1" applyAlignment="1">
      <alignment horizontal="right"/>
    </xf>
    <xf numFmtId="0" fontId="2" fillId="7" borderId="7" xfId="0" applyFont="1" applyFill="1" applyBorder="1" applyAlignment="1">
      <alignment horizontal="right"/>
    </xf>
    <xf numFmtId="171" fontId="2" fillId="7" borderId="5" xfId="0" applyNumberFormat="1" applyFont="1" applyFill="1" applyBorder="1" applyAlignment="1">
      <alignment horizontal="right" vertical="center"/>
    </xf>
    <xf numFmtId="171" fontId="2" fillId="7" borderId="6" xfId="0" applyNumberFormat="1" applyFont="1" applyFill="1" applyBorder="1" applyAlignment="1">
      <alignment horizontal="right" vertical="center"/>
    </xf>
    <xf numFmtId="171" fontId="0" fillId="7" borderId="5" xfId="0" applyNumberFormat="1" applyFill="1" applyBorder="1" applyAlignment="1">
      <alignment horizontal="center" vertical="center"/>
    </xf>
    <xf numFmtId="171" fontId="0" fillId="7" borderId="6" xfId="0" applyNumberFormat="1" applyFill="1" applyBorder="1" applyAlignment="1">
      <alignment horizontal="center" vertical="center"/>
    </xf>
    <xf numFmtId="171" fontId="0" fillId="7" borderId="7" xfId="0" applyNumberForma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2" fontId="0" fillId="0" borderId="20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</cellXfs>
  <cellStyles count="12">
    <cellStyle name="Formula Diferente" xfId="9" xr:uid="{C8694FC4-C65D-4B43-BF88-385C4FF6741E}"/>
    <cellStyle name="Input (estilo)" xfId="11" xr:uid="{9E4B8468-2624-450B-BA4C-7ED31BAF6E1E}"/>
    <cellStyle name="Moeda" xfId="5" builtinId="4"/>
    <cellStyle name="Normal" xfId="0" builtinId="0"/>
    <cellStyle name="Normal 12" xfId="10" xr:uid="{23339120-B86C-40C9-8224-7BAF618EF81A}"/>
    <cellStyle name="Normal 2" xfId="3" xr:uid="{AEBA3087-FB60-48DC-8FA5-A9FDA5979A22}"/>
    <cellStyle name="Normal 3" xfId="6" xr:uid="{2BD6AEE6-1B10-4396-9F0C-43AF0F606FA6}"/>
    <cellStyle name="Porcentagem" xfId="2" builtinId="5"/>
    <cellStyle name="Porcentagem 2" xfId="4" xr:uid="{4789D9F9-862E-4B9A-BB7D-C953CCC5B98A}"/>
    <cellStyle name="Vírgula" xfId="1" builtinId="3"/>
    <cellStyle name="Vírgula 2" xfId="7" xr:uid="{55756182-6BC8-41DF-81B5-E0E958AD49A2}"/>
    <cellStyle name="Vírgula 4" xfId="8" xr:uid="{53D39AB1-2E9F-44CC-8372-0D5811EC27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Bombas!$H$18</c:f>
              <c:strCache>
                <c:ptCount val="1"/>
                <c:pt idx="0">
                  <c:v>Valor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3545895913238462"/>
                  <c:y val="-3.56255903877519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Bombas!$G$19:$G$26</c:f>
              <c:numCache>
                <c:formatCode>0</c:formatCode>
                <c:ptCount val="8"/>
                <c:pt idx="0">
                  <c:v>132.00541333333334</c:v>
                </c:pt>
                <c:pt idx="1">
                  <c:v>71.7087111111111</c:v>
                </c:pt>
                <c:pt idx="2">
                  <c:v>125.41906133333332</c:v>
                </c:pt>
                <c:pt idx="3">
                  <c:v>35.349390222222226</c:v>
                </c:pt>
                <c:pt idx="4">
                  <c:v>140.88545777777779</c:v>
                </c:pt>
                <c:pt idx="5">
                  <c:v>47.592106666666666</c:v>
                </c:pt>
                <c:pt idx="6">
                  <c:v>8.1814506666666684</c:v>
                </c:pt>
                <c:pt idx="7">
                  <c:v>47.139506666666669</c:v>
                </c:pt>
              </c:numCache>
            </c:numRef>
          </c:xVal>
          <c:yVal>
            <c:numRef>
              <c:f>Bombas!$H$19:$H$26</c:f>
              <c:numCache>
                <c:formatCode>"R$"\ #,##0.00</c:formatCode>
                <c:ptCount val="8"/>
                <c:pt idx="0">
                  <c:v>2965326.7341303122</c:v>
                </c:pt>
                <c:pt idx="1">
                  <c:v>1614038.6021215627</c:v>
                </c:pt>
                <c:pt idx="2">
                  <c:v>2152051.4694954171</c:v>
                </c:pt>
                <c:pt idx="3">
                  <c:v>798515.45085000002</c:v>
                </c:pt>
                <c:pt idx="4">
                  <c:v>1914324.8536790623</c:v>
                </c:pt>
                <c:pt idx="5">
                  <c:v>1201145.0062299999</c:v>
                </c:pt>
                <c:pt idx="6">
                  <c:v>355878.29029999999</c:v>
                </c:pt>
                <c:pt idx="7">
                  <c:v>1601526.6749733333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06-4C65-93E5-1E106B438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2616687"/>
        <c:axId val="952628207"/>
      </c:scatterChart>
      <c:valAx>
        <c:axId val="952616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 (m³/s)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2628207"/>
        <c:crosses val="autoZero"/>
        <c:crossBetween val="midCat"/>
      </c:valAx>
      <c:valAx>
        <c:axId val="9526282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Valor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2616687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chart" Target="../charts/chart1.xml"/><Relationship Id="rId1" Type="http://schemas.openxmlformats.org/officeDocument/2006/relationships/image" Target="../media/image17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838200</xdr:colOff>
      <xdr:row>2</xdr:row>
      <xdr:rowOff>34059</xdr:rowOff>
    </xdr:to>
    <xdr:pic>
      <xdr:nvPicPr>
        <xdr:cNvPr id="2" name="Imagem 1" descr="FDIRS">
          <a:extLst>
            <a:ext uri="{FF2B5EF4-FFF2-40B4-BE49-F238E27FC236}">
              <a16:creationId xmlns:a16="http://schemas.microsoft.com/office/drawing/2014/main" id="{ABADABB2-3FD0-411B-98A5-305EE955B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19225" cy="38838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428625</xdr:colOff>
      <xdr:row>0</xdr:row>
      <xdr:rowOff>0</xdr:rowOff>
    </xdr:from>
    <xdr:to>
      <xdr:col>8</xdr:col>
      <xdr:colOff>1109345</xdr:colOff>
      <xdr:row>2</xdr:row>
      <xdr:rowOff>149225</xdr:rowOff>
    </xdr:to>
    <xdr:pic>
      <xdr:nvPicPr>
        <xdr:cNvPr id="3" name="Imagem 2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29A05D23-93DB-47FB-BEBA-771ABB29D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7525" y="0"/>
          <a:ext cx="2692400" cy="5283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838200</xdr:colOff>
      <xdr:row>2</xdr:row>
      <xdr:rowOff>34059</xdr:rowOff>
    </xdr:to>
    <xdr:pic>
      <xdr:nvPicPr>
        <xdr:cNvPr id="2" name="Imagem 1" descr="FDIRS">
          <a:extLst>
            <a:ext uri="{FF2B5EF4-FFF2-40B4-BE49-F238E27FC236}">
              <a16:creationId xmlns:a16="http://schemas.microsoft.com/office/drawing/2014/main" id="{501902EC-4463-A1EF-F589-A5EB54C0A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19225" cy="38838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428625</xdr:colOff>
      <xdr:row>0</xdr:row>
      <xdr:rowOff>0</xdr:rowOff>
    </xdr:from>
    <xdr:to>
      <xdr:col>9</xdr:col>
      <xdr:colOff>635</xdr:colOff>
      <xdr:row>2</xdr:row>
      <xdr:rowOff>149225</xdr:rowOff>
    </xdr:to>
    <xdr:pic>
      <xdr:nvPicPr>
        <xdr:cNvPr id="3" name="Imagem 2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A29AEAB9-9A05-16E7-56A1-567451AD9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2125" y="0"/>
          <a:ext cx="2692400" cy="5283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93458</xdr:colOff>
      <xdr:row>1</xdr:row>
      <xdr:rowOff>46167</xdr:rowOff>
    </xdr:from>
    <xdr:to>
      <xdr:col>29</xdr:col>
      <xdr:colOff>269726</xdr:colOff>
      <xdr:row>35</xdr:row>
      <xdr:rowOff>110830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056FB5B-B4C1-4346-A03C-4D5901776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11482" y="279249"/>
          <a:ext cx="4452993" cy="69066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</xdr:colOff>
      <xdr:row>0</xdr:row>
      <xdr:rowOff>0</xdr:rowOff>
    </xdr:from>
    <xdr:to>
      <xdr:col>15</xdr:col>
      <xdr:colOff>552450</xdr:colOff>
      <xdr:row>27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FC6F502-37B3-B8CF-94B5-9A8B930930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0517" t="21878" r="23887" b="7800"/>
        <a:stretch>
          <a:fillRect/>
        </a:stretch>
      </xdr:blipFill>
      <xdr:spPr>
        <a:xfrm>
          <a:off x="5734050" y="0"/>
          <a:ext cx="7200900" cy="5143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5</xdr:row>
      <xdr:rowOff>28575</xdr:rowOff>
    </xdr:from>
    <xdr:to>
      <xdr:col>23</xdr:col>
      <xdr:colOff>579406</xdr:colOff>
      <xdr:row>39</xdr:row>
      <xdr:rowOff>47625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70C1E80-53E6-6580-9992-FA656EE949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852" b="10349"/>
        <a:stretch>
          <a:fillRect/>
        </a:stretch>
      </xdr:blipFill>
      <xdr:spPr>
        <a:xfrm>
          <a:off x="7267575" y="981075"/>
          <a:ext cx="10780681" cy="516255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90</xdr:row>
      <xdr:rowOff>38100</xdr:rowOff>
    </xdr:from>
    <xdr:to>
      <xdr:col>19</xdr:col>
      <xdr:colOff>266700</xdr:colOff>
      <xdr:row>122</xdr:row>
      <xdr:rowOff>66676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6733A3F-689E-093F-F5AB-82F942B14F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9120" t="18101" r="18446" b="8582"/>
        <a:stretch>
          <a:fillRect/>
        </a:stretch>
      </xdr:blipFill>
      <xdr:spPr>
        <a:xfrm>
          <a:off x="7210425" y="13658850"/>
          <a:ext cx="8086725" cy="53625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48830</xdr:rowOff>
    </xdr:from>
    <xdr:to>
      <xdr:col>7</xdr:col>
      <xdr:colOff>390525</xdr:colOff>
      <xdr:row>14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416E541-03DF-69ED-5949-1580670C05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723" t="28259" r="28227" b="27725"/>
        <a:stretch>
          <a:fillRect/>
        </a:stretch>
      </xdr:blipFill>
      <xdr:spPr>
        <a:xfrm>
          <a:off x="0" y="620330"/>
          <a:ext cx="4657725" cy="214192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</xdr:row>
      <xdr:rowOff>180975</xdr:rowOff>
    </xdr:from>
    <xdr:to>
      <xdr:col>11</xdr:col>
      <xdr:colOff>19050</xdr:colOff>
      <xdr:row>8</xdr:row>
      <xdr:rowOff>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11162332-F6B6-6CF7-BF7D-F07613CE284F}"/>
            </a:ext>
          </a:extLst>
        </xdr:cNvPr>
        <xdr:cNvCxnSpPr/>
      </xdr:nvCxnSpPr>
      <xdr:spPr>
        <a:xfrm>
          <a:off x="6096000" y="942975"/>
          <a:ext cx="628650" cy="581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30956</xdr:colOff>
      <xdr:row>5</xdr:row>
      <xdr:rowOff>5953</xdr:rowOff>
    </xdr:from>
    <xdr:to>
      <xdr:col>13</xdr:col>
      <xdr:colOff>5953</xdr:colOff>
      <xdr:row>8</xdr:row>
      <xdr:rowOff>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3D8D9605-EE4D-A7AF-18FC-1E0A0303D086}"/>
            </a:ext>
          </a:extLst>
        </xdr:cNvPr>
        <xdr:cNvCxnSpPr/>
      </xdr:nvCxnSpPr>
      <xdr:spPr>
        <a:xfrm flipH="1">
          <a:off x="7317581" y="958453"/>
          <a:ext cx="582216" cy="56554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19051</xdr:colOff>
      <xdr:row>8</xdr:row>
      <xdr:rowOff>0</xdr:rowOff>
    </xdr:from>
    <xdr:to>
      <xdr:col>12</xdr:col>
      <xdr:colOff>41672</xdr:colOff>
      <xdr:row>8</xdr:row>
      <xdr:rowOff>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48B1716E-1E97-2BC8-7578-BCD566D95480}"/>
            </a:ext>
          </a:extLst>
        </xdr:cNvPr>
        <xdr:cNvCxnSpPr/>
      </xdr:nvCxnSpPr>
      <xdr:spPr>
        <a:xfrm flipH="1">
          <a:off x="6698457" y="1524000"/>
          <a:ext cx="62984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602456</xdr:colOff>
      <xdr:row>9</xdr:row>
      <xdr:rowOff>5953</xdr:rowOff>
    </xdr:from>
    <xdr:to>
      <xdr:col>12</xdr:col>
      <xdr:colOff>17859</xdr:colOff>
      <xdr:row>9</xdr:row>
      <xdr:rowOff>5953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320DF30B-18FA-64D7-1DCE-6735FBC28EF1}"/>
            </a:ext>
          </a:extLst>
        </xdr:cNvPr>
        <xdr:cNvCxnSpPr/>
      </xdr:nvCxnSpPr>
      <xdr:spPr>
        <a:xfrm flipH="1">
          <a:off x="6674644" y="1720453"/>
          <a:ext cx="629840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345281</xdr:colOff>
      <xdr:row>4</xdr:row>
      <xdr:rowOff>184547</xdr:rowOff>
    </xdr:from>
    <xdr:to>
      <xdr:col>9</xdr:col>
      <xdr:colOff>345281</xdr:colOff>
      <xdr:row>7</xdr:row>
      <xdr:rowOff>184547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97585104-A8F1-A676-3248-FB15A3538923}"/>
            </a:ext>
          </a:extLst>
        </xdr:cNvPr>
        <xdr:cNvCxnSpPr/>
      </xdr:nvCxnSpPr>
      <xdr:spPr>
        <a:xfrm flipV="1">
          <a:off x="5810250" y="946547"/>
          <a:ext cx="0" cy="57150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341586</xdr:colOff>
      <xdr:row>4</xdr:row>
      <xdr:rowOff>187544</xdr:rowOff>
    </xdr:from>
    <xdr:to>
      <xdr:col>11</xdr:col>
      <xdr:colOff>360636</xdr:colOff>
      <xdr:row>8</xdr:row>
      <xdr:rowOff>6569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5DEFEFC5-F9D7-55DD-5B97-DBE40B3EBE2C}"/>
            </a:ext>
          </a:extLst>
        </xdr:cNvPr>
        <xdr:cNvCxnSpPr/>
      </xdr:nvCxnSpPr>
      <xdr:spPr>
        <a:xfrm>
          <a:off x="6450724" y="949544"/>
          <a:ext cx="629964" cy="581025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39</xdr:row>
      <xdr:rowOff>9525</xdr:rowOff>
    </xdr:from>
    <xdr:to>
      <xdr:col>6</xdr:col>
      <xdr:colOff>295275</xdr:colOff>
      <xdr:row>51</xdr:row>
      <xdr:rowOff>24977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DE418C86-1CB1-54F3-C1C9-CF3967CD73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5297" t="32166" r="25064" b="16656"/>
        <a:stretch>
          <a:fillRect/>
        </a:stretch>
      </xdr:blipFill>
      <xdr:spPr>
        <a:xfrm>
          <a:off x="0" y="7439025"/>
          <a:ext cx="3952875" cy="2301452"/>
        </a:xfrm>
        <a:prstGeom prst="rect">
          <a:avLst/>
        </a:prstGeom>
      </xdr:spPr>
    </xdr:pic>
    <xdr:clientData/>
  </xdr:twoCellAnchor>
  <xdr:twoCellAnchor>
    <xdr:from>
      <xdr:col>8</xdr:col>
      <xdr:colOff>6804</xdr:colOff>
      <xdr:row>42</xdr:row>
      <xdr:rowOff>149679</xdr:rowOff>
    </xdr:from>
    <xdr:to>
      <xdr:col>9</xdr:col>
      <xdr:colOff>374196</xdr:colOff>
      <xdr:row>47</xdr:row>
      <xdr:rowOff>68036</xdr:rowOff>
    </xdr:to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1C51847D-76B4-4020-2F7E-341F6012AA61}"/>
            </a:ext>
          </a:extLst>
        </xdr:cNvPr>
        <xdr:cNvSpPr/>
      </xdr:nvSpPr>
      <xdr:spPr>
        <a:xfrm>
          <a:off x="4905375" y="8150679"/>
          <a:ext cx="979714" cy="87085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190501</xdr:colOff>
      <xdr:row>43</xdr:row>
      <xdr:rowOff>68035</xdr:rowOff>
    </xdr:from>
    <xdr:to>
      <xdr:col>9</xdr:col>
      <xdr:colOff>183697</xdr:colOff>
      <xdr:row>46</xdr:row>
      <xdr:rowOff>129268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CE0A62A4-C055-4C0A-4CE3-6FE6917837F3}"/>
            </a:ext>
          </a:extLst>
        </xdr:cNvPr>
        <xdr:cNvSpPr/>
      </xdr:nvSpPr>
      <xdr:spPr>
        <a:xfrm>
          <a:off x="5089072" y="8259535"/>
          <a:ext cx="605518" cy="632733"/>
        </a:xfrm>
        <a:prstGeom prst="ellipse">
          <a:avLst/>
        </a:prstGeom>
        <a:ln>
          <a:solidFill>
            <a:schemeClr val="bg1">
              <a:lumMod val="95000"/>
              <a:alpha val="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190501</xdr:colOff>
      <xdr:row>45</xdr:row>
      <xdr:rowOff>3402</xdr:rowOff>
    </xdr:from>
    <xdr:to>
      <xdr:col>9</xdr:col>
      <xdr:colOff>183697</xdr:colOff>
      <xdr:row>45</xdr:row>
      <xdr:rowOff>3402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60B92528-E340-B9CD-4512-7A0D8AF8E678}"/>
            </a:ext>
          </a:extLst>
        </xdr:cNvPr>
        <xdr:cNvCxnSpPr>
          <a:stCxn id="20" idx="2"/>
          <a:endCxn id="20" idx="6"/>
        </xdr:cNvCxnSpPr>
      </xdr:nvCxnSpPr>
      <xdr:spPr>
        <a:xfrm>
          <a:off x="5089072" y="8575902"/>
          <a:ext cx="605518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346981</xdr:colOff>
      <xdr:row>43</xdr:row>
      <xdr:rowOff>183696</xdr:rowOff>
    </xdr:from>
    <xdr:ext cx="327654" cy="264560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C2AB36F2-D249-DE5D-B063-F97E374AA172}"/>
            </a:ext>
          </a:extLst>
        </xdr:cNvPr>
        <xdr:cNvSpPr txBox="1"/>
      </xdr:nvSpPr>
      <xdr:spPr>
        <a:xfrm>
          <a:off x="5245552" y="8375196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40</a:t>
          </a:r>
        </a:p>
      </xdr:txBody>
    </xdr:sp>
    <xdr:clientData/>
  </xdr:oneCellAnchor>
  <xdr:oneCellAnchor>
    <xdr:from>
      <xdr:col>7</xdr:col>
      <xdr:colOff>557891</xdr:colOff>
      <xdr:row>44</xdr:row>
      <xdr:rowOff>74839</xdr:rowOff>
    </xdr:from>
    <xdr:ext cx="327654" cy="264560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D19E69FF-8AE1-D284-EB46-BFE60D4B61D8}"/>
            </a:ext>
          </a:extLst>
        </xdr:cNvPr>
        <xdr:cNvSpPr txBox="1"/>
      </xdr:nvSpPr>
      <xdr:spPr>
        <a:xfrm>
          <a:off x="4844141" y="8456839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10</a:t>
          </a:r>
        </a:p>
      </xdr:txBody>
    </xdr:sp>
    <xdr:clientData/>
  </xdr:oneCellAnchor>
  <xdr:oneCellAnchor>
    <xdr:from>
      <xdr:col>8</xdr:col>
      <xdr:colOff>380998</xdr:colOff>
      <xdr:row>46</xdr:row>
      <xdr:rowOff>68035</xdr:rowOff>
    </xdr:from>
    <xdr:ext cx="327654" cy="26456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566104CB-AD3E-35FF-0A04-6BACE2760B97}"/>
            </a:ext>
          </a:extLst>
        </xdr:cNvPr>
        <xdr:cNvSpPr txBox="1"/>
      </xdr:nvSpPr>
      <xdr:spPr>
        <a:xfrm>
          <a:off x="5279569" y="8831035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10</a:t>
          </a:r>
        </a:p>
      </xdr:txBody>
    </xdr:sp>
    <xdr:clientData/>
  </xdr:oneCellAnchor>
  <xdr:twoCellAnchor>
    <xdr:from>
      <xdr:col>7</xdr:col>
      <xdr:colOff>251732</xdr:colOff>
      <xdr:row>41</xdr:row>
      <xdr:rowOff>183696</xdr:rowOff>
    </xdr:from>
    <xdr:to>
      <xdr:col>7</xdr:col>
      <xdr:colOff>258536</xdr:colOff>
      <xdr:row>48</xdr:row>
      <xdr:rowOff>0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id="{A7FA72E7-2093-A199-70CD-07FD3B64378C}"/>
            </a:ext>
          </a:extLst>
        </xdr:cNvPr>
        <xdr:cNvCxnSpPr/>
      </xdr:nvCxnSpPr>
      <xdr:spPr>
        <a:xfrm>
          <a:off x="4537982" y="7994196"/>
          <a:ext cx="6804" cy="114980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204108</xdr:colOff>
      <xdr:row>42</xdr:row>
      <xdr:rowOff>6803</xdr:rowOff>
    </xdr:from>
    <xdr:to>
      <xdr:col>10</xdr:col>
      <xdr:colOff>210912</xdr:colOff>
      <xdr:row>48</xdr:row>
      <xdr:rowOff>13607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AAA5F65B-8403-CB2E-2AC0-B5A243360E0A}"/>
            </a:ext>
          </a:extLst>
        </xdr:cNvPr>
        <xdr:cNvCxnSpPr/>
      </xdr:nvCxnSpPr>
      <xdr:spPr>
        <a:xfrm>
          <a:off x="6327322" y="8007803"/>
          <a:ext cx="6804" cy="114980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265339</xdr:colOff>
      <xdr:row>48</xdr:row>
      <xdr:rowOff>0</xdr:rowOff>
    </xdr:from>
    <xdr:to>
      <xdr:col>10</xdr:col>
      <xdr:colOff>218515</xdr:colOff>
      <xdr:row>48</xdr:row>
      <xdr:rowOff>13607</xdr:rowOff>
    </xdr:to>
    <xdr:cxnSp macro="">
      <xdr:nvCxnSpPr>
        <xdr:cNvPr id="29" name="Conector reto 28">
          <a:extLst>
            <a:ext uri="{FF2B5EF4-FFF2-40B4-BE49-F238E27FC236}">
              <a16:creationId xmlns:a16="http://schemas.microsoft.com/office/drawing/2014/main" id="{30FC3E85-925F-0FF2-3536-7D9D84394264}"/>
            </a:ext>
          </a:extLst>
        </xdr:cNvPr>
        <xdr:cNvCxnSpPr/>
      </xdr:nvCxnSpPr>
      <xdr:spPr>
        <a:xfrm flipH="1">
          <a:off x="4540383" y="9144000"/>
          <a:ext cx="1785338" cy="1360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265339</xdr:colOff>
      <xdr:row>49</xdr:row>
      <xdr:rowOff>0</xdr:rowOff>
    </xdr:from>
    <xdr:to>
      <xdr:col>10</xdr:col>
      <xdr:colOff>218515</xdr:colOff>
      <xdr:row>49</xdr:row>
      <xdr:rowOff>13607</xdr:rowOff>
    </xdr:to>
    <xdr:cxnSp macro="">
      <xdr:nvCxnSpPr>
        <xdr:cNvPr id="34" name="Conector reto 33">
          <a:extLst>
            <a:ext uri="{FF2B5EF4-FFF2-40B4-BE49-F238E27FC236}">
              <a16:creationId xmlns:a16="http://schemas.microsoft.com/office/drawing/2014/main" id="{55224AE4-1129-9982-D8DC-1A32181DD11E}"/>
            </a:ext>
          </a:extLst>
        </xdr:cNvPr>
        <xdr:cNvCxnSpPr/>
      </xdr:nvCxnSpPr>
      <xdr:spPr>
        <a:xfrm flipH="1">
          <a:off x="4540383" y="9334500"/>
          <a:ext cx="1785338" cy="13607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397807</xdr:colOff>
      <xdr:row>48</xdr:row>
      <xdr:rowOff>6402</xdr:rowOff>
    </xdr:from>
    <xdr:ext cx="399148" cy="264560"/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E12D3687-BFE2-EC15-8AFA-4ECD345C90E1}"/>
            </a:ext>
          </a:extLst>
        </xdr:cNvPr>
        <xdr:cNvSpPr txBox="1"/>
      </xdr:nvSpPr>
      <xdr:spPr>
        <a:xfrm>
          <a:off x="5283572" y="9150402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120</a:t>
          </a:r>
        </a:p>
      </xdr:txBody>
    </xdr:sp>
    <xdr:clientData/>
  </xdr:oneCellAnchor>
  <xdr:oneCellAnchor>
    <xdr:from>
      <xdr:col>10</xdr:col>
      <xdr:colOff>257734</xdr:colOff>
      <xdr:row>44</xdr:row>
      <xdr:rowOff>6402</xdr:rowOff>
    </xdr:from>
    <xdr:ext cx="327654" cy="264560"/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05C36684-707A-D742-5888-5526F04152DF}"/>
            </a:ext>
          </a:extLst>
        </xdr:cNvPr>
        <xdr:cNvSpPr txBox="1"/>
      </xdr:nvSpPr>
      <xdr:spPr>
        <a:xfrm>
          <a:off x="6364940" y="8388402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70</a:t>
          </a:r>
        </a:p>
      </xdr:txBody>
    </xdr:sp>
    <xdr:clientData/>
  </xdr:oneCellAnchor>
  <xdr:twoCellAnchor editAs="oneCell">
    <xdr:from>
      <xdr:col>3</xdr:col>
      <xdr:colOff>549729</xdr:colOff>
      <xdr:row>59</xdr:row>
      <xdr:rowOff>190499</xdr:rowOff>
    </xdr:from>
    <xdr:to>
      <xdr:col>11</xdr:col>
      <xdr:colOff>270782</xdr:colOff>
      <xdr:row>70</xdr:row>
      <xdr:rowOff>161925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0625AFF-E3F9-F242-E6BC-B3DB951BF5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6631" t="12836" r="37558" b="50701"/>
        <a:stretch>
          <a:fillRect/>
        </a:stretch>
      </xdr:blipFill>
      <xdr:spPr>
        <a:xfrm>
          <a:off x="2378529" y="11429999"/>
          <a:ext cx="4597853" cy="2066926"/>
        </a:xfrm>
        <a:prstGeom prst="rect">
          <a:avLst/>
        </a:prstGeom>
      </xdr:spPr>
    </xdr:pic>
    <xdr:clientData/>
  </xdr:twoCellAnchor>
  <xdr:twoCellAnchor editAs="oneCell">
    <xdr:from>
      <xdr:col>11</xdr:col>
      <xdr:colOff>552450</xdr:colOff>
      <xdr:row>59</xdr:row>
      <xdr:rowOff>142875</xdr:rowOff>
    </xdr:from>
    <xdr:to>
      <xdr:col>22</xdr:col>
      <xdr:colOff>28575</xdr:colOff>
      <xdr:row>74</xdr:row>
      <xdr:rowOff>162490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A564AC0-ED2E-B51A-F82B-CEA824ADDB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6105" t="28780" r="16902" b="16005"/>
        <a:stretch>
          <a:fillRect/>
        </a:stretch>
      </xdr:blipFill>
      <xdr:spPr>
        <a:xfrm>
          <a:off x="7258050" y="11382375"/>
          <a:ext cx="6181725" cy="2877115"/>
        </a:xfrm>
        <a:prstGeom prst="rect">
          <a:avLst/>
        </a:prstGeom>
      </xdr:spPr>
    </xdr:pic>
    <xdr:clientData/>
  </xdr:twoCellAnchor>
  <xdr:twoCellAnchor>
    <xdr:from>
      <xdr:col>6</xdr:col>
      <xdr:colOff>161925</xdr:colOff>
      <xdr:row>71</xdr:row>
      <xdr:rowOff>9525</xdr:rowOff>
    </xdr:from>
    <xdr:to>
      <xdr:col>9</xdr:col>
      <xdr:colOff>298450</xdr:colOff>
      <xdr:row>71</xdr:row>
      <xdr:rowOff>12700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3EC3F222-8055-77C0-D4F7-03E322F35C39}"/>
            </a:ext>
          </a:extLst>
        </xdr:cNvPr>
        <xdr:cNvCxnSpPr/>
      </xdr:nvCxnSpPr>
      <xdr:spPr>
        <a:xfrm>
          <a:off x="3819525" y="13535025"/>
          <a:ext cx="1965325" cy="3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61</xdr:row>
      <xdr:rowOff>9525</xdr:rowOff>
    </xdr:from>
    <xdr:to>
      <xdr:col>13</xdr:col>
      <xdr:colOff>9525</xdr:colOff>
      <xdr:row>71</xdr:row>
      <xdr:rowOff>19050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6F63B627-DF2B-1254-908C-8E92835CF1A3}"/>
            </a:ext>
          </a:extLst>
        </xdr:cNvPr>
        <xdr:cNvCxnSpPr/>
      </xdr:nvCxnSpPr>
      <xdr:spPr>
        <a:xfrm flipH="1" flipV="1">
          <a:off x="7924800" y="11630025"/>
          <a:ext cx="9525" cy="1914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333375</xdr:colOff>
      <xdr:row>65</xdr:row>
      <xdr:rowOff>0</xdr:rowOff>
    </xdr:from>
    <xdr:to>
      <xdr:col>12</xdr:col>
      <xdr:colOff>542925</xdr:colOff>
      <xdr:row>66</xdr:row>
      <xdr:rowOff>133350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6F2D67D0-0E01-280C-7D4A-00DF81BE79CE}"/>
            </a:ext>
          </a:extLst>
        </xdr:cNvPr>
        <xdr:cNvSpPr txBox="1"/>
      </xdr:nvSpPr>
      <xdr:spPr>
        <a:xfrm>
          <a:off x="7648575" y="12382500"/>
          <a:ext cx="2095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h</a:t>
          </a:r>
        </a:p>
      </xdr:txBody>
    </xdr:sp>
    <xdr:clientData/>
  </xdr:twoCellAnchor>
  <xdr:twoCellAnchor>
    <xdr:from>
      <xdr:col>16</xdr:col>
      <xdr:colOff>361950</xdr:colOff>
      <xdr:row>70</xdr:row>
      <xdr:rowOff>152400</xdr:rowOff>
    </xdr:from>
    <xdr:to>
      <xdr:col>16</xdr:col>
      <xdr:colOff>571500</xdr:colOff>
      <xdr:row>72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4438AB91-E10A-1627-528C-33BBCE8FC94B}"/>
            </a:ext>
          </a:extLst>
        </xdr:cNvPr>
        <xdr:cNvSpPr txBox="1"/>
      </xdr:nvSpPr>
      <xdr:spPr>
        <a:xfrm>
          <a:off x="10115550" y="13487400"/>
          <a:ext cx="2095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b</a:t>
          </a:r>
        </a:p>
      </xdr:txBody>
    </xdr:sp>
    <xdr:clientData/>
  </xdr:twoCellAnchor>
  <xdr:twoCellAnchor>
    <xdr:from>
      <xdr:col>7</xdr:col>
      <xdr:colOff>473075</xdr:colOff>
      <xdr:row>71</xdr:row>
      <xdr:rowOff>76200</xdr:rowOff>
    </xdr:from>
    <xdr:to>
      <xdr:col>8</xdr:col>
      <xdr:colOff>73025</xdr:colOff>
      <xdr:row>73</xdr:row>
      <xdr:rowOff>19050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99A20859-E92C-0341-A70D-E14BC8DF9D74}"/>
            </a:ext>
          </a:extLst>
        </xdr:cNvPr>
        <xdr:cNvSpPr txBox="1"/>
      </xdr:nvSpPr>
      <xdr:spPr>
        <a:xfrm>
          <a:off x="4740275" y="13601700"/>
          <a:ext cx="2095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L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485775</xdr:colOff>
      <xdr:row>18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A8D9863-1EAF-7EC1-B520-6150ED557C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6770" t="21877" r="17122" b="29158"/>
        <a:stretch>
          <a:fillRect/>
        </a:stretch>
      </xdr:blipFill>
      <xdr:spPr>
        <a:xfrm>
          <a:off x="0" y="0"/>
          <a:ext cx="5972175" cy="3581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152400</xdr:rowOff>
    </xdr:from>
    <xdr:to>
      <xdr:col>9</xdr:col>
      <xdr:colOff>104775</xdr:colOff>
      <xdr:row>34</xdr:row>
      <xdr:rowOff>95250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FD25011-D7A3-AC00-5510-A826C9166F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6696" t="37765" r="20137" b="21344"/>
        <a:stretch>
          <a:fillRect/>
        </a:stretch>
      </xdr:blipFill>
      <xdr:spPr>
        <a:xfrm>
          <a:off x="0" y="3581400"/>
          <a:ext cx="5591175" cy="2990850"/>
        </a:xfrm>
        <a:prstGeom prst="rect">
          <a:avLst/>
        </a:prstGeom>
      </xdr:spPr>
    </xdr:pic>
    <xdr:clientData/>
  </xdr:twoCellAnchor>
  <xdr:twoCellAnchor>
    <xdr:from>
      <xdr:col>3</xdr:col>
      <xdr:colOff>304800</xdr:colOff>
      <xdr:row>6</xdr:row>
      <xdr:rowOff>114299</xdr:rowOff>
    </xdr:from>
    <xdr:to>
      <xdr:col>9</xdr:col>
      <xdr:colOff>447675</xdr:colOff>
      <xdr:row>7</xdr:row>
      <xdr:rowOff>152400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9D32D316-8305-9EAD-C327-375D8EB1EC11}"/>
            </a:ext>
          </a:extLst>
        </xdr:cNvPr>
        <xdr:cNvSpPr/>
      </xdr:nvSpPr>
      <xdr:spPr>
        <a:xfrm>
          <a:off x="2133600" y="1257299"/>
          <a:ext cx="3800475" cy="228601"/>
        </a:xfrm>
        <a:prstGeom prst="rect">
          <a:avLst/>
        </a:prstGeom>
        <a:pattFill prst="pct5">
          <a:fgClr>
            <a:schemeClr val="accent1"/>
          </a:fgClr>
          <a:bgClr>
            <a:schemeClr val="bg2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lt1">
                <a:alpha val="0"/>
              </a:schemeClr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</xdr:colOff>
      <xdr:row>2</xdr:row>
      <xdr:rowOff>47626</xdr:rowOff>
    </xdr:from>
    <xdr:to>
      <xdr:col>13</xdr:col>
      <xdr:colOff>466725</xdr:colOff>
      <xdr:row>12</xdr:row>
      <xdr:rowOff>38262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08241B3-6F68-ABCF-6F21-4136D7F915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442" t="23571" r="20505" b="23167"/>
        <a:stretch>
          <a:fillRect/>
        </a:stretch>
      </xdr:blipFill>
      <xdr:spPr>
        <a:xfrm>
          <a:off x="4086225" y="428626"/>
          <a:ext cx="4667250" cy="1895636"/>
        </a:xfrm>
        <a:prstGeom prst="rect">
          <a:avLst/>
        </a:prstGeom>
      </xdr:spPr>
    </xdr:pic>
    <xdr:clientData/>
  </xdr:twoCellAnchor>
  <xdr:twoCellAnchor editAs="oneCell">
    <xdr:from>
      <xdr:col>6</xdr:col>
      <xdr:colOff>38101</xdr:colOff>
      <xdr:row>15</xdr:row>
      <xdr:rowOff>38100</xdr:rowOff>
    </xdr:from>
    <xdr:to>
      <xdr:col>13</xdr:col>
      <xdr:colOff>142875</xdr:colOff>
      <xdr:row>33</xdr:row>
      <xdr:rowOff>180267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24A7208-E5A6-E2DC-7D91-B03A013504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7504" t="18492" r="27932" b="17047"/>
        <a:stretch>
          <a:fillRect/>
        </a:stretch>
      </xdr:blipFill>
      <xdr:spPr>
        <a:xfrm>
          <a:off x="4124326" y="2895600"/>
          <a:ext cx="4371974" cy="357116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</xdr:row>
      <xdr:rowOff>171450</xdr:rowOff>
    </xdr:from>
    <xdr:to>
      <xdr:col>10</xdr:col>
      <xdr:colOff>524934</xdr:colOff>
      <xdr:row>11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34FE30D-8902-4C7E-974B-9DA2D3FC4C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209" t="23180" r="8445" b="47129"/>
        <a:stretch>
          <a:fillRect/>
        </a:stretch>
      </xdr:blipFill>
      <xdr:spPr>
        <a:xfrm>
          <a:off x="1" y="552450"/>
          <a:ext cx="7012324" cy="169545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153</xdr:row>
      <xdr:rowOff>118656</xdr:rowOff>
    </xdr:from>
    <xdr:to>
      <xdr:col>13</xdr:col>
      <xdr:colOff>640774</xdr:colOff>
      <xdr:row>166</xdr:row>
      <xdr:rowOff>19049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EAB4D4B-0B51-49C0-A004-2162A0A8D0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178" t="32296" r="11827" b="29158"/>
        <a:stretch>
          <a:fillRect/>
        </a:stretch>
      </xdr:blipFill>
      <xdr:spPr>
        <a:xfrm>
          <a:off x="1" y="3357156"/>
          <a:ext cx="8953500" cy="2376893"/>
        </a:xfrm>
        <a:prstGeom prst="rect">
          <a:avLst/>
        </a:prstGeom>
      </xdr:spPr>
    </xdr:pic>
    <xdr:clientData/>
  </xdr:twoCellAnchor>
  <xdr:twoCellAnchor>
    <xdr:from>
      <xdr:col>3</xdr:col>
      <xdr:colOff>552449</xdr:colOff>
      <xdr:row>7</xdr:row>
      <xdr:rowOff>85725</xdr:rowOff>
    </xdr:from>
    <xdr:to>
      <xdr:col>11</xdr:col>
      <xdr:colOff>11905</xdr:colOff>
      <xdr:row>9</xdr:row>
      <xdr:rowOff>5952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1735F452-C979-4D75-AAB6-6CA1DE186FB8}"/>
            </a:ext>
          </a:extLst>
        </xdr:cNvPr>
        <xdr:cNvSpPr/>
      </xdr:nvSpPr>
      <xdr:spPr>
        <a:xfrm>
          <a:off x="2374105" y="1419225"/>
          <a:ext cx="4585097" cy="301227"/>
        </a:xfrm>
        <a:prstGeom prst="rect">
          <a:avLst/>
        </a:prstGeom>
        <a:pattFill prst="pct5">
          <a:fgClr>
            <a:srgbClr val="156082"/>
          </a:fgClr>
          <a:bgClr>
            <a:srgbClr val="E8E8E8"/>
          </a:bgClr>
        </a:patt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0" i="0" u="none" strike="noStrike" kern="0" cap="none" spc="0" normalizeH="0" baseline="0" noProof="0">
            <a:ln>
              <a:noFill/>
            </a:ln>
            <a:solidFill>
              <a:sysClr val="window" lastClr="FFFFFF">
                <a:alpha val="0"/>
              </a:sysClr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19049</xdr:colOff>
      <xdr:row>0</xdr:row>
      <xdr:rowOff>0</xdr:rowOff>
    </xdr:from>
    <xdr:to>
      <xdr:col>18</xdr:col>
      <xdr:colOff>466724</xdr:colOff>
      <xdr:row>12</xdr:row>
      <xdr:rowOff>161167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D0C74C-25E7-5E79-46FB-5E05051654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105" t="20705" r="16534" b="24470"/>
        <a:stretch>
          <a:fillRect/>
        </a:stretch>
      </xdr:blipFill>
      <xdr:spPr>
        <a:xfrm>
          <a:off x="6115049" y="0"/>
          <a:ext cx="5324475" cy="2447167"/>
        </a:xfrm>
        <a:prstGeom prst="rect">
          <a:avLst/>
        </a:prstGeom>
      </xdr:spPr>
    </xdr:pic>
    <xdr:clientData/>
  </xdr:twoCellAnchor>
  <xdr:twoCellAnchor>
    <xdr:from>
      <xdr:col>8</xdr:col>
      <xdr:colOff>472440</xdr:colOff>
      <xdr:row>15</xdr:row>
      <xdr:rowOff>87630</xdr:rowOff>
    </xdr:from>
    <xdr:to>
      <xdr:col>16</xdr:col>
      <xdr:colOff>312420</xdr:colOff>
      <xdr:row>31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523263B-7437-8237-132A-8264EF96BF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523875</xdr:colOff>
      <xdr:row>15</xdr:row>
      <xdr:rowOff>47625</xdr:rowOff>
    </xdr:from>
    <xdr:to>
      <xdr:col>17</xdr:col>
      <xdr:colOff>104775</xdr:colOff>
      <xdr:row>31</xdr:row>
      <xdr:rowOff>36535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D479160-A943-4F44-0367-88B0F368F2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0664" t="18362" r="20285" b="18480"/>
        <a:stretch>
          <a:fillRect/>
        </a:stretch>
      </xdr:blipFill>
      <xdr:spPr>
        <a:xfrm>
          <a:off x="6591300" y="2905125"/>
          <a:ext cx="5343525" cy="3227410"/>
        </a:xfrm>
        <a:prstGeom prst="rect">
          <a:avLst/>
        </a:prstGeom>
      </xdr:spPr>
    </xdr:pic>
    <xdr:clientData/>
  </xdr:twoCellAnchor>
  <xdr:twoCellAnchor editAs="oneCell">
    <xdr:from>
      <xdr:col>10</xdr:col>
      <xdr:colOff>19049</xdr:colOff>
      <xdr:row>0</xdr:row>
      <xdr:rowOff>0</xdr:rowOff>
    </xdr:from>
    <xdr:to>
      <xdr:col>18</xdr:col>
      <xdr:colOff>466724</xdr:colOff>
      <xdr:row>12</xdr:row>
      <xdr:rowOff>161167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929EA77-86A7-4447-BA6A-C623BC3072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105" t="20705" r="16534" b="24470"/>
        <a:stretch>
          <a:fillRect/>
        </a:stretch>
      </xdr:blipFill>
      <xdr:spPr>
        <a:xfrm>
          <a:off x="7722869" y="0"/>
          <a:ext cx="5324475" cy="235572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131650</xdr:colOff>
      <xdr:row>1</xdr:row>
      <xdr:rowOff>76200</xdr:rowOff>
    </xdr:from>
    <xdr:to>
      <xdr:col>18</xdr:col>
      <xdr:colOff>294888</xdr:colOff>
      <xdr:row>9</xdr:row>
      <xdr:rowOff>86455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63CCD55-D1F5-18FB-7CD8-657F3ABA1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05790" y="76200"/>
          <a:ext cx="6868838" cy="3302095"/>
        </a:xfrm>
        <a:prstGeom prst="rect">
          <a:avLst/>
        </a:prstGeom>
      </xdr:spPr>
    </xdr:pic>
    <xdr:clientData/>
  </xdr:twoCellAnchor>
  <xdr:twoCellAnchor editAs="oneCell">
    <xdr:from>
      <xdr:col>8</xdr:col>
      <xdr:colOff>107575</xdr:colOff>
      <xdr:row>12</xdr:row>
      <xdr:rowOff>737</xdr:rowOff>
    </xdr:from>
    <xdr:to>
      <xdr:col>19</xdr:col>
      <xdr:colOff>97790</xdr:colOff>
      <xdr:row>18</xdr:row>
      <xdr:rowOff>125688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D61A844-3CBA-EB23-287D-DFB851C4B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799" y="3990031"/>
          <a:ext cx="6695815" cy="35046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24F9-218F-4B4A-BC63-469D14446AE4}">
  <sheetPr>
    <pageSetUpPr fitToPage="1"/>
  </sheetPr>
  <dimension ref="A3:K172"/>
  <sheetViews>
    <sheetView tabSelected="1" view="pageBreakPreview" topLeftCell="B1" zoomScaleNormal="100" zoomScaleSheetLayoutView="100" workbookViewId="0">
      <selection activeCell="J1" sqref="J1:K1048576"/>
    </sheetView>
  </sheetViews>
  <sheetFormatPr defaultRowHeight="14.4" x14ac:dyDescent="0.3"/>
  <cols>
    <col min="1" max="1" width="0" hidden="1" customWidth="1"/>
    <col min="2" max="2" width="8.6640625" customWidth="1"/>
    <col min="3" max="3" width="13.33203125" customWidth="1"/>
    <col min="4" max="4" width="12" customWidth="1"/>
    <col min="5" max="5" width="49.5546875" bestFit="1" customWidth="1"/>
    <col min="6" max="6" width="9.6640625" customWidth="1"/>
    <col min="7" max="7" width="13.33203125" customWidth="1"/>
    <col min="8" max="9" width="16.6640625" customWidth="1"/>
    <col min="10" max="10" width="16.5546875" hidden="1" customWidth="1"/>
    <col min="11" max="11" width="14.33203125" hidden="1" customWidth="1"/>
  </cols>
  <sheetData>
    <row r="3" spans="2:11" x14ac:dyDescent="0.3">
      <c r="B3" s="12" t="s">
        <v>7</v>
      </c>
    </row>
    <row r="5" spans="2:11" ht="18" x14ac:dyDescent="0.35">
      <c r="B5" s="316" t="s">
        <v>14241</v>
      </c>
      <c r="C5" s="316"/>
      <c r="D5" s="316"/>
      <c r="E5" s="316"/>
      <c r="F5" s="316"/>
      <c r="G5" s="316"/>
      <c r="H5" s="316"/>
      <c r="I5" s="316"/>
    </row>
    <row r="6" spans="2:11" x14ac:dyDescent="0.3">
      <c r="J6" s="3">
        <f>SUMIF($A$11:$A$147,A94,$I$11:$I$147)</f>
        <v>40996863.873195767</v>
      </c>
      <c r="K6" s="47">
        <f>J6/2</f>
        <v>20498431.936597884</v>
      </c>
    </row>
    <row r="7" spans="2:11" x14ac:dyDescent="0.3">
      <c r="B7" s="317" t="s">
        <v>13338</v>
      </c>
      <c r="C7" s="317"/>
      <c r="D7" s="317"/>
      <c r="E7" s="317"/>
      <c r="F7" s="317"/>
      <c r="G7" s="317"/>
      <c r="H7" s="317"/>
      <c r="I7" s="317"/>
      <c r="J7" s="3">
        <f>SUMIF($A$11:$A$147,Cronograma!F2,$I$11:$I$147)</f>
        <v>30120630.25871126</v>
      </c>
    </row>
    <row r="8" spans="2:11" x14ac:dyDescent="0.3">
      <c r="H8" s="6" t="s">
        <v>9</v>
      </c>
      <c r="I8" s="2">
        <v>45839</v>
      </c>
      <c r="J8" s="3">
        <f>SUMIF($A$11:$A$147,A105,$I$11:$I$147)</f>
        <v>58404734.860690743</v>
      </c>
    </row>
    <row r="9" spans="2:11" x14ac:dyDescent="0.3">
      <c r="H9" s="6" t="s">
        <v>10</v>
      </c>
      <c r="I9" s="17">
        <f>+BDI!C16</f>
        <v>0.25270000000000004</v>
      </c>
    </row>
    <row r="10" spans="2:11" s="4" customFormat="1" ht="28.8" x14ac:dyDescent="0.3">
      <c r="B10" s="40" t="s">
        <v>0</v>
      </c>
      <c r="C10" s="40" t="s">
        <v>1</v>
      </c>
      <c r="D10" s="40" t="s">
        <v>2</v>
      </c>
      <c r="E10" s="40" t="s">
        <v>3</v>
      </c>
      <c r="F10" s="40" t="s">
        <v>4</v>
      </c>
      <c r="G10" s="40" t="s">
        <v>5</v>
      </c>
      <c r="H10" s="41" t="s">
        <v>6</v>
      </c>
      <c r="I10" s="41" t="s">
        <v>20</v>
      </c>
    </row>
    <row r="11" spans="2:11" s="65" customFormat="1" x14ac:dyDescent="0.3">
      <c r="B11" s="66">
        <v>0</v>
      </c>
      <c r="C11" s="66">
        <v>0</v>
      </c>
      <c r="D11" s="66">
        <v>0</v>
      </c>
      <c r="E11" s="64" t="s">
        <v>13939</v>
      </c>
      <c r="F11" s="66">
        <v>0</v>
      </c>
      <c r="G11" s="66">
        <v>0</v>
      </c>
      <c r="H11" s="66">
        <v>0</v>
      </c>
      <c r="I11" s="67">
        <f>+I13+I161+I163+I165+I167+I169+I171</f>
        <v>472053590.58097464</v>
      </c>
    </row>
    <row r="12" spans="2:11" s="4" customFormat="1" x14ac:dyDescent="0.3">
      <c r="B12" s="7"/>
      <c r="C12" s="7"/>
      <c r="D12" s="7"/>
      <c r="E12" s="7"/>
      <c r="F12" s="7"/>
      <c r="G12" s="7"/>
      <c r="H12" s="63"/>
      <c r="I12" s="63"/>
    </row>
    <row r="13" spans="2:11" s="14" customFormat="1" x14ac:dyDescent="0.3">
      <c r="B13" s="42" t="s">
        <v>24</v>
      </c>
      <c r="C13" s="42" t="s">
        <v>13</v>
      </c>
      <c r="D13" s="43" t="s">
        <v>13</v>
      </c>
      <c r="E13" s="44" t="s">
        <v>14</v>
      </c>
      <c r="F13" s="42" t="s">
        <v>13</v>
      </c>
      <c r="G13" s="45">
        <v>0</v>
      </c>
      <c r="H13" s="45">
        <v>0</v>
      </c>
      <c r="I13" s="45">
        <f>+Planilha!I13</f>
        <v>34844062.769298777</v>
      </c>
    </row>
    <row r="14" spans="2:11" x14ac:dyDescent="0.3">
      <c r="B14" s="8"/>
      <c r="C14" s="8"/>
      <c r="D14" s="8"/>
      <c r="E14" s="8"/>
      <c r="F14" s="8"/>
      <c r="G14" s="8"/>
      <c r="H14" s="8"/>
      <c r="I14" s="8"/>
    </row>
    <row r="15" spans="2:11" s="14" customFormat="1" x14ac:dyDescent="0.3">
      <c r="B15" s="42" t="s">
        <v>25</v>
      </c>
      <c r="C15" s="42" t="s">
        <v>13</v>
      </c>
      <c r="D15" s="43" t="s">
        <v>13</v>
      </c>
      <c r="E15" s="44" t="s">
        <v>21</v>
      </c>
      <c r="F15" s="42" t="s">
        <v>13</v>
      </c>
      <c r="G15" s="45">
        <v>0</v>
      </c>
      <c r="H15" s="45">
        <v>0</v>
      </c>
      <c r="I15" s="45">
        <f>+Planilha!I19</f>
        <v>185053833.68556741</v>
      </c>
    </row>
    <row r="16" spans="2:11" s="14" customFormat="1" x14ac:dyDescent="0.3">
      <c r="B16" s="42" t="s">
        <v>26</v>
      </c>
      <c r="C16" s="42" t="s">
        <v>13</v>
      </c>
      <c r="D16" s="43" t="s">
        <v>13</v>
      </c>
      <c r="E16" s="44" t="s">
        <v>14235</v>
      </c>
      <c r="F16" s="42" t="s">
        <v>13</v>
      </c>
      <c r="G16" s="45">
        <v>0</v>
      </c>
      <c r="H16" s="45">
        <v>0</v>
      </c>
      <c r="I16" s="45">
        <f>+Planilha!I20</f>
        <v>12187104.41366885</v>
      </c>
    </row>
    <row r="17" spans="1:9" s="14" customFormat="1" x14ac:dyDescent="0.3">
      <c r="B17" s="42" t="s">
        <v>13134</v>
      </c>
      <c r="C17" s="42" t="s">
        <v>13</v>
      </c>
      <c r="D17" s="43" t="s">
        <v>13</v>
      </c>
      <c r="E17" s="44" t="s">
        <v>19</v>
      </c>
      <c r="F17" s="42" t="s">
        <v>13</v>
      </c>
      <c r="G17" s="45">
        <v>0</v>
      </c>
      <c r="H17" s="45">
        <v>0</v>
      </c>
      <c r="I17" s="45">
        <f>+I18+I38+I50+I68+I71+I73+I75</f>
        <v>161802110.93942085</v>
      </c>
    </row>
    <row r="18" spans="1:9" x14ac:dyDescent="0.3">
      <c r="B18" s="9">
        <v>1</v>
      </c>
      <c r="C18" s="9" t="s">
        <v>13</v>
      </c>
      <c r="D18" s="10" t="s">
        <v>13</v>
      </c>
      <c r="E18" s="8" t="s">
        <v>22</v>
      </c>
      <c r="F18" s="9" t="s">
        <v>13</v>
      </c>
      <c r="G18" s="11">
        <v>0</v>
      </c>
      <c r="H18" s="11">
        <v>0</v>
      </c>
      <c r="I18" s="11">
        <f>+I19+I25+I27+I29+I35</f>
        <v>134336642.71751294</v>
      </c>
    </row>
    <row r="19" spans="1:9" s="14" customFormat="1" x14ac:dyDescent="0.3">
      <c r="A19" s="42"/>
      <c r="B19" s="45">
        <v>0</v>
      </c>
      <c r="C19" s="42" t="s">
        <v>13</v>
      </c>
      <c r="D19" s="43" t="s">
        <v>13</v>
      </c>
      <c r="E19" s="44" t="s">
        <v>13343</v>
      </c>
      <c r="F19" s="42" t="s">
        <v>13</v>
      </c>
      <c r="G19" s="45">
        <v>0</v>
      </c>
      <c r="H19" s="45">
        <v>0</v>
      </c>
      <c r="I19" s="45">
        <f>SUM(I20:I24)</f>
        <v>61302489.406142503</v>
      </c>
    </row>
    <row r="20" spans="1:9" x14ac:dyDescent="0.3">
      <c r="B20" s="9" t="s">
        <v>11</v>
      </c>
      <c r="C20" s="9" t="s">
        <v>13</v>
      </c>
      <c r="D20" s="10" t="s">
        <v>13</v>
      </c>
      <c r="E20" s="8" t="s">
        <v>23</v>
      </c>
      <c r="F20" s="9" t="s">
        <v>13</v>
      </c>
      <c r="G20" s="11">
        <v>0</v>
      </c>
      <c r="H20" s="11">
        <v>0</v>
      </c>
      <c r="I20" s="11">
        <f>+Planilha!I27</f>
        <v>2871252.9314038451</v>
      </c>
    </row>
    <row r="21" spans="1:9" x14ac:dyDescent="0.3">
      <c r="B21" s="9" t="s">
        <v>13053</v>
      </c>
      <c r="C21" s="9" t="s">
        <v>13</v>
      </c>
      <c r="D21" s="10" t="s">
        <v>13</v>
      </c>
      <c r="E21" s="8" t="s">
        <v>13065</v>
      </c>
      <c r="F21" s="9" t="s">
        <v>13</v>
      </c>
      <c r="G21" s="11">
        <v>0</v>
      </c>
      <c r="H21" s="11">
        <v>0</v>
      </c>
      <c r="I21" s="11">
        <f>+Planilha!I64</f>
        <v>15394370.676457096</v>
      </c>
    </row>
    <row r="22" spans="1:9" x14ac:dyDescent="0.3">
      <c r="B22" s="9" t="s">
        <v>13054</v>
      </c>
      <c r="C22" s="9" t="s">
        <v>13</v>
      </c>
      <c r="D22" s="10" t="s">
        <v>13</v>
      </c>
      <c r="E22" s="8" t="s">
        <v>13066</v>
      </c>
      <c r="F22" s="9" t="s">
        <v>13</v>
      </c>
      <c r="G22" s="11">
        <v>0</v>
      </c>
      <c r="H22" s="11">
        <v>0</v>
      </c>
      <c r="I22" s="11">
        <f>+Planilha!I101</f>
        <v>14208007.477419851</v>
      </c>
    </row>
    <row r="23" spans="1:9" x14ac:dyDescent="0.3">
      <c r="B23" s="9" t="s">
        <v>13055</v>
      </c>
      <c r="C23" s="9" t="s">
        <v>13</v>
      </c>
      <c r="D23" s="10" t="s">
        <v>13</v>
      </c>
      <c r="E23" s="8" t="s">
        <v>13067</v>
      </c>
      <c r="F23" s="9" t="s">
        <v>13</v>
      </c>
      <c r="G23" s="11">
        <v>0</v>
      </c>
      <c r="H23" s="11">
        <v>0</v>
      </c>
      <c r="I23" s="11">
        <f>+Planilha!I138</f>
        <v>12551586.201678047</v>
      </c>
    </row>
    <row r="24" spans="1:9" x14ac:dyDescent="0.3">
      <c r="B24" s="9" t="s">
        <v>13056</v>
      </c>
      <c r="C24" s="9" t="s">
        <v>13</v>
      </c>
      <c r="D24" s="10" t="s">
        <v>13</v>
      </c>
      <c r="E24" s="8" t="s">
        <v>13068</v>
      </c>
      <c r="F24" s="9" t="s">
        <v>13</v>
      </c>
      <c r="G24" s="11">
        <v>0</v>
      </c>
      <c r="H24" s="11">
        <v>0</v>
      </c>
      <c r="I24" s="11">
        <f>+Planilha!I175</f>
        <v>16277272.119183663</v>
      </c>
    </row>
    <row r="25" spans="1:9" s="14" customFormat="1" x14ac:dyDescent="0.3">
      <c r="A25" s="42"/>
      <c r="B25" s="45">
        <v>0</v>
      </c>
      <c r="C25" s="42" t="s">
        <v>13</v>
      </c>
      <c r="D25" s="43" t="s">
        <v>13</v>
      </c>
      <c r="E25" s="44" t="s">
        <v>13344</v>
      </c>
      <c r="F25" s="42" t="s">
        <v>13</v>
      </c>
      <c r="G25" s="45">
        <v>0</v>
      </c>
      <c r="H25" s="45">
        <v>0</v>
      </c>
      <c r="I25" s="45">
        <f>SUM(I26:I26)</f>
        <v>11436089.626830226</v>
      </c>
    </row>
    <row r="26" spans="1:9" x14ac:dyDescent="0.3">
      <c r="B26" s="9" t="s">
        <v>13057</v>
      </c>
      <c r="C26" s="9" t="s">
        <v>13</v>
      </c>
      <c r="D26" s="10" t="s">
        <v>13</v>
      </c>
      <c r="E26" s="8" t="s">
        <v>13070</v>
      </c>
      <c r="F26" s="9" t="s">
        <v>13</v>
      </c>
      <c r="G26" s="11">
        <v>0</v>
      </c>
      <c r="H26" s="11">
        <v>0</v>
      </c>
      <c r="I26" s="11">
        <f>+Planilha!I213</f>
        <v>11436089.626830226</v>
      </c>
    </row>
    <row r="27" spans="1:9" s="14" customFormat="1" x14ac:dyDescent="0.3">
      <c r="A27" s="42"/>
      <c r="B27" s="45">
        <v>0</v>
      </c>
      <c r="C27" s="42" t="s">
        <v>13</v>
      </c>
      <c r="D27" s="43" t="s">
        <v>13</v>
      </c>
      <c r="E27" s="44" t="s">
        <v>13072</v>
      </c>
      <c r="F27" s="42" t="s">
        <v>13</v>
      </c>
      <c r="G27" s="45">
        <v>0</v>
      </c>
      <c r="H27" s="45">
        <v>0</v>
      </c>
      <c r="I27" s="45">
        <f>+I28</f>
        <v>5299527.5142090963</v>
      </c>
    </row>
    <row r="28" spans="1:9" x14ac:dyDescent="0.3">
      <c r="B28" s="9" t="s">
        <v>13058</v>
      </c>
      <c r="C28" s="9" t="s">
        <v>13</v>
      </c>
      <c r="D28" s="10" t="s">
        <v>13</v>
      </c>
      <c r="E28" s="8" t="s">
        <v>13072</v>
      </c>
      <c r="F28" s="9" t="s">
        <v>13</v>
      </c>
      <c r="G28" s="11">
        <v>0</v>
      </c>
      <c r="H28" s="11">
        <v>0</v>
      </c>
      <c r="I28" s="11">
        <f>+Planilha!I251</f>
        <v>5299527.5142090963</v>
      </c>
    </row>
    <row r="29" spans="1:9" s="14" customFormat="1" x14ac:dyDescent="0.3">
      <c r="A29" s="42"/>
      <c r="B29" s="45">
        <v>0</v>
      </c>
      <c r="C29" s="42" t="s">
        <v>13</v>
      </c>
      <c r="D29" s="43" t="s">
        <v>13</v>
      </c>
      <c r="E29" s="44" t="s">
        <v>13345</v>
      </c>
      <c r="F29" s="42" t="s">
        <v>13</v>
      </c>
      <c r="G29" s="45">
        <v>0</v>
      </c>
      <c r="H29" s="45">
        <v>0</v>
      </c>
      <c r="I29" s="45">
        <f>SUM(I30:I34)</f>
        <v>50460641.555658951</v>
      </c>
    </row>
    <row r="30" spans="1:9" x14ac:dyDescent="0.3">
      <c r="B30" s="9" t="s">
        <v>13059</v>
      </c>
      <c r="C30" s="9" t="s">
        <v>13</v>
      </c>
      <c r="D30" s="10" t="s">
        <v>13</v>
      </c>
      <c r="E30" s="8" t="s">
        <v>13073</v>
      </c>
      <c r="F30" s="9" t="s">
        <v>13</v>
      </c>
      <c r="G30" s="11">
        <v>0</v>
      </c>
      <c r="H30" s="11">
        <v>0</v>
      </c>
      <c r="I30" s="11">
        <f>+Planilha!I289</f>
        <v>12223392.614919122</v>
      </c>
    </row>
    <row r="31" spans="1:9" x14ac:dyDescent="0.3">
      <c r="B31" s="9" t="s">
        <v>13060</v>
      </c>
      <c r="C31" s="9" t="s">
        <v>13</v>
      </c>
      <c r="D31" s="10" t="s">
        <v>13</v>
      </c>
      <c r="E31" s="8" t="s">
        <v>13074</v>
      </c>
      <c r="F31" s="9" t="s">
        <v>13</v>
      </c>
      <c r="G31" s="11">
        <v>0</v>
      </c>
      <c r="H31" s="11">
        <v>0</v>
      </c>
      <c r="I31" s="11">
        <f>+Planilha!I326</f>
        <v>12110016.878546173</v>
      </c>
    </row>
    <row r="32" spans="1:9" x14ac:dyDescent="0.3">
      <c r="B32" s="9" t="s">
        <v>13061</v>
      </c>
      <c r="C32" s="9" t="s">
        <v>13</v>
      </c>
      <c r="D32" s="10" t="s">
        <v>13</v>
      </c>
      <c r="E32" s="8" t="s">
        <v>13075</v>
      </c>
      <c r="F32" s="9" t="s">
        <v>13</v>
      </c>
      <c r="G32" s="11">
        <v>0</v>
      </c>
      <c r="H32" s="11">
        <v>0</v>
      </c>
      <c r="I32" s="11">
        <f>+Planilha!I363</f>
        <v>9927442.2731696647</v>
      </c>
    </row>
    <row r="33" spans="1:9" x14ac:dyDescent="0.3">
      <c r="B33" s="9" t="s">
        <v>13062</v>
      </c>
      <c r="C33" s="9" t="s">
        <v>13</v>
      </c>
      <c r="D33" s="10" t="s">
        <v>13</v>
      </c>
      <c r="E33" s="8" t="s">
        <v>13077</v>
      </c>
      <c r="F33" s="9" t="s">
        <v>13</v>
      </c>
      <c r="G33" s="11">
        <v>0</v>
      </c>
      <c r="H33" s="11">
        <v>0</v>
      </c>
      <c r="I33" s="11">
        <f>+Planilha!I400</f>
        <v>5463595.581271736</v>
      </c>
    </row>
    <row r="34" spans="1:9" x14ac:dyDescent="0.3">
      <c r="B34" s="9" t="s">
        <v>13063</v>
      </c>
      <c r="C34" s="9" t="s">
        <v>13</v>
      </c>
      <c r="D34" s="10" t="s">
        <v>13</v>
      </c>
      <c r="E34" s="8" t="s">
        <v>13078</v>
      </c>
      <c r="F34" s="9" t="s">
        <v>13</v>
      </c>
      <c r="G34" s="11">
        <v>0</v>
      </c>
      <c r="H34" s="11">
        <v>0</v>
      </c>
      <c r="I34" s="11">
        <f>+Planilha!I437</f>
        <v>10736194.207752254</v>
      </c>
    </row>
    <row r="35" spans="1:9" s="14" customFormat="1" x14ac:dyDescent="0.3">
      <c r="A35" s="42"/>
      <c r="B35" s="45">
        <v>0</v>
      </c>
      <c r="C35" s="42" t="s">
        <v>13</v>
      </c>
      <c r="D35" s="43" t="s">
        <v>13</v>
      </c>
      <c r="E35" s="44" t="s">
        <v>13079</v>
      </c>
      <c r="F35" s="42" t="s">
        <v>13</v>
      </c>
      <c r="G35" s="45">
        <v>0</v>
      </c>
      <c r="H35" s="45">
        <v>0</v>
      </c>
      <c r="I35" s="45">
        <f>+I36</f>
        <v>5837894.6146721691</v>
      </c>
    </row>
    <row r="36" spans="1:9" x14ac:dyDescent="0.3">
      <c r="B36" s="9" t="s">
        <v>13064</v>
      </c>
      <c r="C36" s="9" t="s">
        <v>13</v>
      </c>
      <c r="D36" s="10" t="s">
        <v>13</v>
      </c>
      <c r="E36" s="8" t="s">
        <v>13079</v>
      </c>
      <c r="F36" s="9" t="s">
        <v>13</v>
      </c>
      <c r="G36" s="11">
        <v>0</v>
      </c>
      <c r="H36" s="11">
        <v>0</v>
      </c>
      <c r="I36" s="11">
        <f>+Planilha!I475</f>
        <v>5837894.6146721691</v>
      </c>
    </row>
    <row r="37" spans="1:9" x14ac:dyDescent="0.3">
      <c r="B37" s="9"/>
      <c r="C37" s="8"/>
      <c r="D37" s="8"/>
      <c r="E37" s="8"/>
      <c r="F37" s="8"/>
      <c r="G37" s="8"/>
      <c r="H37" s="8"/>
      <c r="I37" s="8"/>
    </row>
    <row r="38" spans="1:9" x14ac:dyDescent="0.3">
      <c r="B38" s="9">
        <v>2</v>
      </c>
      <c r="C38" s="9" t="s">
        <v>13</v>
      </c>
      <c r="D38" s="10" t="s">
        <v>13</v>
      </c>
      <c r="E38" s="8" t="s">
        <v>13080</v>
      </c>
      <c r="F38" s="9" t="s">
        <v>13</v>
      </c>
      <c r="G38" s="11">
        <v>0</v>
      </c>
      <c r="H38" s="11">
        <v>0</v>
      </c>
      <c r="I38" s="11">
        <f>+I39+I44</f>
        <v>1505387.6303242664</v>
      </c>
    </row>
    <row r="39" spans="1:9" s="14" customFormat="1" x14ac:dyDescent="0.3">
      <c r="A39" s="42"/>
      <c r="B39" s="45">
        <v>0</v>
      </c>
      <c r="C39" s="42" t="s">
        <v>13</v>
      </c>
      <c r="D39" s="43" t="s">
        <v>13</v>
      </c>
      <c r="E39" s="44" t="s">
        <v>13343</v>
      </c>
      <c r="F39" s="42" t="s">
        <v>13</v>
      </c>
      <c r="G39" s="45">
        <v>0</v>
      </c>
      <c r="H39" s="45">
        <v>0</v>
      </c>
      <c r="I39" s="45">
        <f>SUM(I40:I43)</f>
        <v>716959.09272624459</v>
      </c>
    </row>
    <row r="40" spans="1:9" x14ac:dyDescent="0.3">
      <c r="B40" s="9" t="s">
        <v>13101</v>
      </c>
      <c r="C40" s="9" t="s">
        <v>13</v>
      </c>
      <c r="D40" s="10" t="s">
        <v>13</v>
      </c>
      <c r="E40" s="8" t="s">
        <v>13092</v>
      </c>
      <c r="F40" s="9" t="s">
        <v>13</v>
      </c>
      <c r="G40" s="11">
        <v>0</v>
      </c>
      <c r="H40" s="11">
        <v>0</v>
      </c>
      <c r="I40" s="11">
        <f>+Planilha!I515</f>
        <v>195266.40499358543</v>
      </c>
    </row>
    <row r="41" spans="1:9" x14ac:dyDescent="0.3">
      <c r="B41" s="9" t="s">
        <v>13101</v>
      </c>
      <c r="C41" s="9" t="s">
        <v>13</v>
      </c>
      <c r="D41" s="10" t="s">
        <v>13</v>
      </c>
      <c r="E41" s="8" t="s">
        <v>13093</v>
      </c>
      <c r="F41" s="9" t="s">
        <v>13</v>
      </c>
      <c r="G41" s="11">
        <v>0</v>
      </c>
      <c r="H41" s="11">
        <v>0</v>
      </c>
      <c r="I41" s="11">
        <f>+Planilha!I530</f>
        <v>181932.64905664895</v>
      </c>
    </row>
    <row r="42" spans="1:9" x14ac:dyDescent="0.3">
      <c r="B42" s="9" t="s">
        <v>13102</v>
      </c>
      <c r="C42" s="9" t="s">
        <v>13</v>
      </c>
      <c r="D42" s="10" t="s">
        <v>13</v>
      </c>
      <c r="E42" s="8" t="s">
        <v>13094</v>
      </c>
      <c r="F42" s="9" t="s">
        <v>13</v>
      </c>
      <c r="G42" s="11">
        <v>0</v>
      </c>
      <c r="H42" s="11">
        <v>0</v>
      </c>
      <c r="I42" s="11">
        <f>+Planilha!I545</f>
        <v>181932.64905664895</v>
      </c>
    </row>
    <row r="43" spans="1:9" x14ac:dyDescent="0.3">
      <c r="B43" s="9" t="s">
        <v>13103</v>
      </c>
      <c r="C43" s="9" t="s">
        <v>13</v>
      </c>
      <c r="D43" s="10" t="s">
        <v>13</v>
      </c>
      <c r="E43" s="8" t="s">
        <v>13095</v>
      </c>
      <c r="F43" s="9" t="s">
        <v>13</v>
      </c>
      <c r="G43" s="11">
        <v>0</v>
      </c>
      <c r="H43" s="11">
        <v>0</v>
      </c>
      <c r="I43" s="11">
        <f>+Planilha!I560</f>
        <v>157827.38961936129</v>
      </c>
    </row>
    <row r="44" spans="1:9" s="14" customFormat="1" x14ac:dyDescent="0.3">
      <c r="A44" s="42"/>
      <c r="B44" s="45">
        <v>0</v>
      </c>
      <c r="C44" s="42" t="s">
        <v>13</v>
      </c>
      <c r="D44" s="43" t="s">
        <v>13</v>
      </c>
      <c r="E44" s="44" t="s">
        <v>13345</v>
      </c>
      <c r="F44" s="42" t="s">
        <v>13</v>
      </c>
      <c r="G44" s="45">
        <v>0</v>
      </c>
      <c r="H44" s="45">
        <v>0</v>
      </c>
      <c r="I44" s="45">
        <f>SUM(I45:I48)</f>
        <v>788428.53759802168</v>
      </c>
    </row>
    <row r="45" spans="1:9" x14ac:dyDescent="0.3">
      <c r="B45" s="9" t="s">
        <v>13104</v>
      </c>
      <c r="C45" s="9" t="s">
        <v>13</v>
      </c>
      <c r="D45" s="10" t="s">
        <v>13</v>
      </c>
      <c r="E45" s="8" t="s">
        <v>13097</v>
      </c>
      <c r="F45" s="9" t="s">
        <v>13</v>
      </c>
      <c r="G45" s="11">
        <v>0</v>
      </c>
      <c r="H45" s="11">
        <v>0</v>
      </c>
      <c r="I45" s="11">
        <f>+Planilha!I576</f>
        <v>217980.60912753674</v>
      </c>
    </row>
    <row r="46" spans="1:9" x14ac:dyDescent="0.3">
      <c r="B46" s="9" t="s">
        <v>13105</v>
      </c>
      <c r="C46" s="9" t="s">
        <v>13</v>
      </c>
      <c r="D46" s="10" t="s">
        <v>13</v>
      </c>
      <c r="E46" s="8" t="s">
        <v>13098</v>
      </c>
      <c r="F46" s="9" t="s">
        <v>13</v>
      </c>
      <c r="G46" s="11">
        <v>0</v>
      </c>
      <c r="H46" s="11">
        <v>0</v>
      </c>
      <c r="I46" s="11">
        <f>+Planilha!I591</f>
        <v>201193.48970275413</v>
      </c>
    </row>
    <row r="47" spans="1:9" x14ac:dyDescent="0.3">
      <c r="B47" s="9" t="s">
        <v>13106</v>
      </c>
      <c r="C47" s="9" t="s">
        <v>13</v>
      </c>
      <c r="D47" s="10" t="s">
        <v>13</v>
      </c>
      <c r="E47" s="8" t="s">
        <v>13099</v>
      </c>
      <c r="F47" s="9" t="s">
        <v>13</v>
      </c>
      <c r="G47" s="11">
        <v>0</v>
      </c>
      <c r="H47" s="11">
        <v>0</v>
      </c>
      <c r="I47" s="11">
        <f>+Planilha!I606</f>
        <v>193837.91871360142</v>
      </c>
    </row>
    <row r="48" spans="1:9" x14ac:dyDescent="0.3">
      <c r="B48" s="9" t="s">
        <v>13107</v>
      </c>
      <c r="C48" s="9" t="s">
        <v>13</v>
      </c>
      <c r="D48" s="10" t="s">
        <v>13</v>
      </c>
      <c r="E48" s="8" t="s">
        <v>13100</v>
      </c>
      <c r="F48" s="9" t="s">
        <v>13</v>
      </c>
      <c r="G48" s="11">
        <v>0</v>
      </c>
      <c r="H48" s="11">
        <v>0</v>
      </c>
      <c r="I48" s="11">
        <f>+Planilha!I621</f>
        <v>175416.52005412942</v>
      </c>
    </row>
    <row r="49" spans="1:9" x14ac:dyDescent="0.3">
      <c r="B49" s="9"/>
      <c r="C49" s="8"/>
      <c r="D49" s="8"/>
      <c r="E49" s="8"/>
      <c r="F49" s="8"/>
      <c r="G49" s="8"/>
      <c r="H49" s="8"/>
      <c r="I49" s="8"/>
    </row>
    <row r="50" spans="1:9" x14ac:dyDescent="0.3">
      <c r="B50" s="9">
        <v>3</v>
      </c>
      <c r="C50" s="9" t="s">
        <v>13</v>
      </c>
      <c r="D50" s="10" t="s">
        <v>13</v>
      </c>
      <c r="E50" s="8" t="s">
        <v>13091</v>
      </c>
      <c r="F50" s="9" t="s">
        <v>13</v>
      </c>
      <c r="G50" s="11">
        <v>0</v>
      </c>
      <c r="H50" s="11">
        <v>0</v>
      </c>
      <c r="I50" s="11">
        <f>+I51+I56+I58+I60+I65</f>
        <v>9312430.6696705371</v>
      </c>
    </row>
    <row r="51" spans="1:9" s="14" customFormat="1" x14ac:dyDescent="0.3">
      <c r="A51" s="42"/>
      <c r="B51" s="45">
        <v>0</v>
      </c>
      <c r="C51" s="42" t="s">
        <v>13</v>
      </c>
      <c r="D51" s="43" t="s">
        <v>13</v>
      </c>
      <c r="E51" s="44" t="s">
        <v>13343</v>
      </c>
      <c r="F51" s="42" t="s">
        <v>13</v>
      </c>
      <c r="G51" s="45">
        <v>0</v>
      </c>
      <c r="H51" s="45">
        <v>0</v>
      </c>
      <c r="I51" s="45">
        <f>SUM(I52:I55)</f>
        <v>3368975.3924151799</v>
      </c>
    </row>
    <row r="52" spans="1:9" x14ac:dyDescent="0.3">
      <c r="B52" s="9" t="s">
        <v>13110</v>
      </c>
      <c r="C52" s="9" t="s">
        <v>13</v>
      </c>
      <c r="D52" s="10" t="s">
        <v>13</v>
      </c>
      <c r="E52" s="8" t="s">
        <v>13081</v>
      </c>
      <c r="F52" s="9" t="s">
        <v>13</v>
      </c>
      <c r="G52" s="11">
        <v>0</v>
      </c>
      <c r="H52" s="11">
        <v>0</v>
      </c>
      <c r="I52" s="11">
        <f>+Planilha!I639</f>
        <v>1220950.9084048439</v>
      </c>
    </row>
    <row r="53" spans="1:9" x14ac:dyDescent="0.3">
      <c r="B53" s="9" t="s">
        <v>13111</v>
      </c>
      <c r="C53" s="9" t="s">
        <v>13</v>
      </c>
      <c r="D53" s="10" t="s">
        <v>13</v>
      </c>
      <c r="E53" s="8" t="s">
        <v>13082</v>
      </c>
      <c r="F53" s="9" t="s">
        <v>13</v>
      </c>
      <c r="G53" s="11">
        <v>0</v>
      </c>
      <c r="H53" s="11">
        <v>0</v>
      </c>
      <c r="I53" s="11">
        <f>+Planilha!I644</f>
        <v>869934.87463912496</v>
      </c>
    </row>
    <row r="54" spans="1:9" x14ac:dyDescent="0.3">
      <c r="B54" s="9" t="s">
        <v>13112</v>
      </c>
      <c r="C54" s="9" t="s">
        <v>13</v>
      </c>
      <c r="D54" s="10" t="s">
        <v>13</v>
      </c>
      <c r="E54" s="8" t="s">
        <v>13083</v>
      </c>
      <c r="F54" s="9" t="s">
        <v>13</v>
      </c>
      <c r="G54" s="11">
        <v>0</v>
      </c>
      <c r="H54" s="11">
        <v>0</v>
      </c>
      <c r="I54" s="11">
        <f>+Planilha!I649</f>
        <v>639044.80468560546</v>
      </c>
    </row>
    <row r="55" spans="1:9" x14ac:dyDescent="0.3">
      <c r="B55" s="9" t="s">
        <v>13113</v>
      </c>
      <c r="C55" s="9" t="s">
        <v>13</v>
      </c>
      <c r="D55" s="10" t="s">
        <v>13</v>
      </c>
      <c r="E55" s="8" t="s">
        <v>13084</v>
      </c>
      <c r="F55" s="9" t="s">
        <v>13</v>
      </c>
      <c r="G55" s="11">
        <v>0</v>
      </c>
      <c r="H55" s="11">
        <v>0</v>
      </c>
      <c r="I55" s="11">
        <f>+Planilha!I654</f>
        <v>639044.80468560546</v>
      </c>
    </row>
    <row r="56" spans="1:9" s="14" customFormat="1" x14ac:dyDescent="0.3">
      <c r="A56" s="42"/>
      <c r="B56" s="45">
        <v>0</v>
      </c>
      <c r="C56" s="42" t="s">
        <v>13</v>
      </c>
      <c r="D56" s="43" t="s">
        <v>13</v>
      </c>
      <c r="E56" s="44" t="s">
        <v>13344</v>
      </c>
      <c r="F56" s="42" t="s">
        <v>13</v>
      </c>
      <c r="G56" s="45">
        <v>0</v>
      </c>
      <c r="H56" s="45">
        <v>0</v>
      </c>
      <c r="I56" s="45">
        <f>SUM(I57:I57)</f>
        <v>389271.0669622533</v>
      </c>
    </row>
    <row r="57" spans="1:9" x14ac:dyDescent="0.3">
      <c r="B57" s="9" t="s">
        <v>13114</v>
      </c>
      <c r="C57" s="9" t="s">
        <v>13</v>
      </c>
      <c r="D57" s="10" t="s">
        <v>13</v>
      </c>
      <c r="E57" s="8" t="s">
        <v>14625</v>
      </c>
      <c r="F57" s="9" t="s">
        <v>13</v>
      </c>
      <c r="G57" s="11">
        <v>0</v>
      </c>
      <c r="H57" s="11">
        <v>0</v>
      </c>
      <c r="I57" s="11">
        <f>+Planilha!I660</f>
        <v>389271.0669622533</v>
      </c>
    </row>
    <row r="58" spans="1:9" s="14" customFormat="1" x14ac:dyDescent="0.3">
      <c r="A58" s="42"/>
      <c r="B58" s="45">
        <v>0</v>
      </c>
      <c r="C58" s="42" t="s">
        <v>13</v>
      </c>
      <c r="D58" s="43" t="s">
        <v>13</v>
      </c>
      <c r="E58" s="44" t="s">
        <v>13072</v>
      </c>
      <c r="F58" s="42" t="s">
        <v>13</v>
      </c>
      <c r="G58" s="45">
        <v>0</v>
      </c>
      <c r="H58" s="45">
        <v>0</v>
      </c>
      <c r="I58" s="45">
        <f>+I59</f>
        <v>1509589.1888308814</v>
      </c>
    </row>
    <row r="59" spans="1:9" x14ac:dyDescent="0.3">
      <c r="B59" s="9" t="s">
        <v>13115</v>
      </c>
      <c r="C59" s="9" t="s">
        <v>13</v>
      </c>
      <c r="D59" s="10" t="s">
        <v>13</v>
      </c>
      <c r="E59" s="8" t="s">
        <v>13085</v>
      </c>
      <c r="F59" s="9" t="s">
        <v>13</v>
      </c>
      <c r="G59" s="11">
        <v>0</v>
      </c>
      <c r="H59" s="11">
        <v>0</v>
      </c>
      <c r="I59" s="11">
        <f>+Planilha!I666</f>
        <v>1509589.1888308814</v>
      </c>
    </row>
    <row r="60" spans="1:9" s="14" customFormat="1" x14ac:dyDescent="0.3">
      <c r="A60" s="42"/>
      <c r="B60" s="45">
        <v>0</v>
      </c>
      <c r="C60" s="42" t="s">
        <v>13</v>
      </c>
      <c r="D60" s="43" t="s">
        <v>13</v>
      </c>
      <c r="E60" s="44" t="s">
        <v>13345</v>
      </c>
      <c r="F60" s="42" t="s">
        <v>13</v>
      </c>
      <c r="G60" s="45">
        <v>0</v>
      </c>
      <c r="H60" s="45">
        <v>0</v>
      </c>
      <c r="I60" s="45">
        <f>SUM(I61:I64)</f>
        <v>3727989.0029208115</v>
      </c>
    </row>
    <row r="61" spans="1:9" x14ac:dyDescent="0.3">
      <c r="B61" s="9" t="s">
        <v>13116</v>
      </c>
      <c r="C61" s="9" t="s">
        <v>13</v>
      </c>
      <c r="D61" s="10" t="s">
        <v>13</v>
      </c>
      <c r="E61" s="8" t="s">
        <v>13086</v>
      </c>
      <c r="F61" s="9" t="s">
        <v>13</v>
      </c>
      <c r="G61" s="11">
        <v>0</v>
      </c>
      <c r="H61" s="11">
        <v>0</v>
      </c>
      <c r="I61" s="11">
        <f>+Planilha!I672</f>
        <v>1051457.7959323225</v>
      </c>
    </row>
    <row r="62" spans="1:9" x14ac:dyDescent="0.3">
      <c r="B62" s="9" t="s">
        <v>13117</v>
      </c>
      <c r="C62" s="9" t="s">
        <v>13</v>
      </c>
      <c r="D62" s="10" t="s">
        <v>13</v>
      </c>
      <c r="E62" s="8" t="s">
        <v>13087</v>
      </c>
      <c r="F62" s="9" t="s">
        <v>13</v>
      </c>
      <c r="G62" s="11">
        <v>0</v>
      </c>
      <c r="H62" s="11">
        <v>0</v>
      </c>
      <c r="I62" s="11">
        <f>+Planilha!I677</f>
        <v>1265840.344864253</v>
      </c>
    </row>
    <row r="63" spans="1:9" x14ac:dyDescent="0.3">
      <c r="B63" s="9" t="s">
        <v>13118</v>
      </c>
      <c r="C63" s="9" t="s">
        <v>13</v>
      </c>
      <c r="D63" s="10" t="s">
        <v>13</v>
      </c>
      <c r="E63" s="8" t="s">
        <v>13088</v>
      </c>
      <c r="F63" s="9" t="s">
        <v>13</v>
      </c>
      <c r="G63" s="11">
        <v>0</v>
      </c>
      <c r="H63" s="11">
        <v>0</v>
      </c>
      <c r="I63" s="11">
        <f>+Planilha!I682</f>
        <v>887764.91456450569</v>
      </c>
    </row>
    <row r="64" spans="1:9" x14ac:dyDescent="0.3">
      <c r="B64" s="9" t="s">
        <v>13119</v>
      </c>
      <c r="C64" s="9" t="s">
        <v>13</v>
      </c>
      <c r="D64" s="10" t="s">
        <v>13</v>
      </c>
      <c r="E64" s="8" t="s">
        <v>13089</v>
      </c>
      <c r="F64" s="9" t="s">
        <v>13</v>
      </c>
      <c r="G64" s="11">
        <v>0</v>
      </c>
      <c r="H64" s="11">
        <v>0</v>
      </c>
      <c r="I64" s="11">
        <f>+Planilha!I687</f>
        <v>522925.94755973003</v>
      </c>
    </row>
    <row r="65" spans="1:9" s="14" customFormat="1" x14ac:dyDescent="0.3">
      <c r="A65" s="42"/>
      <c r="B65" s="45">
        <v>0</v>
      </c>
      <c r="C65" s="42" t="s">
        <v>13</v>
      </c>
      <c r="D65" s="43" t="s">
        <v>13</v>
      </c>
      <c r="E65" s="44" t="s">
        <v>13079</v>
      </c>
      <c r="F65" s="42" t="s">
        <v>13</v>
      </c>
      <c r="G65" s="45">
        <v>0</v>
      </c>
      <c r="H65" s="45">
        <v>0</v>
      </c>
      <c r="I65" s="45">
        <f>+I66</f>
        <v>316606.01854141126</v>
      </c>
    </row>
    <row r="66" spans="1:9" x14ac:dyDescent="0.3">
      <c r="B66" s="9" t="s">
        <v>13120</v>
      </c>
      <c r="C66" s="9" t="s">
        <v>13</v>
      </c>
      <c r="D66" s="10" t="s">
        <v>13</v>
      </c>
      <c r="E66" s="8" t="s">
        <v>13090</v>
      </c>
      <c r="F66" s="9" t="s">
        <v>13</v>
      </c>
      <c r="G66" s="11">
        <v>0</v>
      </c>
      <c r="H66" s="11">
        <v>0</v>
      </c>
      <c r="I66" s="11">
        <f>+Planilha!I693</f>
        <v>316606.01854141126</v>
      </c>
    </row>
    <row r="67" spans="1:9" x14ac:dyDescent="0.3">
      <c r="B67" s="9"/>
      <c r="C67" s="9"/>
      <c r="D67" s="10"/>
      <c r="E67" s="8"/>
      <c r="F67" s="9"/>
      <c r="G67" s="11"/>
      <c r="H67" s="11"/>
      <c r="I67" s="11"/>
    </row>
    <row r="68" spans="1:9" x14ac:dyDescent="0.3">
      <c r="A68" s="42"/>
      <c r="B68" s="9">
        <v>4</v>
      </c>
      <c r="C68" s="9" t="s">
        <v>13</v>
      </c>
      <c r="D68" s="10" t="s">
        <v>13</v>
      </c>
      <c r="E68" s="8" t="s">
        <v>13267</v>
      </c>
      <c r="F68" s="9" t="s">
        <v>13</v>
      </c>
      <c r="G68" s="11">
        <v>0</v>
      </c>
      <c r="H68" s="11">
        <v>0</v>
      </c>
      <c r="I68" s="11">
        <f>+I69</f>
        <v>2120756.272775</v>
      </c>
    </row>
    <row r="69" spans="1:9" x14ac:dyDescent="0.3">
      <c r="B69" s="9" t="s">
        <v>13122</v>
      </c>
      <c r="C69" s="9" t="s">
        <v>13</v>
      </c>
      <c r="D69" s="10" t="s">
        <v>13</v>
      </c>
      <c r="E69" s="8" t="s">
        <v>13281</v>
      </c>
      <c r="F69" s="9"/>
      <c r="G69" s="11"/>
      <c r="H69" s="11"/>
      <c r="I69" s="11">
        <f>+Planilha!I700</f>
        <v>2120756.272775</v>
      </c>
    </row>
    <row r="70" spans="1:9" x14ac:dyDescent="0.3">
      <c r="B70" s="9"/>
      <c r="C70" s="9"/>
      <c r="D70" s="10"/>
      <c r="E70" s="8"/>
      <c r="F70" s="9"/>
      <c r="G70" s="11"/>
      <c r="H70" s="11"/>
      <c r="I70" s="11"/>
    </row>
    <row r="71" spans="1:9" x14ac:dyDescent="0.3">
      <c r="A71" s="42"/>
      <c r="B71" s="9">
        <v>5</v>
      </c>
      <c r="C71" s="9" t="s">
        <v>13</v>
      </c>
      <c r="D71" s="10" t="s">
        <v>13</v>
      </c>
      <c r="E71" s="8" t="s">
        <v>14246</v>
      </c>
      <c r="F71" s="9" t="s">
        <v>13</v>
      </c>
      <c r="G71" s="119">
        <v>0</v>
      </c>
      <c r="H71" s="119">
        <v>0</v>
      </c>
      <c r="I71" s="119">
        <f>+Planilha!I709</f>
        <v>869613.09392082563</v>
      </c>
    </row>
    <row r="72" spans="1:9" x14ac:dyDescent="0.3">
      <c r="B72" s="9"/>
      <c r="C72" s="9"/>
      <c r="D72" s="10"/>
      <c r="E72" s="8"/>
      <c r="F72" s="9"/>
      <c r="G72" s="11"/>
      <c r="H72" s="11"/>
      <c r="I72" s="11"/>
    </row>
    <row r="73" spans="1:9" x14ac:dyDescent="0.3">
      <c r="B73" s="9">
        <v>6</v>
      </c>
      <c r="C73" s="9" t="s">
        <v>13</v>
      </c>
      <c r="D73" s="10" t="s">
        <v>13</v>
      </c>
      <c r="E73" s="8" t="s">
        <v>13993</v>
      </c>
      <c r="F73" s="9" t="s">
        <v>13</v>
      </c>
      <c r="G73" s="11">
        <v>0</v>
      </c>
      <c r="H73" s="11">
        <v>0</v>
      </c>
      <c r="I73" s="11">
        <f>+Planilha!I765</f>
        <v>12404390.643928243</v>
      </c>
    </row>
    <row r="74" spans="1:9" x14ac:dyDescent="0.3">
      <c r="B74" s="9"/>
      <c r="C74" s="9"/>
      <c r="D74" s="10"/>
      <c r="E74" s="8"/>
      <c r="F74" s="9"/>
      <c r="G74" s="11"/>
      <c r="H74" s="11"/>
      <c r="I74" s="11"/>
    </row>
    <row r="75" spans="1:9" x14ac:dyDescent="0.3">
      <c r="A75" s="42"/>
      <c r="B75" s="9">
        <v>7</v>
      </c>
      <c r="C75" s="9" t="s">
        <v>13</v>
      </c>
      <c r="D75" s="10" t="s">
        <v>13</v>
      </c>
      <c r="E75" s="8" t="s">
        <v>13380</v>
      </c>
      <c r="F75" s="9" t="s">
        <v>13</v>
      </c>
      <c r="G75" s="11">
        <v>0</v>
      </c>
      <c r="H75" s="11">
        <v>0</v>
      </c>
      <c r="I75" s="11">
        <f>+I76</f>
        <v>1252889.9112890649</v>
      </c>
    </row>
    <row r="76" spans="1:9" x14ac:dyDescent="0.3">
      <c r="B76" s="9" t="s">
        <v>14248</v>
      </c>
      <c r="C76" s="9" t="s">
        <v>13</v>
      </c>
      <c r="D76" s="10" t="s">
        <v>13</v>
      </c>
      <c r="E76" s="8" t="s">
        <v>13379</v>
      </c>
      <c r="F76" s="9"/>
      <c r="G76" s="11"/>
      <c r="H76" s="11"/>
      <c r="I76" s="11">
        <f>+Planilha!I776</f>
        <v>1252889.9112890649</v>
      </c>
    </row>
    <row r="77" spans="1:9" x14ac:dyDescent="0.3">
      <c r="B77" s="9"/>
      <c r="C77" s="9"/>
      <c r="D77" s="10"/>
      <c r="E77" s="8"/>
      <c r="F77" s="9"/>
      <c r="G77" s="11"/>
      <c r="H77" s="11"/>
      <c r="I77" s="11"/>
    </row>
    <row r="78" spans="1:9" s="14" customFormat="1" x14ac:dyDescent="0.3">
      <c r="B78" s="42" t="s">
        <v>14222</v>
      </c>
      <c r="C78" s="42" t="s">
        <v>13</v>
      </c>
      <c r="D78" s="43" t="s">
        <v>13</v>
      </c>
      <c r="E78" s="44" t="s">
        <v>13341</v>
      </c>
      <c r="F78" s="42" t="s">
        <v>13</v>
      </c>
      <c r="G78" s="45">
        <v>0</v>
      </c>
      <c r="H78" s="45">
        <v>0</v>
      </c>
      <c r="I78" s="45">
        <f>+I79</f>
        <v>11064618.332477733</v>
      </c>
    </row>
    <row r="79" spans="1:9" x14ac:dyDescent="0.3">
      <c r="B79" s="9">
        <v>1</v>
      </c>
      <c r="C79" s="9" t="s">
        <v>13</v>
      </c>
      <c r="D79" s="10" t="s">
        <v>13</v>
      </c>
      <c r="E79" s="8" t="s">
        <v>13121</v>
      </c>
      <c r="F79" s="9" t="s">
        <v>13</v>
      </c>
      <c r="G79" s="11">
        <v>0</v>
      </c>
      <c r="H79" s="11">
        <v>0</v>
      </c>
      <c r="I79" s="11">
        <f>SUM(I80:I84)</f>
        <v>11064618.332477733</v>
      </c>
    </row>
    <row r="80" spans="1:9" x14ac:dyDescent="0.3">
      <c r="B80" s="9" t="s">
        <v>11</v>
      </c>
      <c r="C80" s="9" t="s">
        <v>13</v>
      </c>
      <c r="D80" s="10" t="s">
        <v>13</v>
      </c>
      <c r="E80" s="8" t="s">
        <v>13123</v>
      </c>
      <c r="F80" s="9" t="s">
        <v>13</v>
      </c>
      <c r="G80" s="11">
        <v>0</v>
      </c>
      <c r="H80" s="11">
        <v>0</v>
      </c>
      <c r="I80" s="11">
        <f>+Planilha!I789</f>
        <v>7544692.0703821871</v>
      </c>
    </row>
    <row r="81" spans="1:9" x14ac:dyDescent="0.3">
      <c r="B81" s="9" t="s">
        <v>13053</v>
      </c>
      <c r="C81" s="9" t="s">
        <v>13</v>
      </c>
      <c r="D81" s="10" t="s">
        <v>13</v>
      </c>
      <c r="E81" s="8" t="s">
        <v>13129</v>
      </c>
      <c r="F81" s="9" t="s">
        <v>13</v>
      </c>
      <c r="G81" s="11">
        <v>0</v>
      </c>
      <c r="H81" s="11">
        <v>0</v>
      </c>
      <c r="I81" s="11">
        <f>+Planilha!I792</f>
        <v>553999.62207279692</v>
      </c>
    </row>
    <row r="82" spans="1:9" x14ac:dyDescent="0.3">
      <c r="B82" s="9" t="s">
        <v>13054</v>
      </c>
      <c r="C82" s="9" t="s">
        <v>13</v>
      </c>
      <c r="D82" s="10" t="s">
        <v>13</v>
      </c>
      <c r="E82" s="8" t="s">
        <v>13200</v>
      </c>
      <c r="F82" s="9" t="s">
        <v>13</v>
      </c>
      <c r="G82" s="11">
        <v>0</v>
      </c>
      <c r="H82" s="11">
        <v>0</v>
      </c>
      <c r="I82" s="11">
        <f>+Planilha!I795</f>
        <v>1033778.1479999998</v>
      </c>
    </row>
    <row r="83" spans="1:9" x14ac:dyDescent="0.3">
      <c r="B83" s="9" t="s">
        <v>13055</v>
      </c>
      <c r="C83" s="9" t="s">
        <v>13</v>
      </c>
      <c r="D83" s="10" t="s">
        <v>13</v>
      </c>
      <c r="E83" s="8" t="s">
        <v>14457</v>
      </c>
      <c r="F83" s="9" t="s">
        <v>13</v>
      </c>
      <c r="G83" s="11">
        <v>0</v>
      </c>
      <c r="H83" s="11">
        <v>0</v>
      </c>
      <c r="I83" s="11">
        <f>+Planilha!I805</f>
        <v>1475525</v>
      </c>
    </row>
    <row r="84" spans="1:9" x14ac:dyDescent="0.3">
      <c r="B84" s="9" t="s">
        <v>13056</v>
      </c>
      <c r="C84" s="9" t="s">
        <v>13</v>
      </c>
      <c r="D84" s="10" t="s">
        <v>13</v>
      </c>
      <c r="E84" s="8" t="s">
        <v>14043</v>
      </c>
      <c r="F84" s="9" t="s">
        <v>13</v>
      </c>
      <c r="G84" s="11">
        <v>0</v>
      </c>
      <c r="H84" s="11">
        <v>0</v>
      </c>
      <c r="I84" s="11">
        <f>+Planilha!I807</f>
        <v>456623.49202274927</v>
      </c>
    </row>
    <row r="85" spans="1:9" x14ac:dyDescent="0.3">
      <c r="B85" s="9"/>
      <c r="C85" s="9"/>
      <c r="D85" s="10"/>
      <c r="E85" s="8"/>
      <c r="F85" s="9"/>
      <c r="G85" s="11"/>
      <c r="H85" s="11"/>
      <c r="I85" s="11"/>
    </row>
    <row r="86" spans="1:9" s="14" customFormat="1" x14ac:dyDescent="0.3">
      <c r="B86" s="42" t="s">
        <v>13</v>
      </c>
      <c r="C86" s="42" t="s">
        <v>13</v>
      </c>
      <c r="D86" s="42" t="s">
        <v>13</v>
      </c>
      <c r="E86" s="44" t="s">
        <v>14468</v>
      </c>
      <c r="F86" s="42" t="s">
        <v>13</v>
      </c>
      <c r="G86" s="42" t="s">
        <v>13</v>
      </c>
      <c r="H86" s="42" t="s">
        <v>13</v>
      </c>
      <c r="I86" s="45">
        <f>+I17+I78</f>
        <v>172866729.27189857</v>
      </c>
    </row>
    <row r="87" spans="1:9" s="14" customFormat="1" x14ac:dyDescent="0.3">
      <c r="B87" s="42" t="s">
        <v>13</v>
      </c>
      <c r="C87" s="42" t="s">
        <v>13</v>
      </c>
      <c r="D87" s="42" t="s">
        <v>13</v>
      </c>
      <c r="E87" s="44" t="s">
        <v>14239</v>
      </c>
      <c r="F87" s="42" t="s">
        <v>13378</v>
      </c>
      <c r="G87" s="42" t="s">
        <v>13</v>
      </c>
      <c r="H87" s="42" t="s">
        <v>13</v>
      </c>
      <c r="I87" s="45">
        <f>+I16</f>
        <v>12187104.41366885</v>
      </c>
    </row>
    <row r="88" spans="1:9" s="14" customFormat="1" x14ac:dyDescent="0.3">
      <c r="B88" s="42" t="s">
        <v>13</v>
      </c>
      <c r="C88" s="42" t="s">
        <v>13</v>
      </c>
      <c r="D88" s="42" t="s">
        <v>13</v>
      </c>
      <c r="E88" s="44" t="s">
        <v>13936</v>
      </c>
      <c r="F88" s="42" t="s">
        <v>13</v>
      </c>
      <c r="G88" s="42" t="s">
        <v>13</v>
      </c>
      <c r="H88" s="42" t="s">
        <v>13</v>
      </c>
      <c r="I88" s="45">
        <f>SUM(I86:I87)</f>
        <v>185053833.68556741</v>
      </c>
    </row>
    <row r="89" spans="1:9" s="14" customFormat="1" x14ac:dyDescent="0.3">
      <c r="B89" s="42"/>
      <c r="C89" s="42"/>
      <c r="D89" s="42"/>
      <c r="E89" s="44"/>
      <c r="F89" s="42"/>
      <c r="G89" s="42"/>
      <c r="H89" s="42"/>
      <c r="I89" s="45"/>
    </row>
    <row r="90" spans="1:9" s="14" customFormat="1" x14ac:dyDescent="0.3">
      <c r="B90" s="42" t="s">
        <v>13339</v>
      </c>
      <c r="C90" s="42" t="s">
        <v>13</v>
      </c>
      <c r="D90" s="43" t="s">
        <v>13</v>
      </c>
      <c r="E90" s="44" t="s">
        <v>13135</v>
      </c>
      <c r="F90" s="42" t="s">
        <v>13</v>
      </c>
      <c r="G90" s="45">
        <v>0</v>
      </c>
      <c r="H90" s="45">
        <v>0</v>
      </c>
      <c r="I90" s="45">
        <f>+Planilha!I1453</f>
        <v>154042249.90110841</v>
      </c>
    </row>
    <row r="91" spans="1:9" s="14" customFormat="1" x14ac:dyDescent="0.3">
      <c r="B91" s="42" t="s">
        <v>13340</v>
      </c>
      <c r="C91" s="42" t="s">
        <v>13</v>
      </c>
      <c r="D91" s="43" t="s">
        <v>13</v>
      </c>
      <c r="E91" s="44" t="s">
        <v>14235</v>
      </c>
      <c r="F91" s="42" t="s">
        <v>13</v>
      </c>
      <c r="G91" s="45">
        <v>0</v>
      </c>
      <c r="H91" s="45">
        <v>0</v>
      </c>
      <c r="I91" s="45">
        <f>+Planilha!I815</f>
        <v>10144772.179381732</v>
      </c>
    </row>
    <row r="92" spans="1:9" s="14" customFormat="1" x14ac:dyDescent="0.3">
      <c r="B92" s="42" t="s">
        <v>13342</v>
      </c>
      <c r="C92" s="42" t="s">
        <v>13</v>
      </c>
      <c r="D92" s="43" t="s">
        <v>13</v>
      </c>
      <c r="E92" s="44" t="s">
        <v>19</v>
      </c>
      <c r="F92" s="42" t="s">
        <v>13</v>
      </c>
      <c r="G92" s="45">
        <v>0</v>
      </c>
      <c r="H92" s="45">
        <v>0</v>
      </c>
      <c r="I92" s="45">
        <f>+I93+I111+I119+I136+I139+I143+I141</f>
        <v>129522228.99259776</v>
      </c>
    </row>
    <row r="93" spans="1:9" x14ac:dyDescent="0.3">
      <c r="B93" s="9">
        <v>1</v>
      </c>
      <c r="C93" s="9" t="s">
        <v>13</v>
      </c>
      <c r="D93" s="10" t="s">
        <v>13</v>
      </c>
      <c r="E93" s="8" t="s">
        <v>22</v>
      </c>
      <c r="F93" s="9" t="s">
        <v>13</v>
      </c>
      <c r="G93" s="11">
        <v>0</v>
      </c>
      <c r="H93" s="11">
        <v>0</v>
      </c>
      <c r="I93" s="11">
        <f>+I94+I98+I101+I103+I105+I108</f>
        <v>84709228.936653733</v>
      </c>
    </row>
    <row r="94" spans="1:9" s="14" customFormat="1" x14ac:dyDescent="0.3">
      <c r="A94" s="42" t="s">
        <v>14472</v>
      </c>
      <c r="B94" s="45">
        <v>0</v>
      </c>
      <c r="C94" s="42" t="s">
        <v>13</v>
      </c>
      <c r="D94" s="43" t="s">
        <v>13</v>
      </c>
      <c r="E94" s="44" t="s">
        <v>13346</v>
      </c>
      <c r="F94" s="42" t="s">
        <v>13</v>
      </c>
      <c r="G94" s="45">
        <v>0</v>
      </c>
      <c r="H94" s="45">
        <v>0</v>
      </c>
      <c r="I94" s="45">
        <f>SUM(I95:I97)</f>
        <v>32679054.805798389</v>
      </c>
    </row>
    <row r="95" spans="1:9" x14ac:dyDescent="0.3">
      <c r="B95" s="9" t="s">
        <v>11</v>
      </c>
      <c r="C95" s="9" t="s">
        <v>13</v>
      </c>
      <c r="D95" s="10" t="s">
        <v>13</v>
      </c>
      <c r="E95" s="8" t="s">
        <v>13136</v>
      </c>
      <c r="F95" s="9" t="s">
        <v>13</v>
      </c>
      <c r="G95" s="11">
        <v>0</v>
      </c>
      <c r="H95" s="11">
        <v>0</v>
      </c>
      <c r="I95" s="11">
        <f>+Planilha!I822</f>
        <v>7307178.0525274733</v>
      </c>
    </row>
    <row r="96" spans="1:9" x14ac:dyDescent="0.3">
      <c r="B96" s="9" t="s">
        <v>13053</v>
      </c>
      <c r="C96" s="9" t="s">
        <v>13</v>
      </c>
      <c r="D96" s="10" t="s">
        <v>13</v>
      </c>
      <c r="E96" s="8" t="s">
        <v>13137</v>
      </c>
      <c r="F96" s="9" t="s">
        <v>13</v>
      </c>
      <c r="G96" s="11">
        <v>0</v>
      </c>
      <c r="H96" s="11">
        <v>0</v>
      </c>
      <c r="I96" s="11">
        <f>+Planilha!I859</f>
        <v>16259302.486317288</v>
      </c>
    </row>
    <row r="97" spans="1:9" x14ac:dyDescent="0.3">
      <c r="B97" s="9" t="s">
        <v>13054</v>
      </c>
      <c r="C97" s="9" t="s">
        <v>13</v>
      </c>
      <c r="D97" s="10" t="s">
        <v>13</v>
      </c>
      <c r="E97" s="8" t="s">
        <v>13138</v>
      </c>
      <c r="F97" s="9" t="s">
        <v>13</v>
      </c>
      <c r="G97" s="11">
        <v>0</v>
      </c>
      <c r="H97" s="11">
        <v>0</v>
      </c>
      <c r="I97" s="11">
        <f>+Planilha!I896</f>
        <v>9112574.2669536266</v>
      </c>
    </row>
    <row r="98" spans="1:9" s="14" customFormat="1" x14ac:dyDescent="0.3">
      <c r="A98" s="42" t="s">
        <v>14473</v>
      </c>
      <c r="B98" s="45">
        <v>0</v>
      </c>
      <c r="C98" s="42" t="s">
        <v>13</v>
      </c>
      <c r="D98" s="43" t="s">
        <v>13</v>
      </c>
      <c r="E98" s="44" t="s">
        <v>13347</v>
      </c>
      <c r="F98" s="42" t="s">
        <v>13</v>
      </c>
      <c r="G98" s="45">
        <v>0</v>
      </c>
      <c r="H98" s="45">
        <v>0</v>
      </c>
      <c r="I98" s="45">
        <f>SUM(I99:I100)</f>
        <v>20912363.468518659</v>
      </c>
    </row>
    <row r="99" spans="1:9" x14ac:dyDescent="0.3">
      <c r="B99" s="9" t="s">
        <v>13055</v>
      </c>
      <c r="C99" s="9" t="s">
        <v>13</v>
      </c>
      <c r="D99" s="10" t="s">
        <v>13</v>
      </c>
      <c r="E99" s="8" t="s">
        <v>13139</v>
      </c>
      <c r="F99" s="9" t="s">
        <v>13</v>
      </c>
      <c r="G99" s="11">
        <v>0</v>
      </c>
      <c r="H99" s="11">
        <v>0</v>
      </c>
      <c r="I99" s="11">
        <f>+Planilha!I934</f>
        <v>13552804.806525817</v>
      </c>
    </row>
    <row r="100" spans="1:9" x14ac:dyDescent="0.3">
      <c r="B100" s="9" t="s">
        <v>13056</v>
      </c>
      <c r="C100" s="9" t="s">
        <v>13</v>
      </c>
      <c r="D100" s="10" t="s">
        <v>13</v>
      </c>
      <c r="E100" s="8" t="s">
        <v>13140</v>
      </c>
      <c r="F100" s="9" t="s">
        <v>13</v>
      </c>
      <c r="G100" s="11">
        <v>0</v>
      </c>
      <c r="H100" s="11">
        <v>0</v>
      </c>
      <c r="I100" s="11">
        <f>+Planilha!I971</f>
        <v>7359558.6619928414</v>
      </c>
    </row>
    <row r="101" spans="1:9" s="14" customFormat="1" x14ac:dyDescent="0.3">
      <c r="A101" s="42" t="s">
        <v>14473</v>
      </c>
      <c r="B101" s="45">
        <v>0</v>
      </c>
      <c r="C101" s="42" t="s">
        <v>13</v>
      </c>
      <c r="D101" s="43" t="s">
        <v>13</v>
      </c>
      <c r="E101" s="44" t="s">
        <v>13348</v>
      </c>
      <c r="F101" s="42" t="s">
        <v>13</v>
      </c>
      <c r="G101" s="45">
        <v>0</v>
      </c>
      <c r="H101" s="45">
        <v>0</v>
      </c>
      <c r="I101" s="45">
        <f>SUM(I102:I102)</f>
        <v>4625944.1900609341</v>
      </c>
    </row>
    <row r="102" spans="1:9" x14ac:dyDescent="0.3">
      <c r="B102" s="9" t="s">
        <v>13057</v>
      </c>
      <c r="C102" s="9" t="s">
        <v>13</v>
      </c>
      <c r="D102" s="10" t="s">
        <v>13</v>
      </c>
      <c r="E102" s="8" t="s">
        <v>13141</v>
      </c>
      <c r="F102" s="9" t="s">
        <v>13</v>
      </c>
      <c r="G102" s="11">
        <v>0</v>
      </c>
      <c r="H102" s="11">
        <v>0</v>
      </c>
      <c r="I102" s="11">
        <f>+Planilha!I1009</f>
        <v>4625944.1900609341</v>
      </c>
    </row>
    <row r="103" spans="1:9" s="14" customFormat="1" x14ac:dyDescent="0.3">
      <c r="A103" s="42" t="s">
        <v>14472</v>
      </c>
      <c r="B103" s="45">
        <v>0</v>
      </c>
      <c r="C103" s="42" t="s">
        <v>13</v>
      </c>
      <c r="D103" s="43" t="s">
        <v>13</v>
      </c>
      <c r="E103" s="44" t="s">
        <v>13143</v>
      </c>
      <c r="F103" s="42" t="s">
        <v>13</v>
      </c>
      <c r="G103" s="45">
        <v>0</v>
      </c>
      <c r="H103" s="45">
        <v>0</v>
      </c>
      <c r="I103" s="45">
        <f>+I104</f>
        <v>4387791.3991671205</v>
      </c>
    </row>
    <row r="104" spans="1:9" x14ac:dyDescent="0.3">
      <c r="B104" s="9" t="s">
        <v>13058</v>
      </c>
      <c r="C104" s="9" t="s">
        <v>13</v>
      </c>
      <c r="D104" s="10" t="s">
        <v>13</v>
      </c>
      <c r="E104" s="8" t="s">
        <v>13143</v>
      </c>
      <c r="F104" s="9" t="s">
        <v>13</v>
      </c>
      <c r="G104" s="11">
        <v>0</v>
      </c>
      <c r="H104" s="11">
        <v>0</v>
      </c>
      <c r="I104" s="11">
        <f>+Planilha!I1047</f>
        <v>4387791.3991671205</v>
      </c>
    </row>
    <row r="105" spans="1:9" s="14" customFormat="1" x14ac:dyDescent="0.3">
      <c r="A105" s="42" t="s">
        <v>14474</v>
      </c>
      <c r="B105" s="45">
        <v>0</v>
      </c>
      <c r="C105" s="42" t="s">
        <v>13</v>
      </c>
      <c r="D105" s="43" t="s">
        <v>13</v>
      </c>
      <c r="E105" s="44" t="s">
        <v>13349</v>
      </c>
      <c r="F105" s="42" t="s">
        <v>13</v>
      </c>
      <c r="G105" s="45">
        <v>0</v>
      </c>
      <c r="H105" s="45">
        <v>0</v>
      </c>
      <c r="I105" s="45">
        <f>SUM(I106:I107)</f>
        <v>16562874.156992454</v>
      </c>
    </row>
    <row r="106" spans="1:9" x14ac:dyDescent="0.3">
      <c r="B106" s="9" t="s">
        <v>13059</v>
      </c>
      <c r="C106" s="9" t="s">
        <v>13</v>
      </c>
      <c r="D106" s="10" t="s">
        <v>13</v>
      </c>
      <c r="E106" s="8" t="s">
        <v>13144</v>
      </c>
      <c r="F106" s="9" t="s">
        <v>13</v>
      </c>
      <c r="G106" s="11">
        <v>0</v>
      </c>
      <c r="H106" s="11">
        <v>0</v>
      </c>
      <c r="I106" s="11">
        <f>+Planilha!I1085</f>
        <v>8816295.744081853</v>
      </c>
    </row>
    <row r="107" spans="1:9" x14ac:dyDescent="0.3">
      <c r="B107" s="9" t="s">
        <v>13060</v>
      </c>
      <c r="C107" s="9" t="s">
        <v>13</v>
      </c>
      <c r="D107" s="10" t="s">
        <v>13</v>
      </c>
      <c r="E107" s="8" t="s">
        <v>13145</v>
      </c>
      <c r="F107" s="9" t="s">
        <v>13</v>
      </c>
      <c r="G107" s="11">
        <v>0</v>
      </c>
      <c r="H107" s="11">
        <v>0</v>
      </c>
      <c r="I107" s="11">
        <f>+Planilha!I1122</f>
        <v>7746578.4129106002</v>
      </c>
    </row>
    <row r="108" spans="1:9" s="14" customFormat="1" x14ac:dyDescent="0.3">
      <c r="A108" s="42" t="s">
        <v>14474</v>
      </c>
      <c r="B108" s="45">
        <v>0</v>
      </c>
      <c r="C108" s="42" t="s">
        <v>13</v>
      </c>
      <c r="D108" s="43" t="s">
        <v>13</v>
      </c>
      <c r="E108" s="44" t="s">
        <v>13146</v>
      </c>
      <c r="F108" s="42" t="s">
        <v>13</v>
      </c>
      <c r="G108" s="45">
        <v>0</v>
      </c>
      <c r="H108" s="45">
        <v>0</v>
      </c>
      <c r="I108" s="45">
        <f>+I109</f>
        <v>5541200.9161161799</v>
      </c>
    </row>
    <row r="109" spans="1:9" x14ac:dyDescent="0.3">
      <c r="B109" s="9" t="s">
        <v>13061</v>
      </c>
      <c r="C109" s="9" t="s">
        <v>13</v>
      </c>
      <c r="D109" s="10" t="s">
        <v>13</v>
      </c>
      <c r="E109" s="8" t="s">
        <v>13146</v>
      </c>
      <c r="F109" s="9" t="s">
        <v>13</v>
      </c>
      <c r="G109" s="11">
        <v>0</v>
      </c>
      <c r="H109" s="11">
        <v>0</v>
      </c>
      <c r="I109" s="11">
        <f>+Planilha!I1160</f>
        <v>5541200.9161161799</v>
      </c>
    </row>
    <row r="110" spans="1:9" x14ac:dyDescent="0.3">
      <c r="B110" s="9"/>
      <c r="C110" s="8"/>
      <c r="D110" s="8"/>
      <c r="E110" s="8"/>
      <c r="F110" s="8"/>
      <c r="G110" s="8"/>
      <c r="H110" s="8"/>
      <c r="I110" s="8"/>
    </row>
    <row r="111" spans="1:9" x14ac:dyDescent="0.3">
      <c r="B111" s="9">
        <v>2</v>
      </c>
      <c r="C111" s="9" t="s">
        <v>13</v>
      </c>
      <c r="D111" s="10" t="s">
        <v>13</v>
      </c>
      <c r="E111" s="8" t="s">
        <v>13080</v>
      </c>
      <c r="F111" s="9" t="s">
        <v>13</v>
      </c>
      <c r="G111" s="11">
        <v>0</v>
      </c>
      <c r="H111" s="11">
        <v>0</v>
      </c>
      <c r="I111" s="11">
        <f>+I112+I114+I116</f>
        <v>572810.62970549054</v>
      </c>
    </row>
    <row r="112" spans="1:9" s="14" customFormat="1" x14ac:dyDescent="0.3">
      <c r="A112" s="42" t="s">
        <v>14472</v>
      </c>
      <c r="B112" s="45">
        <v>0</v>
      </c>
      <c r="C112" s="42" t="s">
        <v>13</v>
      </c>
      <c r="D112" s="43" t="s">
        <v>13</v>
      </c>
      <c r="E112" s="44" t="s">
        <v>13346</v>
      </c>
      <c r="F112" s="42" t="s">
        <v>13</v>
      </c>
      <c r="G112" s="45">
        <v>0</v>
      </c>
      <c r="H112" s="45">
        <v>0</v>
      </c>
      <c r="I112" s="45">
        <f>+I113</f>
        <v>220237.87190635232</v>
      </c>
    </row>
    <row r="113" spans="1:9" x14ac:dyDescent="0.3">
      <c r="B113" s="9" t="s">
        <v>13101</v>
      </c>
      <c r="C113" s="9" t="s">
        <v>13</v>
      </c>
      <c r="D113" s="10" t="s">
        <v>13</v>
      </c>
      <c r="E113" s="8" t="s">
        <v>13148</v>
      </c>
      <c r="F113" s="9" t="s">
        <v>13</v>
      </c>
      <c r="G113" s="11">
        <v>0</v>
      </c>
      <c r="H113" s="11">
        <v>0</v>
      </c>
      <c r="I113" s="11">
        <f>+Planilha!I1200</f>
        <v>220237.87190635232</v>
      </c>
    </row>
    <row r="114" spans="1:9" s="14" customFormat="1" x14ac:dyDescent="0.3">
      <c r="A114" s="42" t="s">
        <v>14473</v>
      </c>
      <c r="B114" s="45">
        <v>0</v>
      </c>
      <c r="C114" s="42" t="s">
        <v>13</v>
      </c>
      <c r="D114" s="43" t="s">
        <v>13</v>
      </c>
      <c r="E114" s="44" t="s">
        <v>13347</v>
      </c>
      <c r="F114" s="42" t="s">
        <v>13</v>
      </c>
      <c r="G114" s="45">
        <v>0</v>
      </c>
      <c r="H114" s="45">
        <v>0</v>
      </c>
      <c r="I114" s="45">
        <f>+I115</f>
        <v>183639.0269888647</v>
      </c>
    </row>
    <row r="115" spans="1:9" x14ac:dyDescent="0.3">
      <c r="B115" s="9" t="s">
        <v>13102</v>
      </c>
      <c r="C115" s="9" t="s">
        <v>13</v>
      </c>
      <c r="D115" s="10" t="s">
        <v>13</v>
      </c>
      <c r="E115" s="8" t="s">
        <v>13149</v>
      </c>
      <c r="F115" s="9" t="s">
        <v>13</v>
      </c>
      <c r="G115" s="11">
        <v>0</v>
      </c>
      <c r="H115" s="11">
        <v>0</v>
      </c>
      <c r="I115" s="11">
        <f>+Planilha!I1216</f>
        <v>183639.0269888647</v>
      </c>
    </row>
    <row r="116" spans="1:9" s="14" customFormat="1" x14ac:dyDescent="0.3">
      <c r="A116" s="42" t="s">
        <v>14474</v>
      </c>
      <c r="B116" s="45">
        <v>0</v>
      </c>
      <c r="C116" s="42" t="s">
        <v>13</v>
      </c>
      <c r="D116" s="43" t="s">
        <v>13</v>
      </c>
      <c r="E116" s="44" t="s">
        <v>13349</v>
      </c>
      <c r="F116" s="42" t="s">
        <v>13</v>
      </c>
      <c r="G116" s="45">
        <v>0</v>
      </c>
      <c r="H116" s="45">
        <v>0</v>
      </c>
      <c r="I116" s="45">
        <f>+I117</f>
        <v>168933.73081027353</v>
      </c>
    </row>
    <row r="117" spans="1:9" x14ac:dyDescent="0.3">
      <c r="B117" s="9" t="s">
        <v>13103</v>
      </c>
      <c r="C117" s="9" t="s">
        <v>13</v>
      </c>
      <c r="D117" s="10" t="s">
        <v>13</v>
      </c>
      <c r="E117" s="8" t="s">
        <v>13150</v>
      </c>
      <c r="F117" s="9" t="s">
        <v>13</v>
      </c>
      <c r="G117" s="11">
        <v>0</v>
      </c>
      <c r="H117" s="11">
        <v>0</v>
      </c>
      <c r="I117" s="11">
        <f>+Planilha!I1232</f>
        <v>168933.73081027353</v>
      </c>
    </row>
    <row r="118" spans="1:9" x14ac:dyDescent="0.3">
      <c r="B118" s="9"/>
      <c r="C118" s="8"/>
      <c r="D118" s="8"/>
      <c r="E118" s="8"/>
      <c r="F118" s="8"/>
      <c r="G118" s="8"/>
      <c r="H118" s="8"/>
      <c r="I118" s="8"/>
    </row>
    <row r="119" spans="1:9" x14ac:dyDescent="0.3">
      <c r="B119" s="9">
        <v>3</v>
      </c>
      <c r="C119" s="9" t="s">
        <v>13</v>
      </c>
      <c r="D119" s="10" t="s">
        <v>13</v>
      </c>
      <c r="E119" s="8" t="s">
        <v>13091</v>
      </c>
      <c r="F119" s="9" t="s">
        <v>13</v>
      </c>
      <c r="G119" s="11">
        <v>0</v>
      </c>
      <c r="H119" s="11">
        <v>0</v>
      </c>
      <c r="I119" s="11">
        <f>+I120+I123+I126+I128+I130+I132</f>
        <v>7026460.5696502384</v>
      </c>
    </row>
    <row r="120" spans="1:9" s="14" customFormat="1" x14ac:dyDescent="0.3">
      <c r="A120" s="42" t="s">
        <v>14472</v>
      </c>
      <c r="B120" s="45">
        <v>0</v>
      </c>
      <c r="C120" s="42" t="s">
        <v>13</v>
      </c>
      <c r="D120" s="43" t="s">
        <v>13</v>
      </c>
      <c r="E120" s="44" t="s">
        <v>13346</v>
      </c>
      <c r="F120" s="42" t="s">
        <v>13</v>
      </c>
      <c r="G120" s="45">
        <v>0</v>
      </c>
      <c r="H120" s="45">
        <v>0</v>
      </c>
      <c r="I120" s="45">
        <f>SUM(I121:I122)</f>
        <v>3065289.8131904188</v>
      </c>
    </row>
    <row r="121" spans="1:9" x14ac:dyDescent="0.3">
      <c r="B121" s="9" t="s">
        <v>13110</v>
      </c>
      <c r="C121" s="9" t="s">
        <v>13</v>
      </c>
      <c r="D121" s="10" t="s">
        <v>13</v>
      </c>
      <c r="E121" s="8" t="s">
        <v>13151</v>
      </c>
      <c r="F121" s="9" t="s">
        <v>13</v>
      </c>
      <c r="G121" s="11">
        <v>0</v>
      </c>
      <c r="H121" s="11">
        <v>0</v>
      </c>
      <c r="I121" s="11">
        <f>+Planilha!I1250</f>
        <v>2081221.8964826232</v>
      </c>
    </row>
    <row r="122" spans="1:9" x14ac:dyDescent="0.3">
      <c r="B122" s="9" t="s">
        <v>13111</v>
      </c>
      <c r="C122" s="9" t="s">
        <v>13</v>
      </c>
      <c r="D122" s="10" t="s">
        <v>13</v>
      </c>
      <c r="E122" s="8" t="s">
        <v>13152</v>
      </c>
      <c r="F122" s="9" t="s">
        <v>13</v>
      </c>
      <c r="G122" s="11">
        <v>0</v>
      </c>
      <c r="H122" s="11">
        <v>0</v>
      </c>
      <c r="I122" s="11">
        <f>+Planilha!I1255</f>
        <v>984067.91670779558</v>
      </c>
    </row>
    <row r="123" spans="1:9" s="14" customFormat="1" x14ac:dyDescent="0.3">
      <c r="A123" s="42" t="s">
        <v>14473</v>
      </c>
      <c r="B123" s="45">
        <v>0</v>
      </c>
      <c r="C123" s="42" t="s">
        <v>13</v>
      </c>
      <c r="D123" s="43" t="s">
        <v>13</v>
      </c>
      <c r="E123" s="44" t="s">
        <v>13347</v>
      </c>
      <c r="F123" s="42" t="s">
        <v>13</v>
      </c>
      <c r="G123" s="45">
        <v>0</v>
      </c>
      <c r="H123" s="45">
        <v>0</v>
      </c>
      <c r="I123" s="45">
        <f>SUM(I124:I125)</f>
        <v>1773374.8462483194</v>
      </c>
    </row>
    <row r="124" spans="1:9" x14ac:dyDescent="0.3">
      <c r="B124" s="9" t="s">
        <v>13112</v>
      </c>
      <c r="C124" s="9" t="s">
        <v>13</v>
      </c>
      <c r="D124" s="10" t="s">
        <v>13</v>
      </c>
      <c r="E124" s="8" t="s">
        <v>13153</v>
      </c>
      <c r="F124" s="9" t="s">
        <v>13</v>
      </c>
      <c r="G124" s="11">
        <v>0</v>
      </c>
      <c r="H124" s="11">
        <v>0</v>
      </c>
      <c r="I124" s="11">
        <f>+Planilha!I1261</f>
        <v>1094843.5190770847</v>
      </c>
    </row>
    <row r="125" spans="1:9" x14ac:dyDescent="0.3">
      <c r="B125" s="9" t="s">
        <v>13113</v>
      </c>
      <c r="C125" s="9" t="s">
        <v>13</v>
      </c>
      <c r="D125" s="10" t="s">
        <v>13</v>
      </c>
      <c r="E125" s="8" t="s">
        <v>13154</v>
      </c>
      <c r="F125" s="9" t="s">
        <v>13</v>
      </c>
      <c r="G125" s="11">
        <v>0</v>
      </c>
      <c r="H125" s="11">
        <v>0</v>
      </c>
      <c r="I125" s="11">
        <f>+Planilha!I1266</f>
        <v>678531.32717123465</v>
      </c>
    </row>
    <row r="126" spans="1:9" s="14" customFormat="1" x14ac:dyDescent="0.3">
      <c r="A126" s="42" t="s">
        <v>14473</v>
      </c>
      <c r="B126" s="45">
        <v>0</v>
      </c>
      <c r="C126" s="42" t="s">
        <v>13</v>
      </c>
      <c r="D126" s="43" t="s">
        <v>13</v>
      </c>
      <c r="E126" s="44" t="s">
        <v>13348</v>
      </c>
      <c r="F126" s="42" t="s">
        <v>13</v>
      </c>
      <c r="G126" s="45">
        <v>0</v>
      </c>
      <c r="H126" s="45">
        <v>0</v>
      </c>
      <c r="I126" s="45">
        <f>+I127</f>
        <v>501206.29353343823</v>
      </c>
    </row>
    <row r="127" spans="1:9" x14ac:dyDescent="0.3">
      <c r="B127" s="9" t="s">
        <v>13114</v>
      </c>
      <c r="C127" s="9" t="s">
        <v>13</v>
      </c>
      <c r="D127" s="10" t="s">
        <v>13</v>
      </c>
      <c r="E127" s="8" t="s">
        <v>13155</v>
      </c>
      <c r="F127" s="9" t="s">
        <v>13</v>
      </c>
      <c r="G127" s="11">
        <v>0</v>
      </c>
      <c r="H127" s="11">
        <v>0</v>
      </c>
      <c r="I127" s="11">
        <f>+Planilha!I1272</f>
        <v>501206.29353343823</v>
      </c>
    </row>
    <row r="128" spans="1:9" s="14" customFormat="1" x14ac:dyDescent="0.3">
      <c r="A128" s="42" t="s">
        <v>14472</v>
      </c>
      <c r="B128" s="45">
        <v>0</v>
      </c>
      <c r="C128" s="42" t="s">
        <v>13</v>
      </c>
      <c r="D128" s="43" t="s">
        <v>13</v>
      </c>
      <c r="E128" s="44" t="s">
        <v>13143</v>
      </c>
      <c r="F128" s="42" t="s">
        <v>13</v>
      </c>
      <c r="G128" s="45">
        <v>0</v>
      </c>
      <c r="H128" s="45">
        <v>0</v>
      </c>
      <c r="I128" s="45">
        <f>+I129</f>
        <v>230507.15689433168</v>
      </c>
    </row>
    <row r="129" spans="1:9" ht="15.75" customHeight="1" x14ac:dyDescent="0.3">
      <c r="B129" s="9" t="s">
        <v>13115</v>
      </c>
      <c r="C129" s="9" t="s">
        <v>13</v>
      </c>
      <c r="D129" s="10" t="s">
        <v>13</v>
      </c>
      <c r="E129" s="8" t="s">
        <v>13156</v>
      </c>
      <c r="F129" s="9" t="s">
        <v>13</v>
      </c>
      <c r="G129" s="11">
        <v>0</v>
      </c>
      <c r="H129" s="11">
        <v>0</v>
      </c>
      <c r="I129" s="11">
        <f>+Planilha!I1278</f>
        <v>230507.15689433168</v>
      </c>
    </row>
    <row r="130" spans="1:9" s="14" customFormat="1" x14ac:dyDescent="0.3">
      <c r="A130" s="42" t="s">
        <v>14474</v>
      </c>
      <c r="B130" s="45">
        <v>0</v>
      </c>
      <c r="C130" s="42" t="s">
        <v>13</v>
      </c>
      <c r="D130" s="43" t="s">
        <v>13</v>
      </c>
      <c r="E130" s="44" t="s">
        <v>13349</v>
      </c>
      <c r="F130" s="42" t="s">
        <v>13</v>
      </c>
      <c r="G130" s="45">
        <v>0</v>
      </c>
      <c r="H130" s="45">
        <v>0</v>
      </c>
      <c r="I130" s="45">
        <f>+I131</f>
        <v>846272.88909167075</v>
      </c>
    </row>
    <row r="131" spans="1:9" x14ac:dyDescent="0.3">
      <c r="B131" s="9" t="s">
        <v>13116</v>
      </c>
      <c r="C131" s="9" t="s">
        <v>13</v>
      </c>
      <c r="D131" s="10" t="s">
        <v>13</v>
      </c>
      <c r="E131" s="8" t="s">
        <v>13157</v>
      </c>
      <c r="F131" s="9" t="s">
        <v>13</v>
      </c>
      <c r="G131" s="11">
        <v>0</v>
      </c>
      <c r="H131" s="11">
        <v>0</v>
      </c>
      <c r="I131" s="11">
        <f>+Planilha!I1284</f>
        <v>846272.88909167075</v>
      </c>
    </row>
    <row r="132" spans="1:9" s="14" customFormat="1" x14ac:dyDescent="0.3">
      <c r="A132" s="42" t="s">
        <v>14474</v>
      </c>
      <c r="B132" s="45">
        <v>0</v>
      </c>
      <c r="C132" s="42" t="s">
        <v>13</v>
      </c>
      <c r="D132" s="43" t="s">
        <v>13</v>
      </c>
      <c r="E132" s="44" t="s">
        <v>13146</v>
      </c>
      <c r="F132" s="42" t="s">
        <v>13</v>
      </c>
      <c r="G132" s="45">
        <v>0</v>
      </c>
      <c r="H132" s="45">
        <v>0</v>
      </c>
      <c r="I132" s="45">
        <f>SUM(I133:I134)</f>
        <v>609809.57069205947</v>
      </c>
    </row>
    <row r="133" spans="1:9" x14ac:dyDescent="0.3">
      <c r="B133" s="9" t="s">
        <v>13117</v>
      </c>
      <c r="C133" s="9" t="s">
        <v>13</v>
      </c>
      <c r="D133" s="10" t="s">
        <v>13</v>
      </c>
      <c r="E133" s="8" t="s">
        <v>13158</v>
      </c>
      <c r="F133" s="9" t="s">
        <v>13</v>
      </c>
      <c r="G133" s="11">
        <v>0</v>
      </c>
      <c r="H133" s="11">
        <v>0</v>
      </c>
      <c r="I133" s="11">
        <f>+Planilha!I1290</f>
        <v>389271.0669622533</v>
      </c>
    </row>
    <row r="134" spans="1:9" x14ac:dyDescent="0.3">
      <c r="B134" s="9" t="s">
        <v>13118</v>
      </c>
      <c r="C134" s="9" t="s">
        <v>13</v>
      </c>
      <c r="D134" s="10" t="s">
        <v>13</v>
      </c>
      <c r="E134" s="8" t="s">
        <v>13159</v>
      </c>
      <c r="F134" s="9" t="s">
        <v>13</v>
      </c>
      <c r="G134" s="11">
        <v>0</v>
      </c>
      <c r="H134" s="11">
        <v>0</v>
      </c>
      <c r="I134" s="11">
        <f>+Planilha!I1295</f>
        <v>220538.50372980617</v>
      </c>
    </row>
    <row r="135" spans="1:9" x14ac:dyDescent="0.3">
      <c r="B135" s="9"/>
      <c r="C135" s="9"/>
      <c r="D135" s="10"/>
      <c r="E135" s="8"/>
      <c r="F135" s="9"/>
      <c r="G135" s="11"/>
      <c r="H135" s="11"/>
      <c r="I135" s="11"/>
    </row>
    <row r="136" spans="1:9" x14ac:dyDescent="0.3">
      <c r="B136" s="9">
        <v>4</v>
      </c>
      <c r="C136" s="9" t="s">
        <v>13</v>
      </c>
      <c r="D136" s="10" t="s">
        <v>13</v>
      </c>
      <c r="E136" s="8" t="s">
        <v>13124</v>
      </c>
      <c r="F136" s="9" t="s">
        <v>13</v>
      </c>
      <c r="G136" s="11">
        <v>0</v>
      </c>
      <c r="H136" s="11">
        <v>0</v>
      </c>
      <c r="I136" s="11">
        <f>+I137</f>
        <v>747061.96774545009</v>
      </c>
    </row>
    <row r="137" spans="1:9" x14ac:dyDescent="0.3">
      <c r="A137" s="42" t="s">
        <v>14474</v>
      </c>
      <c r="B137" s="9" t="s">
        <v>13122</v>
      </c>
      <c r="C137" s="9" t="s">
        <v>13</v>
      </c>
      <c r="D137" s="10" t="s">
        <v>13</v>
      </c>
      <c r="E137" s="8" t="s">
        <v>13266</v>
      </c>
      <c r="F137" s="9"/>
      <c r="G137" s="11"/>
      <c r="H137" s="11"/>
      <c r="I137" s="11">
        <f>+Planilha!I1302</f>
        <v>747061.96774545009</v>
      </c>
    </row>
    <row r="138" spans="1:9" x14ac:dyDescent="0.3">
      <c r="B138" s="9"/>
      <c r="C138" s="9"/>
      <c r="D138" s="10"/>
      <c r="E138" s="8"/>
      <c r="F138" s="9"/>
      <c r="G138" s="11"/>
      <c r="H138" s="11"/>
      <c r="I138" s="11"/>
    </row>
    <row r="139" spans="1:9" x14ac:dyDescent="0.3">
      <c r="A139" s="42" t="s">
        <v>14472</v>
      </c>
      <c r="B139" s="9">
        <v>5</v>
      </c>
      <c r="C139" s="9" t="s">
        <v>13</v>
      </c>
      <c r="D139" s="10" t="s">
        <v>13</v>
      </c>
      <c r="E139" s="8" t="s">
        <v>14246</v>
      </c>
      <c r="F139" s="9" t="s">
        <v>13</v>
      </c>
      <c r="G139" s="119">
        <v>0</v>
      </c>
      <c r="H139" s="119">
        <v>0</v>
      </c>
      <c r="I139" s="119">
        <f>+Planilha!I1310</f>
        <v>413982.82623915345</v>
      </c>
    </row>
    <row r="140" spans="1:9" x14ac:dyDescent="0.3">
      <c r="B140" s="9"/>
      <c r="C140" s="9"/>
      <c r="D140" s="10"/>
      <c r="E140" s="8"/>
      <c r="F140" s="9"/>
      <c r="G140" s="11"/>
      <c r="H140" s="11"/>
      <c r="I140" s="11"/>
    </row>
    <row r="141" spans="1:9" x14ac:dyDescent="0.3">
      <c r="A141" s="42" t="s">
        <v>14474</v>
      </c>
      <c r="B141" s="9">
        <v>6</v>
      </c>
      <c r="C141" s="9" t="s">
        <v>13</v>
      </c>
      <c r="D141" s="10" t="s">
        <v>13</v>
      </c>
      <c r="E141" s="8" t="s">
        <v>13993</v>
      </c>
      <c r="F141" s="9" t="s">
        <v>13</v>
      </c>
      <c r="G141" s="11">
        <v>0</v>
      </c>
      <c r="H141" s="11">
        <v>0</v>
      </c>
      <c r="I141" s="11">
        <f>+Planilha!I1348</f>
        <v>33367656.682625987</v>
      </c>
    </row>
    <row r="142" spans="1:9" x14ac:dyDescent="0.3">
      <c r="B142" s="9"/>
      <c r="C142" s="9"/>
      <c r="D142" s="10"/>
      <c r="E142" s="8"/>
      <c r="F142" s="9"/>
      <c r="G142" s="11"/>
      <c r="H142" s="11"/>
      <c r="I142" s="11"/>
    </row>
    <row r="143" spans="1:9" x14ac:dyDescent="0.3">
      <c r="B143" s="9">
        <v>7</v>
      </c>
      <c r="C143" s="9" t="s">
        <v>13</v>
      </c>
      <c r="D143" s="10" t="s">
        <v>13</v>
      </c>
      <c r="E143" s="8" t="s">
        <v>13380</v>
      </c>
      <c r="F143" s="9" t="s">
        <v>13</v>
      </c>
      <c r="G143" s="11">
        <v>0</v>
      </c>
      <c r="H143" s="11">
        <v>0</v>
      </c>
      <c r="I143" s="11">
        <f>SUM(I144:I147)</f>
        <v>2685027.3799777096</v>
      </c>
    </row>
    <row r="144" spans="1:9" x14ac:dyDescent="0.3">
      <c r="A144" s="42" t="s">
        <v>14473</v>
      </c>
      <c r="B144" s="9" t="s">
        <v>14248</v>
      </c>
      <c r="C144" s="9" t="s">
        <v>13</v>
      </c>
      <c r="D144" s="10" t="s">
        <v>13</v>
      </c>
      <c r="E144" s="8" t="s">
        <v>13379</v>
      </c>
      <c r="F144" s="9"/>
      <c r="G144" s="11"/>
      <c r="H144" s="11"/>
      <c r="I144" s="11">
        <f>+Planilha!I1383</f>
        <v>864328.41701407405</v>
      </c>
    </row>
    <row r="145" spans="1:9" x14ac:dyDescent="0.3">
      <c r="A145" s="42" t="s">
        <v>14473</v>
      </c>
      <c r="B145" s="9" t="s">
        <v>14257</v>
      </c>
      <c r="C145" s="9" t="s">
        <v>13</v>
      </c>
      <c r="D145" s="10" t="s">
        <v>13</v>
      </c>
      <c r="E145" s="8" t="s">
        <v>13940</v>
      </c>
      <c r="F145" s="9"/>
      <c r="G145" s="11"/>
      <c r="H145" s="11"/>
      <c r="I145" s="11">
        <f>+Planilha!I1393</f>
        <v>662002.67073737516</v>
      </c>
    </row>
    <row r="146" spans="1:9" x14ac:dyDescent="0.3">
      <c r="A146" s="42" t="s">
        <v>14473</v>
      </c>
      <c r="B146" s="9" t="s">
        <v>14266</v>
      </c>
      <c r="C146" s="9" t="s">
        <v>13</v>
      </c>
      <c r="D146" s="10" t="s">
        <v>13</v>
      </c>
      <c r="E146" s="8" t="s">
        <v>13941</v>
      </c>
      <c r="F146" s="9"/>
      <c r="G146" s="11"/>
      <c r="H146" s="11"/>
      <c r="I146" s="11">
        <f>+Planilha!I1403</f>
        <v>597771.34560959297</v>
      </c>
    </row>
    <row r="147" spans="1:9" x14ac:dyDescent="0.3">
      <c r="A147" s="42" t="s">
        <v>14474</v>
      </c>
      <c r="B147" s="9" t="s">
        <v>14275</v>
      </c>
      <c r="C147" s="9" t="s">
        <v>13</v>
      </c>
      <c r="D147" s="10" t="s">
        <v>13</v>
      </c>
      <c r="E147" s="8" t="s">
        <v>13942</v>
      </c>
      <c r="F147" s="9"/>
      <c r="G147" s="11"/>
      <c r="H147" s="11"/>
      <c r="I147" s="11">
        <f>+Planilha!I1413</f>
        <v>560924.94661666709</v>
      </c>
    </row>
    <row r="148" spans="1:9" x14ac:dyDescent="0.3">
      <c r="B148" s="9"/>
      <c r="C148" s="9"/>
      <c r="D148" s="10"/>
      <c r="E148" s="8"/>
      <c r="F148" s="9"/>
      <c r="G148" s="11"/>
      <c r="H148" s="11"/>
      <c r="I148" s="11"/>
    </row>
    <row r="149" spans="1:9" s="14" customFormat="1" x14ac:dyDescent="0.3">
      <c r="B149" s="42" t="s">
        <v>14223</v>
      </c>
      <c r="C149" s="42" t="s">
        <v>13</v>
      </c>
      <c r="D149" s="43" t="s">
        <v>13</v>
      </c>
      <c r="E149" s="44" t="s">
        <v>13341</v>
      </c>
      <c r="F149" s="42" t="s">
        <v>13</v>
      </c>
      <c r="G149" s="45">
        <v>0</v>
      </c>
      <c r="H149" s="45">
        <v>0</v>
      </c>
      <c r="I149" s="45">
        <f>+I150</f>
        <v>14375248.729128927</v>
      </c>
    </row>
    <row r="150" spans="1:9" x14ac:dyDescent="0.3">
      <c r="B150" s="9">
        <v>1</v>
      </c>
      <c r="C150" s="9" t="s">
        <v>13</v>
      </c>
      <c r="D150" s="10" t="s">
        <v>13</v>
      </c>
      <c r="E150" s="8" t="s">
        <v>13121</v>
      </c>
      <c r="F150" s="9" t="s">
        <v>13</v>
      </c>
      <c r="G150" s="11">
        <v>0</v>
      </c>
      <c r="H150" s="11">
        <v>0</v>
      </c>
      <c r="I150" s="11">
        <f>SUM(I151:I155)</f>
        <v>14375248.729128927</v>
      </c>
    </row>
    <row r="151" spans="1:9" x14ac:dyDescent="0.3">
      <c r="B151" s="9" t="s">
        <v>11</v>
      </c>
      <c r="C151" s="9" t="s">
        <v>13</v>
      </c>
      <c r="D151" s="10" t="s">
        <v>13</v>
      </c>
      <c r="E151" s="8" t="s">
        <v>13123</v>
      </c>
      <c r="F151" s="9" t="s">
        <v>13</v>
      </c>
      <c r="G151" s="11">
        <v>0</v>
      </c>
      <c r="H151" s="11">
        <v>0</v>
      </c>
      <c r="I151" s="11">
        <f>+Planilha!I1426</f>
        <v>11777019.889996564</v>
      </c>
    </row>
    <row r="152" spans="1:9" x14ac:dyDescent="0.3">
      <c r="B152" s="9" t="s">
        <v>13053</v>
      </c>
      <c r="C152" s="9" t="s">
        <v>13</v>
      </c>
      <c r="D152" s="10" t="s">
        <v>13</v>
      </c>
      <c r="E152" s="8" t="s">
        <v>13129</v>
      </c>
      <c r="F152" s="9" t="s">
        <v>13</v>
      </c>
      <c r="G152" s="11">
        <v>0</v>
      </c>
      <c r="H152" s="11">
        <v>0</v>
      </c>
      <c r="I152" s="11">
        <f>+Planilha!I1433</f>
        <v>500362.38593574893</v>
      </c>
    </row>
    <row r="153" spans="1:9" x14ac:dyDescent="0.3">
      <c r="B153" s="9" t="s">
        <v>13054</v>
      </c>
      <c r="C153" s="9" t="s">
        <v>13</v>
      </c>
      <c r="D153" s="10" t="s">
        <v>13</v>
      </c>
      <c r="E153" s="8" t="s">
        <v>13200</v>
      </c>
      <c r="F153" s="9" t="s">
        <v>13</v>
      </c>
      <c r="G153" s="11">
        <v>0</v>
      </c>
      <c r="H153" s="11">
        <v>0</v>
      </c>
      <c r="I153" s="11">
        <f>+Planilha!I1440</f>
        <v>395402.228</v>
      </c>
    </row>
    <row r="154" spans="1:9" x14ac:dyDescent="0.3">
      <c r="B154" s="9" t="s">
        <v>13055</v>
      </c>
      <c r="C154" s="9" t="s">
        <v>13</v>
      </c>
      <c r="D154" s="10" t="s">
        <v>13</v>
      </c>
      <c r="E154" s="8" t="s">
        <v>14457</v>
      </c>
      <c r="F154" s="9" t="s">
        <v>13</v>
      </c>
      <c r="G154" s="11">
        <v>0</v>
      </c>
      <c r="H154" s="11">
        <v>0</v>
      </c>
      <c r="I154" s="11">
        <f>+Planilha!I1444</f>
        <v>1068825</v>
      </c>
    </row>
    <row r="155" spans="1:9" x14ac:dyDescent="0.3">
      <c r="B155" s="9" t="s">
        <v>13056</v>
      </c>
      <c r="C155" s="9" t="s">
        <v>13</v>
      </c>
      <c r="D155" s="10" t="s">
        <v>13</v>
      </c>
      <c r="E155" s="8" t="s">
        <v>14043</v>
      </c>
      <c r="F155" s="9" t="s">
        <v>13</v>
      </c>
      <c r="G155" s="11">
        <v>0</v>
      </c>
      <c r="H155" s="11">
        <v>0</v>
      </c>
      <c r="I155" s="11">
        <f>+Planilha!I1448</f>
        <v>633639.22519661568</v>
      </c>
    </row>
    <row r="156" spans="1:9" x14ac:dyDescent="0.3">
      <c r="B156" s="9"/>
      <c r="C156" s="9"/>
      <c r="D156" s="10"/>
      <c r="E156" s="8"/>
      <c r="F156" s="9"/>
      <c r="G156" s="11"/>
      <c r="H156" s="11"/>
      <c r="I156" s="11"/>
    </row>
    <row r="157" spans="1:9" s="14" customFormat="1" x14ac:dyDescent="0.3">
      <c r="B157" s="42" t="s">
        <v>13</v>
      </c>
      <c r="C157" s="42" t="s">
        <v>13</v>
      </c>
      <c r="D157" s="42" t="s">
        <v>13</v>
      </c>
      <c r="E157" s="44" t="s">
        <v>14467</v>
      </c>
      <c r="F157" s="42" t="s">
        <v>13</v>
      </c>
      <c r="G157" s="42" t="s">
        <v>13</v>
      </c>
      <c r="H157" s="42" t="s">
        <v>13</v>
      </c>
      <c r="I157" s="45">
        <f>+I92+I149</f>
        <v>143897477.72172669</v>
      </c>
    </row>
    <row r="158" spans="1:9" s="14" customFormat="1" x14ac:dyDescent="0.3">
      <c r="B158" s="42" t="s">
        <v>13</v>
      </c>
      <c r="C158" s="42" t="s">
        <v>13</v>
      </c>
      <c r="D158" s="42" t="s">
        <v>13</v>
      </c>
      <c r="E158" s="44" t="s">
        <v>14240</v>
      </c>
      <c r="F158" s="42" t="s">
        <v>13378</v>
      </c>
      <c r="G158" s="42" t="s">
        <v>13</v>
      </c>
      <c r="H158" s="42" t="s">
        <v>13</v>
      </c>
      <c r="I158" s="45">
        <f>+I91</f>
        <v>10144772.179381732</v>
      </c>
    </row>
    <row r="159" spans="1:9" s="14" customFormat="1" x14ac:dyDescent="0.3">
      <c r="B159" s="42" t="s">
        <v>13</v>
      </c>
      <c r="C159" s="42" t="s">
        <v>13</v>
      </c>
      <c r="D159" s="42" t="s">
        <v>13</v>
      </c>
      <c r="E159" s="44" t="s">
        <v>13937</v>
      </c>
      <c r="F159" s="42" t="s">
        <v>13</v>
      </c>
      <c r="G159" s="42" t="s">
        <v>13</v>
      </c>
      <c r="H159" s="42" t="s">
        <v>13</v>
      </c>
      <c r="I159" s="45">
        <f>SUM(I157:I158)</f>
        <v>154042249.90110841</v>
      </c>
    </row>
    <row r="160" spans="1:9" x14ac:dyDescent="0.3">
      <c r="B160" s="8"/>
      <c r="C160" s="8"/>
      <c r="D160" s="8"/>
      <c r="E160" s="8"/>
      <c r="F160" s="8"/>
      <c r="G160" s="8"/>
      <c r="H160" s="8"/>
      <c r="I160" s="8"/>
    </row>
    <row r="161" spans="2:9" s="14" customFormat="1" x14ac:dyDescent="0.3">
      <c r="B161" s="42" t="s">
        <v>13</v>
      </c>
      <c r="C161" s="42" t="s">
        <v>13</v>
      </c>
      <c r="D161" s="42" t="s">
        <v>13</v>
      </c>
      <c r="E161" s="44" t="s">
        <v>13938</v>
      </c>
      <c r="F161" s="42" t="s">
        <v>13</v>
      </c>
      <c r="G161" s="42" t="s">
        <v>13</v>
      </c>
      <c r="H161" s="42" t="s">
        <v>13</v>
      </c>
      <c r="I161" s="45">
        <f>+I88+I159</f>
        <v>339096083.58667582</v>
      </c>
    </row>
    <row r="162" spans="2:9" s="14" customFormat="1" x14ac:dyDescent="0.3">
      <c r="B162" s="42"/>
      <c r="C162" s="42"/>
      <c r="D162" s="42"/>
      <c r="E162" s="44"/>
      <c r="F162" s="42"/>
      <c r="G162" s="42"/>
      <c r="H162" s="42"/>
      <c r="I162" s="45"/>
    </row>
    <row r="163" spans="2:9" s="14" customFormat="1" x14ac:dyDescent="0.3">
      <c r="B163" s="42" t="s">
        <v>14242</v>
      </c>
      <c r="C163" s="42" t="s">
        <v>13</v>
      </c>
      <c r="D163" s="43" t="s">
        <v>13</v>
      </c>
      <c r="E163" s="44" t="s">
        <v>14456</v>
      </c>
      <c r="F163" s="42" t="s">
        <v>13</v>
      </c>
      <c r="G163" s="45">
        <v>0</v>
      </c>
      <c r="H163" s="45">
        <v>0</v>
      </c>
      <c r="I163" s="45">
        <f>+Planilha!I1457</f>
        <v>482500</v>
      </c>
    </row>
    <row r="164" spans="2:9" x14ac:dyDescent="0.3">
      <c r="B164" s="8"/>
      <c r="C164" s="8"/>
      <c r="D164" s="8"/>
      <c r="E164" s="8"/>
      <c r="F164" s="8"/>
      <c r="G164" s="8"/>
      <c r="H164" s="8"/>
      <c r="I164" s="8"/>
    </row>
    <row r="165" spans="2:9" s="14" customFormat="1" x14ac:dyDescent="0.3">
      <c r="B165" s="42" t="s">
        <v>14244</v>
      </c>
      <c r="C165" s="42" t="s">
        <v>13</v>
      </c>
      <c r="D165" s="43" t="s">
        <v>13</v>
      </c>
      <c r="E165" s="44" t="s">
        <v>14243</v>
      </c>
      <c r="F165" s="42" t="s">
        <v>13</v>
      </c>
      <c r="G165" s="45">
        <v>0</v>
      </c>
      <c r="H165" s="45">
        <v>0</v>
      </c>
      <c r="I165" s="45">
        <f>+Planilha!I1460</f>
        <v>30495155.074999999</v>
      </c>
    </row>
    <row r="166" spans="2:9" x14ac:dyDescent="0.3">
      <c r="B166" s="8"/>
      <c r="C166" s="8"/>
      <c r="D166" s="8"/>
      <c r="E166" s="8"/>
      <c r="F166" s="8"/>
      <c r="G166" s="8"/>
      <c r="H166" s="8"/>
      <c r="I166" s="8"/>
    </row>
    <row r="167" spans="2:9" s="14" customFormat="1" x14ac:dyDescent="0.3">
      <c r="B167" s="42" t="s">
        <v>14290</v>
      </c>
      <c r="C167" s="42" t="s">
        <v>13</v>
      </c>
      <c r="D167" s="43" t="s">
        <v>13</v>
      </c>
      <c r="E167" s="44" t="s">
        <v>14245</v>
      </c>
      <c r="F167" s="42" t="s">
        <v>13</v>
      </c>
      <c r="G167" s="45">
        <v>0</v>
      </c>
      <c r="H167" s="45">
        <v>0</v>
      </c>
      <c r="I167" s="45">
        <f>+Planilha!I1466</f>
        <v>39875606.420000002</v>
      </c>
    </row>
    <row r="168" spans="2:9" x14ac:dyDescent="0.3">
      <c r="B168" s="8"/>
      <c r="C168" s="8"/>
      <c r="D168" s="8"/>
      <c r="E168" s="8"/>
      <c r="F168" s="8"/>
      <c r="G168" s="8"/>
      <c r="H168" s="8"/>
      <c r="I168" s="8"/>
    </row>
    <row r="169" spans="2:9" x14ac:dyDescent="0.3">
      <c r="B169" s="215" t="s">
        <v>14589</v>
      </c>
      <c r="C169" s="215" t="s">
        <v>13</v>
      </c>
      <c r="D169" s="216" t="s">
        <v>13</v>
      </c>
      <c r="E169" s="217" t="s">
        <v>14604</v>
      </c>
      <c r="F169" s="215" t="s">
        <v>13</v>
      </c>
      <c r="G169" s="214">
        <v>0</v>
      </c>
      <c r="H169" s="214">
        <v>0</v>
      </c>
      <c r="I169" s="214">
        <f>Planilha!I1470</f>
        <v>15845019.850000001</v>
      </c>
    </row>
    <row r="170" spans="2:9" x14ac:dyDescent="0.3">
      <c r="B170" s="8"/>
      <c r="C170" s="8"/>
      <c r="D170" s="8"/>
      <c r="E170" s="8"/>
      <c r="F170" s="8"/>
      <c r="G170" s="8"/>
      <c r="H170" s="8"/>
      <c r="I170" s="8"/>
    </row>
    <row r="171" spans="2:9" x14ac:dyDescent="0.3">
      <c r="B171" s="215" t="s">
        <v>14605</v>
      </c>
      <c r="C171" s="215" t="s">
        <v>13</v>
      </c>
      <c r="D171" s="216" t="s">
        <v>13</v>
      </c>
      <c r="E171" s="217" t="s">
        <v>14606</v>
      </c>
      <c r="F171" s="215" t="s">
        <v>13</v>
      </c>
      <c r="G171" s="214">
        <v>0</v>
      </c>
      <c r="H171" s="214">
        <v>0</v>
      </c>
      <c r="I171" s="214">
        <f>Planilha!I1473</f>
        <v>11415162.879999999</v>
      </c>
    </row>
    <row r="172" spans="2:9" x14ac:dyDescent="0.3">
      <c r="I172" s="47">
        <f>SUM(I163:I171)</f>
        <v>98113444.224999994</v>
      </c>
    </row>
  </sheetData>
  <mergeCells count="2">
    <mergeCell ref="B5:I5"/>
    <mergeCell ref="B7:I7"/>
  </mergeCells>
  <phoneticPr fontId="7" type="noConversion"/>
  <printOptions horizontalCentered="1"/>
  <pageMargins left="0.39370078740157483" right="0.39370078740157483" top="0.78740157480314965" bottom="0.39370078740157483" header="0.31496062992125984" footer="0.31496062992125984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64D1-9CEA-4B81-90F6-A8B94F387D77}">
  <dimension ref="A2:L1476"/>
  <sheetViews>
    <sheetView view="pageBreakPreview" topLeftCell="B4" zoomScaleNormal="100" zoomScaleSheetLayoutView="100" workbookViewId="0">
      <selection activeCell="M15" sqref="M15"/>
    </sheetView>
  </sheetViews>
  <sheetFormatPr defaultColWidth="8.88671875" defaultRowHeight="14.4" x14ac:dyDescent="0.3"/>
  <cols>
    <col min="1" max="1" width="0" style="230" hidden="1" customWidth="1"/>
    <col min="2" max="2" width="8.6640625" style="230" customWidth="1"/>
    <col min="3" max="3" width="13.33203125" style="230" customWidth="1"/>
    <col min="4" max="4" width="13.109375" style="230" customWidth="1"/>
    <col min="5" max="5" width="49.5546875" style="230" bestFit="1" customWidth="1"/>
    <col min="6" max="6" width="9.6640625" style="230" customWidth="1"/>
    <col min="7" max="7" width="13.33203125" style="230" customWidth="1"/>
    <col min="8" max="9" width="16.6640625" style="230" customWidth="1"/>
    <col min="10" max="10" width="18.33203125" style="230" hidden="1" customWidth="1"/>
    <col min="11" max="11" width="19" style="230" customWidth="1"/>
    <col min="12" max="12" width="11.5546875" style="230" bestFit="1" customWidth="1"/>
    <col min="13" max="16384" width="8.88671875" style="230"/>
  </cols>
  <sheetData>
    <row r="2" spans="1:12" x14ac:dyDescent="0.3">
      <c r="J2" s="291"/>
    </row>
    <row r="3" spans="1:12" x14ac:dyDescent="0.3">
      <c r="B3" s="229" t="s">
        <v>7</v>
      </c>
      <c r="J3" s="291"/>
    </row>
    <row r="4" spans="1:12" x14ac:dyDescent="0.3">
      <c r="J4" s="291"/>
    </row>
    <row r="5" spans="1:12" ht="18" x14ac:dyDescent="0.35">
      <c r="B5" s="318" t="s">
        <v>14241</v>
      </c>
      <c r="C5" s="318"/>
      <c r="D5" s="318"/>
      <c r="E5" s="318"/>
      <c r="F5" s="318"/>
      <c r="G5" s="318"/>
      <c r="H5" s="318"/>
      <c r="I5" s="318"/>
      <c r="J5" s="291"/>
    </row>
    <row r="6" spans="1:12" x14ac:dyDescent="0.3">
      <c r="J6" s="291"/>
      <c r="K6" s="3"/>
      <c r="L6" s="3"/>
    </row>
    <row r="7" spans="1:12" x14ac:dyDescent="0.3">
      <c r="B7" s="319" t="s">
        <v>8</v>
      </c>
      <c r="C7" s="319"/>
      <c r="D7" s="319"/>
      <c r="E7" s="319"/>
      <c r="F7" s="319"/>
      <c r="G7" s="319"/>
      <c r="H7" s="319"/>
      <c r="I7" s="319"/>
      <c r="J7" s="291"/>
      <c r="K7" s="262"/>
      <c r="L7" s="3"/>
    </row>
    <row r="8" spans="1:12" x14ac:dyDescent="0.3">
      <c r="H8" s="231" t="s">
        <v>9</v>
      </c>
      <c r="I8" s="232">
        <v>45839</v>
      </c>
      <c r="J8" s="291"/>
      <c r="K8" s="262"/>
      <c r="L8" s="3"/>
    </row>
    <row r="9" spans="1:12" ht="13.95" customHeight="1" x14ac:dyDescent="0.3">
      <c r="H9" s="231" t="s">
        <v>10</v>
      </c>
      <c r="I9" s="233">
        <f>+BDI!C16</f>
        <v>0.25270000000000004</v>
      </c>
      <c r="J9" s="291"/>
      <c r="K9" s="262"/>
    </row>
    <row r="10" spans="1:12" s="236" customFormat="1" ht="28.8" x14ac:dyDescent="0.3">
      <c r="A10" s="236">
        <v>1</v>
      </c>
      <c r="B10" s="234" t="s">
        <v>0</v>
      </c>
      <c r="C10" s="234" t="s">
        <v>1</v>
      </c>
      <c r="D10" s="234" t="s">
        <v>2</v>
      </c>
      <c r="E10" s="234" t="s">
        <v>3</v>
      </c>
      <c r="F10" s="234" t="s">
        <v>4</v>
      </c>
      <c r="G10" s="234" t="s">
        <v>5</v>
      </c>
      <c r="H10" s="235" t="s">
        <v>6</v>
      </c>
      <c r="I10" s="235" t="s">
        <v>20</v>
      </c>
      <c r="J10" s="292" t="s">
        <v>14633</v>
      </c>
    </row>
    <row r="11" spans="1:12" s="240" customFormat="1" x14ac:dyDescent="0.3">
      <c r="B11" s="237">
        <v>0</v>
      </c>
      <c r="C11" s="237">
        <v>0</v>
      </c>
      <c r="D11" s="237">
        <v>0</v>
      </c>
      <c r="E11" s="238" t="s">
        <v>13939</v>
      </c>
      <c r="F11" s="237">
        <v>0</v>
      </c>
      <c r="G11" s="237">
        <v>0</v>
      </c>
      <c r="H11" s="237">
        <v>0</v>
      </c>
      <c r="I11" s="239">
        <f>I13+I1455+I1457+I1460+I1466+I1470+I1473</f>
        <v>472053590.58097464</v>
      </c>
      <c r="J11" s="293"/>
    </row>
    <row r="12" spans="1:12" s="236" customFormat="1" x14ac:dyDescent="0.3">
      <c r="B12" s="197"/>
      <c r="C12" s="197"/>
      <c r="D12" s="197"/>
      <c r="E12" s="197"/>
      <c r="F12" s="197"/>
      <c r="G12" s="197"/>
      <c r="H12" s="241"/>
      <c r="I12" s="241"/>
      <c r="J12" s="293"/>
    </row>
    <row r="13" spans="1:12" s="219" customFormat="1" x14ac:dyDescent="0.3">
      <c r="B13" s="215" t="s">
        <v>24</v>
      </c>
      <c r="C13" s="215" t="s">
        <v>13</v>
      </c>
      <c r="D13" s="216" t="s">
        <v>13</v>
      </c>
      <c r="E13" s="217" t="s">
        <v>14</v>
      </c>
      <c r="F13" s="215" t="s">
        <v>13</v>
      </c>
      <c r="G13" s="214">
        <v>0</v>
      </c>
      <c r="H13" s="214">
        <v>0</v>
      </c>
      <c r="I13" s="214">
        <f>SUM(I14:I17)</f>
        <v>34844062.769298777</v>
      </c>
      <c r="J13" s="294" t="s">
        <v>14634</v>
      </c>
    </row>
    <row r="14" spans="1:12" x14ac:dyDescent="0.3">
      <c r="B14" s="202">
        <v>1</v>
      </c>
      <c r="C14" s="204" t="s">
        <v>12</v>
      </c>
      <c r="D14" s="203">
        <v>1</v>
      </c>
      <c r="E14" s="204" t="s">
        <v>15</v>
      </c>
      <c r="F14" s="202" t="s">
        <v>13378</v>
      </c>
      <c r="G14" s="242">
        <v>2</v>
      </c>
      <c r="H14" s="242">
        <f>+$I$1455-$I$20-$I$815</f>
        <v>316764206.99362522</v>
      </c>
      <c r="I14" s="242">
        <f>+G14*H14/100</f>
        <v>6335284.1398725044</v>
      </c>
      <c r="J14" s="295"/>
    </row>
    <row r="15" spans="1:12" x14ac:dyDescent="0.3">
      <c r="B15" s="202">
        <v>2</v>
      </c>
      <c r="C15" s="204" t="s">
        <v>12</v>
      </c>
      <c r="D15" s="203">
        <v>1</v>
      </c>
      <c r="E15" s="204" t="s">
        <v>16</v>
      </c>
      <c r="F15" s="202" t="s">
        <v>13378</v>
      </c>
      <c r="G15" s="242">
        <v>2.5</v>
      </c>
      <c r="H15" s="242">
        <f>+$I$1455-$I$20-$I$815</f>
        <v>316764206.99362522</v>
      </c>
      <c r="I15" s="242">
        <f t="shared" ref="I15:I17" si="0">+G15*H15/100</f>
        <v>7919105.17484063</v>
      </c>
      <c r="J15" s="295"/>
    </row>
    <row r="16" spans="1:12" x14ac:dyDescent="0.3">
      <c r="B16" s="202">
        <v>3</v>
      </c>
      <c r="C16" s="204" t="s">
        <v>12</v>
      </c>
      <c r="D16" s="203">
        <v>1</v>
      </c>
      <c r="E16" s="204" t="s">
        <v>17</v>
      </c>
      <c r="F16" s="202" t="s">
        <v>13378</v>
      </c>
      <c r="G16" s="242">
        <v>6</v>
      </c>
      <c r="H16" s="242">
        <f>+$I$1455-$I$20-$I$815</f>
        <v>316764206.99362522</v>
      </c>
      <c r="I16" s="242">
        <f t="shared" si="0"/>
        <v>19005852.419617515</v>
      </c>
      <c r="J16" s="295"/>
    </row>
    <row r="17" spans="1:10" x14ac:dyDescent="0.3">
      <c r="B17" s="202">
        <v>4</v>
      </c>
      <c r="C17" s="204" t="s">
        <v>12</v>
      </c>
      <c r="D17" s="203">
        <v>1</v>
      </c>
      <c r="E17" s="204" t="s">
        <v>18</v>
      </c>
      <c r="F17" s="202" t="s">
        <v>13378</v>
      </c>
      <c r="G17" s="242">
        <v>0.5</v>
      </c>
      <c r="H17" s="242">
        <f>+$I$1455-$I$20-$I$815</f>
        <v>316764206.99362522</v>
      </c>
      <c r="I17" s="242">
        <f t="shared" si="0"/>
        <v>1583821.0349681261</v>
      </c>
      <c r="J17" s="295"/>
    </row>
    <row r="18" spans="1:10" x14ac:dyDescent="0.3">
      <c r="B18" s="204"/>
      <c r="C18" s="204"/>
      <c r="D18" s="204"/>
      <c r="E18" s="204"/>
      <c r="F18" s="204"/>
      <c r="G18" s="204"/>
      <c r="H18" s="204"/>
      <c r="I18" s="204"/>
      <c r="J18" s="296"/>
    </row>
    <row r="19" spans="1:10" s="219" customFormat="1" x14ac:dyDescent="0.3">
      <c r="B19" s="215" t="s">
        <v>25</v>
      </c>
      <c r="C19" s="215" t="s">
        <v>13</v>
      </c>
      <c r="D19" s="216" t="s">
        <v>13</v>
      </c>
      <c r="E19" s="217" t="s">
        <v>21</v>
      </c>
      <c r="F19" s="215" t="s">
        <v>13</v>
      </c>
      <c r="G19" s="214">
        <v>0</v>
      </c>
      <c r="H19" s="214">
        <v>0</v>
      </c>
      <c r="I19" s="214">
        <f>+I812</f>
        <v>185053833.68556741</v>
      </c>
      <c r="J19" s="297"/>
    </row>
    <row r="20" spans="1:10" s="219" customFormat="1" x14ac:dyDescent="0.3">
      <c r="B20" s="215" t="s">
        <v>26</v>
      </c>
      <c r="C20" s="215" t="s">
        <v>13</v>
      </c>
      <c r="D20" s="216" t="s">
        <v>13</v>
      </c>
      <c r="E20" s="217" t="s">
        <v>14235</v>
      </c>
      <c r="F20" s="215" t="s">
        <v>13</v>
      </c>
      <c r="G20" s="214">
        <v>0</v>
      </c>
      <c r="H20" s="214">
        <v>0</v>
      </c>
      <c r="I20" s="214">
        <f>SUM(I21:I23)</f>
        <v>12187104.41366885</v>
      </c>
      <c r="J20" s="297"/>
    </row>
    <row r="21" spans="1:10" s="219" customFormat="1" x14ac:dyDescent="0.3">
      <c r="B21" s="202">
        <v>1</v>
      </c>
      <c r="C21" s="204" t="s">
        <v>12</v>
      </c>
      <c r="D21" s="203">
        <v>1</v>
      </c>
      <c r="E21" s="204" t="s">
        <v>14236</v>
      </c>
      <c r="F21" s="202" t="s">
        <v>13378</v>
      </c>
      <c r="G21" s="242">
        <v>4</v>
      </c>
      <c r="H21" s="242">
        <f>+$I$809+$I$810</f>
        <v>172866729.27189857</v>
      </c>
      <c r="I21" s="242">
        <f>+G21*H21/100</f>
        <v>6914669.1708759423</v>
      </c>
      <c r="J21" s="298" t="s">
        <v>14635</v>
      </c>
    </row>
    <row r="22" spans="1:10" s="219" customFormat="1" x14ac:dyDescent="0.3">
      <c r="B22" s="202">
        <v>2</v>
      </c>
      <c r="C22" s="204" t="s">
        <v>12</v>
      </c>
      <c r="D22" s="203">
        <v>1</v>
      </c>
      <c r="E22" s="204" t="s">
        <v>14237</v>
      </c>
      <c r="F22" s="202" t="s">
        <v>13378</v>
      </c>
      <c r="G22" s="242">
        <v>3</v>
      </c>
      <c r="H22" s="242">
        <f t="shared" ref="H22:H23" si="1">+$I$809+$I$810</f>
        <v>172866729.27189857</v>
      </c>
      <c r="I22" s="242">
        <f t="shared" ref="I22:I23" si="2">+G22*H22/100</f>
        <v>5186001.8781569572</v>
      </c>
      <c r="J22" s="294" t="s">
        <v>14636</v>
      </c>
    </row>
    <row r="23" spans="1:10" s="219" customFormat="1" x14ac:dyDescent="0.3">
      <c r="B23" s="202">
        <v>3</v>
      </c>
      <c r="C23" s="204" t="s">
        <v>12</v>
      </c>
      <c r="D23" s="203">
        <v>1</v>
      </c>
      <c r="E23" s="204" t="s">
        <v>14238</v>
      </c>
      <c r="F23" s="202" t="s">
        <v>13378</v>
      </c>
      <c r="G23" s="242">
        <v>0.05</v>
      </c>
      <c r="H23" s="242">
        <f t="shared" si="1"/>
        <v>172866729.27189857</v>
      </c>
      <c r="I23" s="242">
        <f t="shared" si="2"/>
        <v>86433.364635949285</v>
      </c>
      <c r="J23" s="294" t="s">
        <v>14636</v>
      </c>
    </row>
    <row r="24" spans="1:10" s="219" customFormat="1" x14ac:dyDescent="0.3">
      <c r="B24" s="215" t="s">
        <v>13134</v>
      </c>
      <c r="C24" s="215" t="s">
        <v>13</v>
      </c>
      <c r="D24" s="216" t="s">
        <v>13</v>
      </c>
      <c r="E24" s="217" t="s">
        <v>19</v>
      </c>
      <c r="F24" s="215" t="s">
        <v>13</v>
      </c>
      <c r="G24" s="214">
        <v>0</v>
      </c>
      <c r="H24" s="214">
        <v>0</v>
      </c>
      <c r="I24" s="214">
        <f>+I25+I513+I637+I699+I775+I709+I765</f>
        <v>161802110.93942085</v>
      </c>
      <c r="J24" s="297"/>
    </row>
    <row r="25" spans="1:10" x14ac:dyDescent="0.3">
      <c r="B25" s="202">
        <v>1</v>
      </c>
      <c r="C25" s="202" t="s">
        <v>13</v>
      </c>
      <c r="D25" s="203" t="s">
        <v>13</v>
      </c>
      <c r="E25" s="204" t="s">
        <v>22</v>
      </c>
      <c r="F25" s="202" t="s">
        <v>13</v>
      </c>
      <c r="G25" s="205">
        <v>0</v>
      </c>
      <c r="H25" s="205">
        <v>0</v>
      </c>
      <c r="I25" s="205">
        <f>+I26+I212+I250+I288+I474</f>
        <v>134336642.71751294</v>
      </c>
      <c r="J25" s="297"/>
    </row>
    <row r="26" spans="1:10" s="219" customFormat="1" hidden="1" x14ac:dyDescent="0.3">
      <c r="B26" s="214">
        <v>0</v>
      </c>
      <c r="C26" s="215" t="s">
        <v>13</v>
      </c>
      <c r="D26" s="216" t="s">
        <v>13</v>
      </c>
      <c r="E26" s="217" t="s">
        <v>13343</v>
      </c>
      <c r="F26" s="215" t="s">
        <v>13</v>
      </c>
      <c r="G26" s="214">
        <v>0</v>
      </c>
      <c r="H26" s="214">
        <v>0</v>
      </c>
      <c r="I26" s="214">
        <f>+I27+I64+I101+I138+I175</f>
        <v>61302489.406142503</v>
      </c>
      <c r="J26" s="297"/>
    </row>
    <row r="27" spans="1:10" x14ac:dyDescent="0.3">
      <c r="A27" s="42" t="s">
        <v>14475</v>
      </c>
      <c r="B27" s="209" t="s">
        <v>11</v>
      </c>
      <c r="C27" s="209" t="s">
        <v>13</v>
      </c>
      <c r="D27" s="210" t="s">
        <v>13</v>
      </c>
      <c r="E27" s="211" t="s">
        <v>23</v>
      </c>
      <c r="F27" s="209" t="s">
        <v>13</v>
      </c>
      <c r="G27" s="212">
        <v>0</v>
      </c>
      <c r="H27" s="212">
        <v>0</v>
      </c>
      <c r="I27" s="212">
        <f>SUM(I28:I63)</f>
        <v>2871252.9314038451</v>
      </c>
      <c r="J27" s="284" t="s">
        <v>14475</v>
      </c>
    </row>
    <row r="28" spans="1:10" x14ac:dyDescent="0.3">
      <c r="B28" s="202" t="s">
        <v>13202</v>
      </c>
      <c r="C28" s="202" t="s">
        <v>13</v>
      </c>
      <c r="D28" s="203" t="s">
        <v>13</v>
      </c>
      <c r="E28" s="204" t="s">
        <v>13203</v>
      </c>
      <c r="F28" s="202"/>
      <c r="G28" s="205"/>
      <c r="H28" s="205"/>
      <c r="I28" s="205"/>
      <c r="J28" s="297"/>
    </row>
    <row r="29" spans="1:10" ht="28.8" x14ac:dyDescent="0.3">
      <c r="B29" s="197" t="s">
        <v>13387</v>
      </c>
      <c r="C29" s="197" t="s">
        <v>13039</v>
      </c>
      <c r="D29" s="198" t="s">
        <v>11052</v>
      </c>
      <c r="E29" s="199" t="str">
        <f>VLOOKUP($D29,'Preços Unitários'!$B:$G,2,FALSE)</f>
        <v>Desmatamento, destocamento e limpeza de área com árvores de diâmetro até 0,15 m</v>
      </c>
      <c r="F29" s="197" t="str">
        <f>VLOOKUP($D29,'Preços Unitários'!$B:$G,3,FALSE)</f>
        <v>m²</v>
      </c>
      <c r="G29" s="200">
        <f>+'MC Canais'!J5</f>
        <v>34000</v>
      </c>
      <c r="H29" s="200">
        <f>VLOOKUP($D29,'Preços Unitários'!$B:$G,6,FALSE)</f>
        <v>0.87688999999999995</v>
      </c>
      <c r="I29" s="201">
        <f>+G29*H29</f>
        <v>29814.26</v>
      </c>
      <c r="J29" s="299"/>
    </row>
    <row r="30" spans="1:10" ht="43.2" x14ac:dyDescent="0.3">
      <c r="B30" s="197" t="s">
        <v>13388</v>
      </c>
      <c r="C30" s="197" t="s">
        <v>13039</v>
      </c>
      <c r="D30" s="198" t="s">
        <v>11092</v>
      </c>
      <c r="E30" s="199" t="str">
        <f>VLOOKUP($D30,'Preços Unitários'!$B:$G,2,FALSE)</f>
        <v>Escavação, carga e transporte de material de 1ª categoria - DMT de 1.000 a 1.200 m - caminho de serviço em leito natural - com escavadeira e caminhão basculante de 14 m³</v>
      </c>
      <c r="F30" s="197" t="str">
        <f>VLOOKUP($D30,'Preços Unitários'!$B:$G,3,FALSE)</f>
        <v>m³</v>
      </c>
      <c r="G30" s="200">
        <f>+'MC Canais'!J6</f>
        <v>1218.69</v>
      </c>
      <c r="H30" s="200">
        <f>VLOOKUP($D30,'Preços Unitários'!$B:$G,6,FALSE)</f>
        <v>10.673003999999999</v>
      </c>
      <c r="I30" s="201">
        <f t="shared" ref="I30:I42" si="3">+G30*H30</f>
        <v>13007.083244759999</v>
      </c>
      <c r="J30" s="299"/>
    </row>
    <row r="31" spans="1:10" x14ac:dyDescent="0.3">
      <c r="B31" s="197" t="s">
        <v>13389</v>
      </c>
      <c r="C31" s="197" t="s">
        <v>13039</v>
      </c>
      <c r="D31" s="198" t="s">
        <v>11046</v>
      </c>
      <c r="E31" s="213" t="str">
        <f>VLOOKUP($D31,'Preços Unitários'!$B:$G,2,FALSE)</f>
        <v>Compactação de aterros a 100% do Proctor normal</v>
      </c>
      <c r="F31" s="197" t="str">
        <f>VLOOKUP($D31,'Preços Unitários'!$B:$G,3,FALSE)</f>
        <v>m³</v>
      </c>
      <c r="G31" s="200">
        <f>+'MC Canais'!J7</f>
        <v>40104.47</v>
      </c>
      <c r="H31" s="200">
        <f>VLOOKUP($D31,'Preços Unitários'!$B:$G,6,FALSE)</f>
        <v>7.1028090000000006</v>
      </c>
      <c r="I31" s="201">
        <f t="shared" si="3"/>
        <v>284854.39045623003</v>
      </c>
      <c r="J31" s="299"/>
    </row>
    <row r="32" spans="1:10" ht="28.8" x14ac:dyDescent="0.3">
      <c r="B32" s="197" t="s">
        <v>13390</v>
      </c>
      <c r="C32" s="197" t="s">
        <v>13039</v>
      </c>
      <c r="D32" s="198" t="s">
        <v>11947</v>
      </c>
      <c r="E32" s="199" t="str">
        <f>VLOOKUP($D32,'Preços Unitários'!$B:$G,2,FALSE)</f>
        <v>Transporte com caminhão basculante de 14 m³ - rodovia em leito natural</v>
      </c>
      <c r="F32" s="197" t="str">
        <f>VLOOKUP($D32,'Preços Unitários'!$B:$G,3,FALSE)</f>
        <v>tkm</v>
      </c>
      <c r="G32" s="200">
        <f>+'MC Canais'!J8</f>
        <v>272200.45999999996</v>
      </c>
      <c r="H32" s="200">
        <f>VLOOKUP($D32,'Preços Unitários'!$B:$G,6,FALSE)</f>
        <v>1.165011</v>
      </c>
      <c r="I32" s="201">
        <f t="shared" si="3"/>
        <v>317116.53010505997</v>
      </c>
      <c r="J32" s="299"/>
    </row>
    <row r="33" spans="2:10" x14ac:dyDescent="0.3">
      <c r="B33" s="197" t="s">
        <v>13391</v>
      </c>
      <c r="C33" s="197" t="s">
        <v>13039</v>
      </c>
      <c r="D33" s="198" t="s">
        <v>9440</v>
      </c>
      <c r="E33" s="199" t="str">
        <f>VLOOKUP($D33,'Preços Unitários'!$B:$G,2,FALSE)</f>
        <v>Regularização de superfície com motoniveladora</v>
      </c>
      <c r="F33" s="197" t="str">
        <f>VLOOKUP($D33,'Preços Unitários'!$B:$G,3,FALSE)</f>
        <v>m²</v>
      </c>
      <c r="G33" s="200">
        <f>+'MC Canais'!J9</f>
        <v>1530</v>
      </c>
      <c r="H33" s="200">
        <f>VLOOKUP($D33,'Preços Unitários'!$B:$G,6,FALSE)</f>
        <v>0.100216</v>
      </c>
      <c r="I33" s="201">
        <f>+G33*H33</f>
        <v>153.33047999999999</v>
      </c>
      <c r="J33" s="299"/>
    </row>
    <row r="34" spans="2:10" ht="28.8" x14ac:dyDescent="0.3">
      <c r="B34" s="197" t="s">
        <v>13392</v>
      </c>
      <c r="C34" s="197" t="s">
        <v>12</v>
      </c>
      <c r="D34" s="198" t="s">
        <v>13205</v>
      </c>
      <c r="E34" s="199" t="s">
        <v>13204</v>
      </c>
      <c r="F34" s="197" t="s">
        <v>2904</v>
      </c>
      <c r="G34" s="200">
        <f>+'MC Canais'!J10</f>
        <v>1901</v>
      </c>
      <c r="H34" s="200">
        <f>+'Composições de Preços'!$F$87</f>
        <v>59.387948601153852</v>
      </c>
      <c r="I34" s="201">
        <f t="shared" si="3"/>
        <v>112896.49029079347</v>
      </c>
      <c r="J34" s="299"/>
    </row>
    <row r="35" spans="2:10" ht="28.8" x14ac:dyDescent="0.3">
      <c r="B35" s="197" t="s">
        <v>13393</v>
      </c>
      <c r="C35" s="197" t="s">
        <v>12</v>
      </c>
      <c r="D35" s="198" t="s">
        <v>14504</v>
      </c>
      <c r="E35" s="199" t="s">
        <v>14497</v>
      </c>
      <c r="F35" s="197" t="s">
        <v>427</v>
      </c>
      <c r="G35" s="200">
        <f>+'MC Canais'!J11</f>
        <v>1520.6000000000001</v>
      </c>
      <c r="H35" s="200">
        <f>+'Composições de Preços'!$F$446</f>
        <v>99.894988108799993</v>
      </c>
      <c r="I35" s="201">
        <f t="shared" si="3"/>
        <v>151900.31891824128</v>
      </c>
      <c r="J35" s="299"/>
    </row>
    <row r="36" spans="2:10" ht="28.8" x14ac:dyDescent="0.3">
      <c r="B36" s="197" t="s">
        <v>13394</v>
      </c>
      <c r="C36" s="197" t="s">
        <v>12</v>
      </c>
      <c r="D36" s="198" t="s">
        <v>13192</v>
      </c>
      <c r="E36" s="199" t="s">
        <v>13191</v>
      </c>
      <c r="F36" s="197" t="s">
        <v>2904</v>
      </c>
      <c r="G36" s="200">
        <f>+'MC Canais'!J12</f>
        <v>7603</v>
      </c>
      <c r="H36" s="200">
        <f>+'Composições de Preços'!$F$44</f>
        <v>73.117919302000004</v>
      </c>
      <c r="I36" s="201">
        <f t="shared" si="3"/>
        <v>555915.54045310605</v>
      </c>
      <c r="J36" s="299"/>
    </row>
    <row r="37" spans="2:10" ht="28.8" x14ac:dyDescent="0.3">
      <c r="B37" s="197" t="s">
        <v>13395</v>
      </c>
      <c r="C37" s="197" t="s">
        <v>12</v>
      </c>
      <c r="D37" s="198" t="s">
        <v>14506</v>
      </c>
      <c r="E37" s="199" t="s">
        <v>14505</v>
      </c>
      <c r="F37" s="197" t="s">
        <v>427</v>
      </c>
      <c r="G37" s="200">
        <f>+'MC Canais'!J13</f>
        <v>1700</v>
      </c>
      <c r="H37" s="200">
        <f>+'Composições de Preços'!$F$492</f>
        <v>107.93859485200001</v>
      </c>
      <c r="I37" s="201">
        <f t="shared" ref="I37" si="4">+G37*H37</f>
        <v>183495.6112484</v>
      </c>
      <c r="J37" s="299"/>
    </row>
    <row r="38" spans="2:10" ht="28.8" x14ac:dyDescent="0.3">
      <c r="B38" s="197" t="s">
        <v>13396</v>
      </c>
      <c r="C38" s="197" t="s">
        <v>13039</v>
      </c>
      <c r="D38" s="198" t="s">
        <v>3149</v>
      </c>
      <c r="E38" s="199" t="str">
        <f>VLOOKUP($D38,'Preços Unitários'!$B:$G,2,FALSE)</f>
        <v>Concreto para bombeamento fck = 30 MPa - confecção em central dosadora de 30 m³/h - areia e brita comerciais</v>
      </c>
      <c r="F38" s="197" t="str">
        <f>VLOOKUP($D38,'Preços Unitários'!$B:$G,3,FALSE)</f>
        <v>m³</v>
      </c>
      <c r="G38" s="200">
        <f>+'MC Canais'!J14</f>
        <v>532.21</v>
      </c>
      <c r="H38" s="200">
        <f>VLOOKUP($D38,'Preços Unitários'!$B:$G,6,FALSE)</f>
        <v>575.92882499999996</v>
      </c>
      <c r="I38" s="201">
        <f t="shared" si="3"/>
        <v>306515.07995325001</v>
      </c>
      <c r="J38" s="299"/>
    </row>
    <row r="39" spans="2:10" ht="43.2" x14ac:dyDescent="0.3">
      <c r="B39" s="197" t="s">
        <v>13397</v>
      </c>
      <c r="C39" s="197" t="s">
        <v>13039</v>
      </c>
      <c r="D39" s="198" t="s">
        <v>3201</v>
      </c>
      <c r="E39" s="199" t="str">
        <f>VLOOKUP($D39,'Preços Unitários'!$B:$G,2,FALSE)</f>
        <v>Lançamento mecânico de concreto com bomba rebocável com capacidade de 30 m³/h - confecção em central dosadora de 30 m³/h</v>
      </c>
      <c r="F39" s="197" t="str">
        <f>VLOOKUP($D39,'Preços Unitários'!$B:$G,3,FALSE)</f>
        <v>m³</v>
      </c>
      <c r="G39" s="200">
        <f>+'MC Canais'!J15</f>
        <v>532.21</v>
      </c>
      <c r="H39" s="200">
        <f>VLOOKUP($D39,'Preços Unitários'!$B:$G,6,FALSE)</f>
        <v>86.285976000000005</v>
      </c>
      <c r="I39" s="201">
        <f t="shared" ref="I39" si="5">+G39*H39</f>
        <v>45922.259286960005</v>
      </c>
      <c r="J39" s="299"/>
    </row>
    <row r="40" spans="2:10" ht="28.8" x14ac:dyDescent="0.3">
      <c r="B40" s="197" t="s">
        <v>14516</v>
      </c>
      <c r="C40" s="197" t="s">
        <v>13039</v>
      </c>
      <c r="D40" s="198" t="s">
        <v>206</v>
      </c>
      <c r="E40" s="199" t="str">
        <f>VLOOKUP($D40,'Preços Unitários'!$B:$G,2,FALSE)</f>
        <v>Lábios poliméricos em junta de pavimento de concreto - L = 20 mm e H = 30 mm - confecção e assentamento</v>
      </c>
      <c r="F40" s="197" t="str">
        <f>VLOOKUP($D40,'Preços Unitários'!$B:$G,3,FALSE)</f>
        <v>m</v>
      </c>
      <c r="G40" s="200">
        <f>+'MC Canais'!J16</f>
        <v>4333.3000000000011</v>
      </c>
      <c r="H40" s="200">
        <f>VLOOKUP($D40,'Preços Unitários'!$B:$G,6,FALSE)</f>
        <v>39.635428000000005</v>
      </c>
      <c r="I40" s="201">
        <f t="shared" si="3"/>
        <v>171752.20015240007</v>
      </c>
      <c r="J40" s="297"/>
    </row>
    <row r="41" spans="2:10" x14ac:dyDescent="0.3">
      <c r="B41" s="197" t="s">
        <v>14517</v>
      </c>
      <c r="C41" s="197" t="s">
        <v>12</v>
      </c>
      <c r="D41" s="198" t="s">
        <v>13209</v>
      </c>
      <c r="E41" s="199" t="s">
        <v>13208</v>
      </c>
      <c r="F41" s="197" t="s">
        <v>195</v>
      </c>
      <c r="G41" s="200">
        <f>+'MC Canais'!J17</f>
        <v>1700</v>
      </c>
      <c r="H41" s="200">
        <f>+'Composições de Preços'!$F$130</f>
        <v>37.70076957596789</v>
      </c>
      <c r="I41" s="201">
        <f t="shared" ref="I41" si="6">+G41*H41</f>
        <v>64091.308279145414</v>
      </c>
      <c r="J41" s="299"/>
    </row>
    <row r="42" spans="2:10" ht="28.8" x14ac:dyDescent="0.3">
      <c r="B42" s="197" t="s">
        <v>14573</v>
      </c>
      <c r="C42" s="197" t="s">
        <v>13039</v>
      </c>
      <c r="D42" s="198" t="s">
        <v>9446</v>
      </c>
      <c r="E42" s="199" t="str">
        <f>VLOOKUP($D42,'Preços Unitários'!$B:$G,2,FALSE)</f>
        <v>Revestimento vegetal com grama em mudas em superfícies inclinadas</v>
      </c>
      <c r="F42" s="197" t="str">
        <f>VLOOKUP($D42,'Preços Unitários'!$B:$G,3,FALSE)</f>
        <v>m²</v>
      </c>
      <c r="G42" s="200">
        <f>+'MC Canais'!J18</f>
        <v>10200</v>
      </c>
      <c r="H42" s="200">
        <f>VLOOKUP($D42,'Preços Unitários'!$B:$G,6,FALSE)</f>
        <v>9.984019</v>
      </c>
      <c r="I42" s="201">
        <f t="shared" si="3"/>
        <v>101836.9938</v>
      </c>
      <c r="J42" s="299"/>
    </row>
    <row r="43" spans="2:10" x14ac:dyDescent="0.3">
      <c r="B43" s="202" t="s">
        <v>13221</v>
      </c>
      <c r="C43" s="202" t="s">
        <v>13</v>
      </c>
      <c r="D43" s="203" t="s">
        <v>13</v>
      </c>
      <c r="E43" s="204" t="s">
        <v>13222</v>
      </c>
      <c r="F43" s="202"/>
      <c r="G43" s="200">
        <f>+'MC Canais'!J19</f>
        <v>0</v>
      </c>
      <c r="H43" s="205"/>
      <c r="I43" s="205"/>
      <c r="J43" s="299"/>
    </row>
    <row r="44" spans="2:10" x14ac:dyDescent="0.3">
      <c r="B44" s="197" t="s">
        <v>13398</v>
      </c>
      <c r="C44" s="197" t="s">
        <v>13039</v>
      </c>
      <c r="D44" s="198" t="s">
        <v>9806</v>
      </c>
      <c r="E44" s="199" t="str">
        <f>VLOOKUP($D44,'Preços Unitários'!$B:$G,2,FALSE)</f>
        <v>Escavação mecânica de vala em material de 1ª categoria</v>
      </c>
      <c r="F44" s="197" t="str">
        <f>VLOOKUP($D44,'Preços Unitários'!$B:$G,3,FALSE)</f>
        <v>m³</v>
      </c>
      <c r="G44" s="200">
        <f>+'MC Canais'!J20</f>
        <v>714</v>
      </c>
      <c r="H44" s="200">
        <f>VLOOKUP($D44,'Preços Unitários'!$B:$G,6,FALSE)</f>
        <v>8.7313189999999992</v>
      </c>
      <c r="I44" s="201">
        <f t="shared" ref="I44:I50" si="7">+G44*H44</f>
        <v>6234.1617659999993</v>
      </c>
      <c r="J44" s="299"/>
    </row>
    <row r="45" spans="2:10" x14ac:dyDescent="0.3">
      <c r="B45" s="197" t="s">
        <v>13399</v>
      </c>
      <c r="C45" s="197" t="s">
        <v>13039</v>
      </c>
      <c r="D45" s="198" t="s">
        <v>9830</v>
      </c>
      <c r="E45" s="199" t="str">
        <f>VLOOKUP($D45,'Preços Unitários'!$B:$G,2,FALSE)</f>
        <v>Reaterro e compactação com soquete vibratório</v>
      </c>
      <c r="F45" s="197" t="str">
        <f>VLOOKUP($D45,'Preços Unitários'!$B:$G,3,FALSE)</f>
        <v>m³</v>
      </c>
      <c r="G45" s="200">
        <f>+'MC Canais'!J21</f>
        <v>408</v>
      </c>
      <c r="H45" s="200">
        <f>VLOOKUP($D45,'Preços Unitários'!$B:$G,6,FALSE)</f>
        <v>22.611235000000001</v>
      </c>
      <c r="I45" s="201">
        <f t="shared" si="7"/>
        <v>9225.3838799999994</v>
      </c>
      <c r="J45" s="299"/>
    </row>
    <row r="46" spans="2:10" ht="28.8" x14ac:dyDescent="0.3">
      <c r="B46" s="197" t="s">
        <v>13400</v>
      </c>
      <c r="C46" s="197" t="s">
        <v>13039</v>
      </c>
      <c r="D46" s="198" t="s">
        <v>11947</v>
      </c>
      <c r="E46" s="199" t="str">
        <f>VLOOKUP($D46,'Preços Unitários'!$B:$G,2,FALSE)</f>
        <v>Transporte com caminhão basculante de 14 m³ - rodovia em leito natural</v>
      </c>
      <c r="F46" s="197" t="str">
        <f>VLOOKUP($D46,'Preços Unitários'!$B:$G,3,FALSE)</f>
        <v>tkm</v>
      </c>
      <c r="G46" s="200">
        <f>+'MC Canais'!J22</f>
        <v>2142</v>
      </c>
      <c r="H46" s="200">
        <f>VLOOKUP($D46,'Preços Unitários'!$B:$G,6,FALSE)</f>
        <v>1.165011</v>
      </c>
      <c r="I46" s="201">
        <f t="shared" si="7"/>
        <v>2495.4535620000001</v>
      </c>
      <c r="J46" s="299"/>
    </row>
    <row r="47" spans="2:10" ht="28.8" x14ac:dyDescent="0.3">
      <c r="B47" s="197" t="s">
        <v>13401</v>
      </c>
      <c r="C47" s="197" t="s">
        <v>12</v>
      </c>
      <c r="D47" s="198" t="s">
        <v>13224</v>
      </c>
      <c r="E47" s="199" t="s">
        <v>13223</v>
      </c>
      <c r="F47" s="197" t="s">
        <v>2904</v>
      </c>
      <c r="G47" s="200">
        <f>+'MC Canais'!J23</f>
        <v>2040</v>
      </c>
      <c r="H47" s="200">
        <f>+'Composições de Preços'!$F$173</f>
        <v>26.052132569499999</v>
      </c>
      <c r="I47" s="201">
        <f t="shared" si="7"/>
        <v>53146.35044178</v>
      </c>
      <c r="J47" s="299"/>
    </row>
    <row r="48" spans="2:10" ht="28.8" x14ac:dyDescent="0.3">
      <c r="B48" s="197" t="s">
        <v>13402</v>
      </c>
      <c r="C48" s="197" t="s">
        <v>13039</v>
      </c>
      <c r="D48" s="198" t="s">
        <v>6908</v>
      </c>
      <c r="E48" s="199" t="str">
        <f>VLOOKUP($D48,'Preços Unitários'!$B:$G,2,FALSE)</f>
        <v>Tubo de concreto perfurado produzido na obra para drenagem - D = 0,40 m - fornecimento e instalação</v>
      </c>
      <c r="F48" s="197" t="str">
        <f>VLOOKUP($D48,'Preços Unitários'!$B:$G,3,FALSE)</f>
        <v>m</v>
      </c>
      <c r="G48" s="200">
        <f>+'MC Canais'!J24</f>
        <v>850</v>
      </c>
      <c r="H48" s="200">
        <f>VLOOKUP($D48,'Preços Unitários'!$B:$G,6,FALSE)</f>
        <v>116.764167</v>
      </c>
      <c r="I48" s="201">
        <f t="shared" si="7"/>
        <v>99249.541949999999</v>
      </c>
      <c r="J48" s="299"/>
    </row>
    <row r="49" spans="1:10" ht="28.8" x14ac:dyDescent="0.3">
      <c r="B49" s="197" t="s">
        <v>13403</v>
      </c>
      <c r="C49" s="197" t="s">
        <v>13039</v>
      </c>
      <c r="D49" s="198" t="s">
        <v>6438</v>
      </c>
      <c r="E49" s="199" t="str">
        <f>VLOOKUP($D49,'Preços Unitários'!$B:$G,2,FALSE)</f>
        <v>Lastro de brita comercial compactado com soquete vibratório - espalhamento manual</v>
      </c>
      <c r="F49" s="197" t="str">
        <f>VLOOKUP($D49,'Preços Unitários'!$B:$G,3,FALSE)</f>
        <v>m³</v>
      </c>
      <c r="G49" s="200">
        <f>+'MC Canais'!J25</f>
        <v>199.23999999999998</v>
      </c>
      <c r="H49" s="200">
        <f>VLOOKUP($D49,'Preços Unitários'!$B:$G,6,FALSE)</f>
        <v>239.34086200000002</v>
      </c>
      <c r="I49" s="201">
        <f t="shared" ref="I49" si="8">+G49*H49</f>
        <v>47686.273344879999</v>
      </c>
      <c r="J49" s="299"/>
    </row>
    <row r="50" spans="1:10" x14ac:dyDescent="0.3">
      <c r="B50" s="197" t="s">
        <v>13404</v>
      </c>
      <c r="C50" s="197" t="s">
        <v>13039</v>
      </c>
      <c r="D50" s="206" t="s">
        <v>6430</v>
      </c>
      <c r="E50" s="199" t="str">
        <f>VLOOKUP($D50,'Preços Unitários'!$B:$G,2,FALSE)</f>
        <v>Lastro de areia comercial - espalhamento manual</v>
      </c>
      <c r="F50" s="197" t="str">
        <f>VLOOKUP($D50,'Preços Unitários'!$B:$G,3,FALSE)</f>
        <v>m³</v>
      </c>
      <c r="G50" s="200">
        <f>+'MC Canais'!J26</f>
        <v>102</v>
      </c>
      <c r="H50" s="200">
        <f>VLOOKUP($D50,'Preços Unitários'!$B:$G,6,FALSE)</f>
        <v>198.06439700000001</v>
      </c>
      <c r="I50" s="201">
        <f t="shared" si="7"/>
        <v>20202.568494000003</v>
      </c>
      <c r="J50" s="299"/>
    </row>
    <row r="51" spans="1:10" s="243" customFormat="1" ht="28.8" x14ac:dyDescent="0.3">
      <c r="B51" s="197" t="s">
        <v>13227</v>
      </c>
      <c r="C51" s="197" t="s">
        <v>13</v>
      </c>
      <c r="D51" s="198" t="s">
        <v>13</v>
      </c>
      <c r="E51" s="207" t="s">
        <v>13228</v>
      </c>
      <c r="F51" s="197"/>
      <c r="G51" s="200">
        <f>+'MC Canais'!J27</f>
        <v>0</v>
      </c>
      <c r="H51" s="201"/>
      <c r="I51" s="201"/>
      <c r="J51" s="299"/>
    </row>
    <row r="52" spans="1:10" ht="28.8" x14ac:dyDescent="0.3">
      <c r="B52" s="197" t="s">
        <v>13405</v>
      </c>
      <c r="C52" s="197" t="s">
        <v>13039</v>
      </c>
      <c r="D52" s="198" t="s">
        <v>6964</v>
      </c>
      <c r="E52" s="199" t="str">
        <f>VLOOKUP($D52,'Preços Unitários'!$B:$G,2,FALSE)</f>
        <v>Valeta de proteção de cortes com revestimento vegetal - VPCG 120-30 - escavação mecânica</v>
      </c>
      <c r="F52" s="197" t="str">
        <f>VLOOKUP($D52,'Preços Unitários'!$B:$G,3,FALSE)</f>
        <v>m</v>
      </c>
      <c r="G52" s="200">
        <f>+'MC Canais'!J28</f>
        <v>1700</v>
      </c>
      <c r="H52" s="200">
        <f>VLOOKUP($D52,'Preços Unitários'!$B:$G,6,FALSE)</f>
        <v>51.961995999999999</v>
      </c>
      <c r="I52" s="201">
        <f t="shared" ref="I52:I61" si="9">+G52*H52</f>
        <v>88335.393199999991</v>
      </c>
      <c r="J52" s="299"/>
    </row>
    <row r="53" spans="1:10" ht="28.8" x14ac:dyDescent="0.3">
      <c r="B53" s="197" t="s">
        <v>13406</v>
      </c>
      <c r="C53" s="197" t="s">
        <v>13039</v>
      </c>
      <c r="D53" s="198" t="s">
        <v>6744</v>
      </c>
      <c r="E53" s="199" t="str">
        <f>VLOOKUP($D53,'Preços Unitários'!$B:$G,2,FALSE)</f>
        <v>Sarjeta triangular de grama - STG 125-25 - escavação mecânica</v>
      </c>
      <c r="F53" s="197" t="str">
        <f>VLOOKUP($D53,'Preços Unitários'!$B:$G,3,FALSE)</f>
        <v>m</v>
      </c>
      <c r="G53" s="200">
        <f>+'MC Canais'!J29</f>
        <v>1700</v>
      </c>
      <c r="H53" s="200">
        <f>VLOOKUP($D53,'Preços Unitários'!$B:$G,6,FALSE)</f>
        <v>29.776679000000001</v>
      </c>
      <c r="I53" s="201">
        <f t="shared" si="9"/>
        <v>50620.354299999999</v>
      </c>
      <c r="J53" s="299"/>
    </row>
    <row r="54" spans="1:10" ht="28.8" x14ac:dyDescent="0.3">
      <c r="B54" s="197" t="s">
        <v>13407</v>
      </c>
      <c r="C54" s="197" t="s">
        <v>13039</v>
      </c>
      <c r="D54" s="198" t="s">
        <v>2740</v>
      </c>
      <c r="E54" s="199" t="str">
        <f>VLOOKUP($D54,'Preços Unitários'!$B:$G,2,FALSE)</f>
        <v>Corpo de BSTC D = 0,80 m PA1 - areia, brita e pedra de mão comerciais</v>
      </c>
      <c r="F54" s="197" t="str">
        <f>VLOOKUP($D54,'Preços Unitários'!$B:$G,3,FALSE)</f>
        <v>m</v>
      </c>
      <c r="G54" s="200">
        <f>+'MC Canais'!J30</f>
        <v>0</v>
      </c>
      <c r="H54" s="200">
        <f>VLOOKUP($D54,'Preços Unitários'!$B:$G,6,FALSE)</f>
        <v>799.67357200000004</v>
      </c>
      <c r="I54" s="201">
        <f t="shared" si="9"/>
        <v>0</v>
      </c>
      <c r="J54" s="299"/>
    </row>
    <row r="55" spans="1:10" ht="28.8" x14ac:dyDescent="0.3">
      <c r="B55" s="197" t="s">
        <v>13408</v>
      </c>
      <c r="C55" s="197" t="s">
        <v>13039</v>
      </c>
      <c r="D55" s="208" t="s">
        <v>2172</v>
      </c>
      <c r="E55" s="199" t="str">
        <f>VLOOKUP($D55,'Preços Unitários'!$B:$G,2,FALSE)</f>
        <v>Boca de BSTC D = 0,80 m - esconsidade 0° - areia e brita comerciais - alas retas</v>
      </c>
      <c r="F55" s="197" t="str">
        <f>VLOOKUP($D55,'Preços Unitários'!$B:$G,3,FALSE)</f>
        <v>un</v>
      </c>
      <c r="G55" s="200">
        <f>+'MC Canais'!J31</f>
        <v>0</v>
      </c>
      <c r="H55" s="200">
        <f>VLOOKUP($D55,'Preços Unitários'!$B:$G,6,FALSE)</f>
        <v>1606.687966</v>
      </c>
      <c r="I55" s="201">
        <f t="shared" si="9"/>
        <v>0</v>
      </c>
      <c r="J55" s="299"/>
    </row>
    <row r="56" spans="1:10" s="243" customFormat="1" x14ac:dyDescent="0.3">
      <c r="B56" s="197" t="s">
        <v>13229</v>
      </c>
      <c r="C56" s="197" t="s">
        <v>13</v>
      </c>
      <c r="D56" s="198" t="s">
        <v>13</v>
      </c>
      <c r="E56" s="207" t="s">
        <v>13230</v>
      </c>
      <c r="F56" s="197"/>
      <c r="G56" s="200">
        <f>+'MC Canais'!J32</f>
        <v>0</v>
      </c>
      <c r="H56" s="201"/>
      <c r="I56" s="201"/>
      <c r="J56" s="299"/>
    </row>
    <row r="57" spans="1:10" ht="28.8" x14ac:dyDescent="0.3">
      <c r="B57" s="197" t="s">
        <v>13409</v>
      </c>
      <c r="C57" s="197" t="s">
        <v>13039</v>
      </c>
      <c r="D57" s="198" t="s">
        <v>11088</v>
      </c>
      <c r="E57" s="199" t="str">
        <f>VLOOKUP($D57,'Preços Unitários'!$B:$G,2,FALSE)</f>
        <v>Escavação mecânica com retroescavadeira em material de 1ª categoria</v>
      </c>
      <c r="F57" s="197" t="str">
        <f>VLOOKUP($D57,'Preços Unitários'!$B:$G,3,FALSE)</f>
        <v>m³</v>
      </c>
      <c r="G57" s="200">
        <f>+'MC Canais'!J33</f>
        <v>892.5</v>
      </c>
      <c r="H57" s="200">
        <f>VLOOKUP($D57,'Preços Unitários'!$B:$G,6,FALSE)</f>
        <v>8.7313189999999992</v>
      </c>
      <c r="I57" s="201">
        <f t="shared" ref="I57:I60" si="10">+G57*H57</f>
        <v>7792.7022074999995</v>
      </c>
      <c r="J57" s="299"/>
    </row>
    <row r="58" spans="1:10" x14ac:dyDescent="0.3">
      <c r="B58" s="197" t="s">
        <v>13410</v>
      </c>
      <c r="C58" s="197" t="s">
        <v>13039</v>
      </c>
      <c r="D58" s="198" t="s">
        <v>11046</v>
      </c>
      <c r="E58" s="199" t="str">
        <f>VLOOKUP($D58,'Preços Unitários'!$B:$G,2,FALSE)</f>
        <v>Compactação de aterros a 100% do Proctor normal</v>
      </c>
      <c r="F58" s="197" t="str">
        <f>VLOOKUP($D58,'Preços Unitários'!$B:$G,3,FALSE)</f>
        <v>m³</v>
      </c>
      <c r="G58" s="200">
        <f>+'MC Canais'!J34</f>
        <v>595</v>
      </c>
      <c r="H58" s="200">
        <f>VLOOKUP($D58,'Preços Unitários'!$B:$G,6,FALSE)</f>
        <v>7.1028090000000006</v>
      </c>
      <c r="I58" s="201">
        <f t="shared" si="10"/>
        <v>4226.1713550000004</v>
      </c>
      <c r="J58" s="299"/>
    </row>
    <row r="59" spans="1:10" ht="28.8" x14ac:dyDescent="0.3">
      <c r="B59" s="197" t="s">
        <v>13412</v>
      </c>
      <c r="C59" s="197" t="s">
        <v>13039</v>
      </c>
      <c r="D59" s="198" t="s">
        <v>11947</v>
      </c>
      <c r="E59" s="199" t="str">
        <f>VLOOKUP($D59,'Preços Unitários'!$B:$G,2,FALSE)</f>
        <v>Transporte com caminhão basculante de 14 m³ - rodovia em leito natural</v>
      </c>
      <c r="F59" s="197" t="str">
        <f>VLOOKUP($D59,'Preços Unitários'!$B:$G,3,FALSE)</f>
        <v>tkm</v>
      </c>
      <c r="G59" s="200">
        <f>+'MC Canais'!J35</f>
        <v>297.5</v>
      </c>
      <c r="H59" s="200">
        <f>VLOOKUP($D59,'Preços Unitários'!$B:$G,6,FALSE)</f>
        <v>1.165011</v>
      </c>
      <c r="I59" s="201">
        <f t="shared" si="10"/>
        <v>346.59077250000001</v>
      </c>
      <c r="J59" s="299"/>
    </row>
    <row r="60" spans="1:10" x14ac:dyDescent="0.3">
      <c r="B60" s="197" t="s">
        <v>13413</v>
      </c>
      <c r="C60" s="197" t="s">
        <v>13039</v>
      </c>
      <c r="D60" s="198" t="s">
        <v>9440</v>
      </c>
      <c r="E60" s="199" t="str">
        <f>VLOOKUP($D60,'Preços Unitários'!$B:$G,2,FALSE)</f>
        <v>Regularização de superfície com motoniveladora</v>
      </c>
      <c r="F60" s="197" t="str">
        <f>VLOOKUP($D60,'Preços Unitários'!$B:$G,3,FALSE)</f>
        <v>m²</v>
      </c>
      <c r="G60" s="200">
        <f>+'MC Canais'!J36</f>
        <v>5950</v>
      </c>
      <c r="H60" s="200">
        <f>VLOOKUP($D60,'Preços Unitários'!$B:$G,6,FALSE)</f>
        <v>0.100216</v>
      </c>
      <c r="I60" s="201">
        <f t="shared" si="10"/>
        <v>596.28520000000003</v>
      </c>
      <c r="J60" s="299"/>
    </row>
    <row r="61" spans="1:10" x14ac:dyDescent="0.3">
      <c r="B61" s="197" t="s">
        <v>13411</v>
      </c>
      <c r="C61" s="197" t="s">
        <v>12</v>
      </c>
      <c r="D61" s="198" t="s">
        <v>13232</v>
      </c>
      <c r="E61" s="199" t="s">
        <v>13231</v>
      </c>
      <c r="F61" s="197" t="s">
        <v>427</v>
      </c>
      <c r="G61" s="200">
        <f>+'MC Canais'!J37</f>
        <v>446.25</v>
      </c>
      <c r="H61" s="200">
        <f>+'Composições de Preços'!$F$216</f>
        <v>214.40019935426301</v>
      </c>
      <c r="I61" s="201">
        <f t="shared" si="9"/>
        <v>95676.088961839865</v>
      </c>
      <c r="J61" s="291"/>
    </row>
    <row r="62" spans="1:10" s="243" customFormat="1" x14ac:dyDescent="0.3">
      <c r="B62" s="197" t="s">
        <v>13241</v>
      </c>
      <c r="C62" s="197" t="s">
        <v>13</v>
      </c>
      <c r="D62" s="198" t="s">
        <v>13</v>
      </c>
      <c r="E62" s="207" t="s">
        <v>13386</v>
      </c>
      <c r="F62" s="197"/>
      <c r="G62" s="200">
        <f>+'MC Canais'!J38</f>
        <v>0</v>
      </c>
      <c r="H62" s="201"/>
      <c r="I62" s="201"/>
      <c r="J62" s="297"/>
    </row>
    <row r="63" spans="1:10" ht="28.8" x14ac:dyDescent="0.3">
      <c r="B63" s="197" t="s">
        <v>13414</v>
      </c>
      <c r="C63" s="197" t="s">
        <v>13039</v>
      </c>
      <c r="D63" s="198" t="s">
        <v>8625</v>
      </c>
      <c r="E63" s="199" t="str">
        <f>VLOOKUP($D63,'Preços Unitários'!$B:$G,2,FALSE)</f>
        <v>Cerca com 4 fios de arame liso galvanizado e mourão de madeira a cada 2,5 m e esticador a cada 50 m</v>
      </c>
      <c r="F63" s="197" t="str">
        <f>VLOOKUP($D63,'Preços Unitários'!$B:$G,3,FALSE)</f>
        <v>m</v>
      </c>
      <c r="G63" s="200">
        <f>+'MC Canais'!J39</f>
        <v>1700</v>
      </c>
      <c r="H63" s="200">
        <f>VLOOKUP($D63,'Preços Unitários'!$B:$G,6,FALSE)</f>
        <v>27.146009000000003</v>
      </c>
      <c r="I63" s="201">
        <f t="shared" ref="I63" si="11">+G63*H63</f>
        <v>46148.215300000003</v>
      </c>
      <c r="J63" s="299"/>
    </row>
    <row r="64" spans="1:10" x14ac:dyDescent="0.3">
      <c r="A64" s="42" t="s">
        <v>14475</v>
      </c>
      <c r="B64" s="209" t="s">
        <v>13053</v>
      </c>
      <c r="C64" s="209" t="s">
        <v>13</v>
      </c>
      <c r="D64" s="210" t="s">
        <v>13</v>
      </c>
      <c r="E64" s="211" t="s">
        <v>13065</v>
      </c>
      <c r="F64" s="209" t="s">
        <v>13</v>
      </c>
      <c r="G64" s="212">
        <v>0</v>
      </c>
      <c r="H64" s="212">
        <v>0</v>
      </c>
      <c r="I64" s="212">
        <f>SUM(I65:I100)</f>
        <v>15394370.676457096</v>
      </c>
      <c r="J64" s="284" t="s">
        <v>14475</v>
      </c>
    </row>
    <row r="65" spans="2:10" x14ac:dyDescent="0.3">
      <c r="B65" s="202" t="s">
        <v>13381</v>
      </c>
      <c r="C65" s="202" t="s">
        <v>13</v>
      </c>
      <c r="D65" s="203" t="s">
        <v>13</v>
      </c>
      <c r="E65" s="204" t="s">
        <v>13203</v>
      </c>
      <c r="F65" s="202"/>
      <c r="G65" s="205"/>
      <c r="H65" s="205"/>
      <c r="I65" s="205"/>
      <c r="J65" s="299"/>
    </row>
    <row r="66" spans="2:10" ht="28.8" x14ac:dyDescent="0.3">
      <c r="B66" s="197" t="s">
        <v>13415</v>
      </c>
      <c r="C66" s="197" t="s">
        <v>13039</v>
      </c>
      <c r="D66" s="198" t="s">
        <v>11052</v>
      </c>
      <c r="E66" s="199" t="str">
        <f>VLOOKUP($D66,'Preços Unitários'!$B:$G,2,FALSE)</f>
        <v>Desmatamento, destocamento e limpeza de área com árvores de diâmetro até 0,15 m</v>
      </c>
      <c r="F66" s="197" t="str">
        <f>VLOOKUP($D66,'Preços Unitários'!$B:$G,3,FALSE)</f>
        <v>m²</v>
      </c>
      <c r="G66" s="200">
        <f>+'MC Canais'!J43</f>
        <v>198000</v>
      </c>
      <c r="H66" s="200">
        <f>VLOOKUP($D66,'Preços Unitários'!$B:$G,6,FALSE)</f>
        <v>0.87688999999999995</v>
      </c>
      <c r="I66" s="201">
        <f>+G66*H66</f>
        <v>173624.22</v>
      </c>
      <c r="J66" s="299"/>
    </row>
    <row r="67" spans="2:10" ht="43.2" x14ac:dyDescent="0.3">
      <c r="B67" s="197" t="s">
        <v>13416</v>
      </c>
      <c r="C67" s="197" t="s">
        <v>13039</v>
      </c>
      <c r="D67" s="198" t="s">
        <v>11092</v>
      </c>
      <c r="E67" s="199" t="str">
        <f>VLOOKUP($D67,'Preços Unitários'!$B:$G,2,FALSE)</f>
        <v>Escavação, carga e transporte de material de 1ª categoria - DMT de 1.000 a 1.200 m - caminho de serviço em leito natural - com escavadeira e caminhão basculante de 14 m³</v>
      </c>
      <c r="F67" s="197" t="str">
        <f>VLOOKUP($D67,'Preços Unitários'!$B:$G,3,FALSE)</f>
        <v>m³</v>
      </c>
      <c r="G67" s="200">
        <f>+'MC Canais'!J44</f>
        <v>187330.72</v>
      </c>
      <c r="H67" s="200">
        <f>VLOOKUP($D67,'Preços Unitários'!$B:$G,6,FALSE)</f>
        <v>10.673003999999999</v>
      </c>
      <c r="I67" s="201">
        <f t="shared" ref="I67:I79" si="12">+G67*H67</f>
        <v>1999381.5238828799</v>
      </c>
      <c r="J67" s="299"/>
    </row>
    <row r="68" spans="2:10" x14ac:dyDescent="0.3">
      <c r="B68" s="197" t="s">
        <v>13417</v>
      </c>
      <c r="C68" s="197" t="s">
        <v>13039</v>
      </c>
      <c r="D68" s="198" t="s">
        <v>11046</v>
      </c>
      <c r="E68" s="213" t="str">
        <f>VLOOKUP($D68,'Preços Unitários'!$B:$G,2,FALSE)</f>
        <v>Compactação de aterros a 100% do Proctor normal</v>
      </c>
      <c r="F68" s="197" t="str">
        <f>VLOOKUP($D68,'Preços Unitários'!$B:$G,3,FALSE)</f>
        <v>m³</v>
      </c>
      <c r="G68" s="200">
        <f>+'MC Canais'!J45</f>
        <v>23759.27</v>
      </c>
      <c r="H68" s="200">
        <f>VLOOKUP($D68,'Preços Unitários'!$B:$G,6,FALSE)</f>
        <v>7.1028090000000006</v>
      </c>
      <c r="I68" s="201">
        <f t="shared" si="12"/>
        <v>168757.55678943</v>
      </c>
      <c r="J68" s="299"/>
    </row>
    <row r="69" spans="2:10" ht="28.8" x14ac:dyDescent="0.3">
      <c r="B69" s="197" t="s">
        <v>13418</v>
      </c>
      <c r="C69" s="197" t="s">
        <v>13039</v>
      </c>
      <c r="D69" s="198" t="s">
        <v>11947</v>
      </c>
      <c r="E69" s="199" t="str">
        <f>VLOOKUP($D69,'Preços Unitários'!$B:$G,2,FALSE)</f>
        <v>Transporte com caminhão basculante de 14 m³ - rodovia em leito natural</v>
      </c>
      <c r="F69" s="197" t="str">
        <f>VLOOKUP($D69,'Preços Unitários'!$B:$G,3,FALSE)</f>
        <v>tkm</v>
      </c>
      <c r="G69" s="200">
        <f>+'MC Canais'!J46</f>
        <v>1145000.1499999999</v>
      </c>
      <c r="H69" s="200">
        <f>VLOOKUP($D69,'Preços Unitários'!$B:$G,6,FALSE)</f>
        <v>1.165011</v>
      </c>
      <c r="I69" s="201">
        <f t="shared" si="12"/>
        <v>1333937.7697516498</v>
      </c>
      <c r="J69" s="299"/>
    </row>
    <row r="70" spans="2:10" x14ac:dyDescent="0.3">
      <c r="B70" s="197" t="s">
        <v>13419</v>
      </c>
      <c r="C70" s="197" t="s">
        <v>13039</v>
      </c>
      <c r="D70" s="198" t="s">
        <v>9440</v>
      </c>
      <c r="E70" s="199" t="str">
        <f>VLOOKUP($D70,'Preços Unitários'!$B:$G,2,FALSE)</f>
        <v>Regularização de superfície com motoniveladora</v>
      </c>
      <c r="F70" s="197" t="str">
        <f>VLOOKUP($D70,'Preços Unitários'!$B:$G,3,FALSE)</f>
        <v>m²</v>
      </c>
      <c r="G70" s="200">
        <f>+'MC Canais'!J47</f>
        <v>7425</v>
      </c>
      <c r="H70" s="200">
        <f>VLOOKUP($D70,'Preços Unitários'!$B:$G,6,FALSE)</f>
        <v>0.100216</v>
      </c>
      <c r="I70" s="201">
        <f>+G70*H70</f>
        <v>744.10379999999998</v>
      </c>
      <c r="J70" s="299"/>
    </row>
    <row r="71" spans="2:10" ht="28.8" x14ac:dyDescent="0.3">
      <c r="B71" s="197" t="s">
        <v>13420</v>
      </c>
      <c r="C71" s="197" t="s">
        <v>12</v>
      </c>
      <c r="D71" s="198" t="s">
        <v>13205</v>
      </c>
      <c r="E71" s="199" t="s">
        <v>13204</v>
      </c>
      <c r="F71" s="197" t="s">
        <v>2904</v>
      </c>
      <c r="G71" s="200">
        <f>+'MC Canais'!J48</f>
        <v>9210</v>
      </c>
      <c r="H71" s="200">
        <f>+'Composições de Preços'!$F$87</f>
        <v>59.387948601153852</v>
      </c>
      <c r="I71" s="201">
        <f t="shared" si="12"/>
        <v>546963.00661662698</v>
      </c>
      <c r="J71" s="299"/>
    </row>
    <row r="72" spans="2:10" ht="28.8" x14ac:dyDescent="0.3">
      <c r="B72" s="197" t="s">
        <v>13421</v>
      </c>
      <c r="C72" s="197" t="s">
        <v>12</v>
      </c>
      <c r="D72" s="198" t="s">
        <v>14504</v>
      </c>
      <c r="E72" s="199" t="s">
        <v>14497</v>
      </c>
      <c r="F72" s="197" t="s">
        <v>427</v>
      </c>
      <c r="G72" s="200">
        <f>+'MC Canais'!J49</f>
        <v>7368</v>
      </c>
      <c r="H72" s="200">
        <f>+'Composições de Preços'!$F$446</f>
        <v>99.894988108799993</v>
      </c>
      <c r="I72" s="201">
        <f t="shared" si="12"/>
        <v>736026.27238563832</v>
      </c>
      <c r="J72" s="299"/>
    </row>
    <row r="73" spans="2:10" ht="28.8" x14ac:dyDescent="0.3">
      <c r="B73" s="197" t="s">
        <v>13422</v>
      </c>
      <c r="C73" s="197" t="s">
        <v>12</v>
      </c>
      <c r="D73" s="198" t="s">
        <v>13192</v>
      </c>
      <c r="E73" s="199" t="s">
        <v>13191</v>
      </c>
      <c r="F73" s="197" t="s">
        <v>2904</v>
      </c>
      <c r="G73" s="200">
        <f>+'MC Canais'!J50</f>
        <v>36840</v>
      </c>
      <c r="H73" s="200">
        <f>+'Composições de Preços'!$F$44</f>
        <v>73.117919302000004</v>
      </c>
      <c r="I73" s="201">
        <f t="shared" si="12"/>
        <v>2693664.1470856802</v>
      </c>
      <c r="J73" s="299"/>
    </row>
    <row r="74" spans="2:10" ht="28.8" x14ac:dyDescent="0.3">
      <c r="B74" s="197" t="s">
        <v>13423</v>
      </c>
      <c r="C74" s="197" t="s">
        <v>12</v>
      </c>
      <c r="D74" s="198" t="s">
        <v>14506</v>
      </c>
      <c r="E74" s="199" t="s">
        <v>14505</v>
      </c>
      <c r="F74" s="197" t="s">
        <v>427</v>
      </c>
      <c r="G74" s="200">
        <f>+'MC Canais'!J51</f>
        <v>9900</v>
      </c>
      <c r="H74" s="200">
        <f>+'Composições de Preços'!$F$492</f>
        <v>107.93859485200001</v>
      </c>
      <c r="I74" s="201">
        <f t="shared" si="12"/>
        <v>1068592.0890348002</v>
      </c>
      <c r="J74" s="297"/>
    </row>
    <row r="75" spans="2:10" ht="28.8" x14ac:dyDescent="0.3">
      <c r="B75" s="197" t="s">
        <v>13424</v>
      </c>
      <c r="C75" s="197" t="s">
        <v>13039</v>
      </c>
      <c r="D75" s="198" t="s">
        <v>3149</v>
      </c>
      <c r="E75" s="199" t="str">
        <f>VLOOKUP($D75,'Preços Unitários'!$B:$G,2,FALSE)</f>
        <v>Concreto para bombeamento fck = 30 MPa - confecção em central dosadora de 30 m³/h - areia e brita comerciais</v>
      </c>
      <c r="F75" s="197" t="str">
        <f>VLOOKUP($D75,'Preços Unitários'!$B:$G,3,FALSE)</f>
        <v>m³</v>
      </c>
      <c r="G75" s="200">
        <f>+'MC Canais'!J52</f>
        <v>2578.8000000000002</v>
      </c>
      <c r="H75" s="200">
        <f>VLOOKUP($D75,'Preços Unitários'!$B:$G,6,FALSE)</f>
        <v>575.92882499999996</v>
      </c>
      <c r="I75" s="201">
        <f t="shared" si="12"/>
        <v>1485205.25391</v>
      </c>
      <c r="J75" s="299"/>
    </row>
    <row r="76" spans="2:10" ht="43.2" x14ac:dyDescent="0.3">
      <c r="B76" s="197" t="s">
        <v>13425</v>
      </c>
      <c r="C76" s="197" t="s">
        <v>13039</v>
      </c>
      <c r="D76" s="198" t="s">
        <v>3201</v>
      </c>
      <c r="E76" s="199" t="str">
        <f>VLOOKUP($D76,'Preços Unitários'!$B:$G,2,FALSE)</f>
        <v>Lançamento mecânico de concreto com bomba rebocável com capacidade de 30 m³/h - confecção em central dosadora de 30 m³/h</v>
      </c>
      <c r="F76" s="197" t="str">
        <f>VLOOKUP($D76,'Preços Unitários'!$B:$G,3,FALSE)</f>
        <v>m³</v>
      </c>
      <c r="G76" s="200">
        <f>+'MC Canais'!J53</f>
        <v>2578.8000000000002</v>
      </c>
      <c r="H76" s="200">
        <f>VLOOKUP($D76,'Preços Unitários'!$B:$G,6,FALSE)</f>
        <v>86.285976000000005</v>
      </c>
      <c r="I76" s="201">
        <f t="shared" si="12"/>
        <v>222514.27490880003</v>
      </c>
      <c r="J76" s="299"/>
    </row>
    <row r="77" spans="2:10" ht="28.8" x14ac:dyDescent="0.3">
      <c r="B77" s="197" t="s">
        <v>14543</v>
      </c>
      <c r="C77" s="197" t="s">
        <v>13039</v>
      </c>
      <c r="D77" s="198" t="s">
        <v>206</v>
      </c>
      <c r="E77" s="199" t="str">
        <f>VLOOKUP($D77,'Preços Unitários'!$B:$G,2,FALSE)</f>
        <v>Lábios poliméricos em junta de pavimento de concreto - L = 20 mm e H = 30 mm - confecção e assentamento</v>
      </c>
      <c r="F77" s="197" t="str">
        <f>VLOOKUP($D77,'Preços Unitários'!$B:$G,3,FALSE)</f>
        <v>m</v>
      </c>
      <c r="G77" s="200">
        <f>+'MC Canais'!J54</f>
        <v>21017.7</v>
      </c>
      <c r="H77" s="200">
        <f>VLOOKUP($D77,'Preços Unitários'!$B:$G,6,FALSE)</f>
        <v>39.635428000000005</v>
      </c>
      <c r="I77" s="201">
        <f t="shared" si="12"/>
        <v>833045.53507560014</v>
      </c>
      <c r="J77" s="299"/>
    </row>
    <row r="78" spans="2:10" x14ac:dyDescent="0.3">
      <c r="B78" s="197" t="s">
        <v>14544</v>
      </c>
      <c r="C78" s="197" t="s">
        <v>12</v>
      </c>
      <c r="D78" s="198" t="s">
        <v>13209</v>
      </c>
      <c r="E78" s="199" t="s">
        <v>13208</v>
      </c>
      <c r="F78" s="197" t="s">
        <v>195</v>
      </c>
      <c r="G78" s="200">
        <f>+'MC Canais'!J55</f>
        <v>9900</v>
      </c>
      <c r="H78" s="200">
        <f>+'Composições de Preços'!$F$130</f>
        <v>37.70076957596789</v>
      </c>
      <c r="I78" s="201">
        <f t="shared" si="12"/>
        <v>373237.61880208208</v>
      </c>
      <c r="J78" s="299"/>
    </row>
    <row r="79" spans="2:10" ht="28.8" x14ac:dyDescent="0.3">
      <c r="B79" s="197" t="s">
        <v>14574</v>
      </c>
      <c r="C79" s="197" t="s">
        <v>13039</v>
      </c>
      <c r="D79" s="198" t="s">
        <v>9446</v>
      </c>
      <c r="E79" s="199" t="str">
        <f>VLOOKUP($D79,'Preços Unitários'!$B:$G,2,FALSE)</f>
        <v>Revestimento vegetal com grama em mudas em superfícies inclinadas</v>
      </c>
      <c r="F79" s="197" t="str">
        <f>VLOOKUP($D79,'Preços Unitários'!$B:$G,3,FALSE)</f>
        <v>m²</v>
      </c>
      <c r="G79" s="200">
        <f>+'MC Canais'!J56</f>
        <v>59400</v>
      </c>
      <c r="H79" s="200">
        <f>VLOOKUP($D79,'Preços Unitários'!$B:$G,6,FALSE)</f>
        <v>9.984019</v>
      </c>
      <c r="I79" s="201">
        <f t="shared" si="12"/>
        <v>593050.72860000003</v>
      </c>
      <c r="J79" s="299"/>
    </row>
    <row r="80" spans="2:10" x14ac:dyDescent="0.3">
      <c r="B80" s="202" t="s">
        <v>13382</v>
      </c>
      <c r="C80" s="202" t="s">
        <v>13</v>
      </c>
      <c r="D80" s="203" t="s">
        <v>13</v>
      </c>
      <c r="E80" s="204" t="s">
        <v>13222</v>
      </c>
      <c r="F80" s="202"/>
      <c r="G80" s="200">
        <f>+'MC Canais'!J57</f>
        <v>0</v>
      </c>
      <c r="H80" s="205"/>
      <c r="I80" s="205"/>
      <c r="J80" s="299"/>
    </row>
    <row r="81" spans="2:10" x14ac:dyDescent="0.3">
      <c r="B81" s="197" t="s">
        <v>13426</v>
      </c>
      <c r="C81" s="197" t="s">
        <v>13039</v>
      </c>
      <c r="D81" s="198" t="s">
        <v>9806</v>
      </c>
      <c r="E81" s="199" t="str">
        <f>VLOOKUP($D81,'Preços Unitários'!$B:$G,2,FALSE)</f>
        <v>Escavação mecânica de vala em material de 1ª categoria</v>
      </c>
      <c r="F81" s="197" t="str">
        <f>VLOOKUP($D81,'Preços Unitários'!$B:$G,3,FALSE)</f>
        <v>m³</v>
      </c>
      <c r="G81" s="200">
        <f>+'MC Canais'!J58</f>
        <v>4158</v>
      </c>
      <c r="H81" s="200">
        <f>VLOOKUP($D81,'Preços Unitários'!$B:$G,6,FALSE)</f>
        <v>8.7313189999999992</v>
      </c>
      <c r="I81" s="201">
        <f t="shared" ref="I81:I87" si="13">+G81*H81</f>
        <v>36304.824401999998</v>
      </c>
      <c r="J81" s="299"/>
    </row>
    <row r="82" spans="2:10" x14ac:dyDescent="0.3">
      <c r="B82" s="197" t="s">
        <v>13427</v>
      </c>
      <c r="C82" s="197" t="s">
        <v>13039</v>
      </c>
      <c r="D82" s="198" t="s">
        <v>9830</v>
      </c>
      <c r="E82" s="199" t="str">
        <f>VLOOKUP($D82,'Preços Unitários'!$B:$G,2,FALSE)</f>
        <v>Reaterro e compactação com soquete vibratório</v>
      </c>
      <c r="F82" s="197" t="str">
        <f>VLOOKUP($D82,'Preços Unitários'!$B:$G,3,FALSE)</f>
        <v>m³</v>
      </c>
      <c r="G82" s="200">
        <f>+'MC Canais'!J59</f>
        <v>2376</v>
      </c>
      <c r="H82" s="200">
        <f>VLOOKUP($D82,'Preços Unitários'!$B:$G,6,FALSE)</f>
        <v>22.611235000000001</v>
      </c>
      <c r="I82" s="201">
        <f t="shared" si="13"/>
        <v>53724.29436</v>
      </c>
      <c r="J82" s="299"/>
    </row>
    <row r="83" spans="2:10" ht="28.8" x14ac:dyDescent="0.3">
      <c r="B83" s="197" t="s">
        <v>13428</v>
      </c>
      <c r="C83" s="197" t="s">
        <v>13039</v>
      </c>
      <c r="D83" s="198" t="s">
        <v>11947</v>
      </c>
      <c r="E83" s="199" t="str">
        <f>VLOOKUP($D83,'Preços Unitários'!$B:$G,2,FALSE)</f>
        <v>Transporte com caminhão basculante de 14 m³ - rodovia em leito natural</v>
      </c>
      <c r="F83" s="197" t="str">
        <f>VLOOKUP($D83,'Preços Unitários'!$B:$G,3,FALSE)</f>
        <v>tkm</v>
      </c>
      <c r="G83" s="200">
        <f>+'MC Canais'!J60</f>
        <v>12473.999999999998</v>
      </c>
      <c r="H83" s="200">
        <f>VLOOKUP($D83,'Preços Unitários'!$B:$G,6,FALSE)</f>
        <v>1.165011</v>
      </c>
      <c r="I83" s="201">
        <f t="shared" si="13"/>
        <v>14532.347213999998</v>
      </c>
      <c r="J83" s="299"/>
    </row>
    <row r="84" spans="2:10" ht="28.8" x14ac:dyDescent="0.3">
      <c r="B84" s="197" t="s">
        <v>13429</v>
      </c>
      <c r="C84" s="197" t="s">
        <v>12</v>
      </c>
      <c r="D84" s="198" t="s">
        <v>13224</v>
      </c>
      <c r="E84" s="199" t="s">
        <v>13223</v>
      </c>
      <c r="F84" s="197" t="s">
        <v>2904</v>
      </c>
      <c r="G84" s="200">
        <f>+'MC Canais'!J61</f>
        <v>11880</v>
      </c>
      <c r="H84" s="200">
        <f>+'Composições de Preços'!$F$173</f>
        <v>26.052132569499999</v>
      </c>
      <c r="I84" s="201">
        <f t="shared" si="13"/>
        <v>309499.33492565999</v>
      </c>
      <c r="J84" s="299"/>
    </row>
    <row r="85" spans="2:10" ht="28.8" x14ac:dyDescent="0.3">
      <c r="B85" s="197" t="s">
        <v>13430</v>
      </c>
      <c r="C85" s="197" t="s">
        <v>13039</v>
      </c>
      <c r="D85" s="198" t="s">
        <v>6908</v>
      </c>
      <c r="E85" s="199" t="str">
        <f>VLOOKUP($D85,'Preços Unitários'!$B:$G,2,FALSE)</f>
        <v>Tubo de concreto perfurado produzido na obra para drenagem - D = 0,40 m - fornecimento e instalação</v>
      </c>
      <c r="F85" s="197" t="str">
        <f>VLOOKUP($D85,'Preços Unitários'!$B:$G,3,FALSE)</f>
        <v>m</v>
      </c>
      <c r="G85" s="200">
        <f>+'MC Canais'!J62</f>
        <v>4950</v>
      </c>
      <c r="H85" s="200">
        <f>VLOOKUP($D85,'Preços Unitários'!$B:$G,6,FALSE)</f>
        <v>116.764167</v>
      </c>
      <c r="I85" s="201">
        <f t="shared" si="13"/>
        <v>577982.62664999999</v>
      </c>
      <c r="J85" s="299"/>
    </row>
    <row r="86" spans="2:10" ht="28.8" x14ac:dyDescent="0.3">
      <c r="B86" s="197" t="s">
        <v>13431</v>
      </c>
      <c r="C86" s="197" t="s">
        <v>13039</v>
      </c>
      <c r="D86" s="198" t="s">
        <v>6438</v>
      </c>
      <c r="E86" s="199" t="str">
        <f>VLOOKUP($D86,'Preços Unitários'!$B:$G,2,FALSE)</f>
        <v>Lastro de brita comercial compactado com soquete vibratório - espalhamento manual</v>
      </c>
      <c r="F86" s="197" t="str">
        <f>VLOOKUP($D86,'Preços Unitários'!$B:$G,3,FALSE)</f>
        <v>m³</v>
      </c>
      <c r="G86" s="200">
        <f>+'MC Canais'!J63</f>
        <v>1160.2799999999997</v>
      </c>
      <c r="H86" s="200">
        <f>VLOOKUP($D86,'Preços Unitários'!$B:$G,6,FALSE)</f>
        <v>239.34086200000002</v>
      </c>
      <c r="I86" s="201">
        <f t="shared" si="13"/>
        <v>277702.41536135995</v>
      </c>
      <c r="J86" s="299"/>
    </row>
    <row r="87" spans="2:10" x14ac:dyDescent="0.3">
      <c r="B87" s="197" t="s">
        <v>13432</v>
      </c>
      <c r="C87" s="197" t="s">
        <v>13039</v>
      </c>
      <c r="D87" s="206" t="s">
        <v>6430</v>
      </c>
      <c r="E87" s="199" t="str">
        <f>VLOOKUP($D87,'Preços Unitários'!$B:$G,2,FALSE)</f>
        <v>Lastro de areia comercial - espalhamento manual</v>
      </c>
      <c r="F87" s="197" t="str">
        <f>VLOOKUP($D87,'Preços Unitários'!$B:$G,3,FALSE)</f>
        <v>m³</v>
      </c>
      <c r="G87" s="200">
        <f>+'MC Canais'!J64</f>
        <v>594</v>
      </c>
      <c r="H87" s="200">
        <f>VLOOKUP($D87,'Preços Unitários'!$B:$G,6,FALSE)</f>
        <v>198.06439700000001</v>
      </c>
      <c r="I87" s="201">
        <f t="shared" si="13"/>
        <v>117650.251818</v>
      </c>
      <c r="J87" s="299"/>
    </row>
    <row r="88" spans="2:10" s="243" customFormat="1" ht="28.8" x14ac:dyDescent="0.3">
      <c r="B88" s="197" t="s">
        <v>13383</v>
      </c>
      <c r="C88" s="197" t="s">
        <v>13</v>
      </c>
      <c r="D88" s="198" t="s">
        <v>13</v>
      </c>
      <c r="E88" s="207" t="s">
        <v>13228</v>
      </c>
      <c r="F88" s="197"/>
      <c r="G88" s="200">
        <f>+'MC Canais'!J65</f>
        <v>0</v>
      </c>
      <c r="H88" s="201"/>
      <c r="I88" s="201"/>
      <c r="J88" s="299"/>
    </row>
    <row r="89" spans="2:10" ht="28.8" x14ac:dyDescent="0.3">
      <c r="B89" s="197" t="s">
        <v>13433</v>
      </c>
      <c r="C89" s="197" t="s">
        <v>13039</v>
      </c>
      <c r="D89" s="198" t="s">
        <v>6964</v>
      </c>
      <c r="E89" s="199" t="str">
        <f>VLOOKUP($D89,'Preços Unitários'!$B:$G,2,FALSE)</f>
        <v>Valeta de proteção de cortes com revestimento vegetal - VPCG 120-30 - escavação mecânica</v>
      </c>
      <c r="F89" s="197" t="str">
        <f>VLOOKUP($D89,'Preços Unitários'!$B:$G,3,FALSE)</f>
        <v>m</v>
      </c>
      <c r="G89" s="200">
        <f>+'MC Canais'!J66</f>
        <v>9900</v>
      </c>
      <c r="H89" s="200">
        <f>VLOOKUP($D89,'Preços Unitários'!$B:$G,6,FALSE)</f>
        <v>51.961995999999999</v>
      </c>
      <c r="I89" s="201">
        <f t="shared" ref="I89:I92" si="14">+G89*H89</f>
        <v>514423.76039999997</v>
      </c>
      <c r="J89" s="299"/>
    </row>
    <row r="90" spans="2:10" ht="28.8" x14ac:dyDescent="0.3">
      <c r="B90" s="197" t="s">
        <v>13434</v>
      </c>
      <c r="C90" s="197" t="s">
        <v>13039</v>
      </c>
      <c r="D90" s="198" t="s">
        <v>6744</v>
      </c>
      <c r="E90" s="199" t="str">
        <f>VLOOKUP($D90,'Preços Unitários'!$B:$G,2,FALSE)</f>
        <v>Sarjeta triangular de grama - STG 125-25 - escavação mecânica</v>
      </c>
      <c r="F90" s="197" t="str">
        <f>VLOOKUP($D90,'Preços Unitários'!$B:$G,3,FALSE)</f>
        <v>m</v>
      </c>
      <c r="G90" s="200">
        <f>+'MC Canais'!J67</f>
        <v>9900</v>
      </c>
      <c r="H90" s="200">
        <f>VLOOKUP($D90,'Preços Unitários'!$B:$G,6,FALSE)</f>
        <v>29.776679000000001</v>
      </c>
      <c r="I90" s="201">
        <f t="shared" si="14"/>
        <v>294789.12210000004</v>
      </c>
      <c r="J90" s="299"/>
    </row>
    <row r="91" spans="2:10" ht="28.8" x14ac:dyDescent="0.3">
      <c r="B91" s="197" t="s">
        <v>13435</v>
      </c>
      <c r="C91" s="197" t="s">
        <v>13039</v>
      </c>
      <c r="D91" s="198" t="s">
        <v>2740</v>
      </c>
      <c r="E91" s="199" t="str">
        <f>VLOOKUP($D91,'Preços Unitários'!$B:$G,2,FALSE)</f>
        <v>Corpo de BSTC D = 0,80 m PA1 - areia, brita e pedra de mão comerciais</v>
      </c>
      <c r="F91" s="197" t="str">
        <f>VLOOKUP($D91,'Preços Unitários'!$B:$G,3,FALSE)</f>
        <v>m</v>
      </c>
      <c r="G91" s="200">
        <f>+'MC Canais'!J68</f>
        <v>72.5</v>
      </c>
      <c r="H91" s="200">
        <f>VLOOKUP($D91,'Preços Unitários'!$B:$G,6,FALSE)</f>
        <v>799.67357200000004</v>
      </c>
      <c r="I91" s="201">
        <f t="shared" si="14"/>
        <v>57976.33397</v>
      </c>
      <c r="J91" s="299"/>
    </row>
    <row r="92" spans="2:10" ht="28.8" x14ac:dyDescent="0.3">
      <c r="B92" s="197" t="s">
        <v>13436</v>
      </c>
      <c r="C92" s="197" t="s">
        <v>13039</v>
      </c>
      <c r="D92" s="208" t="s">
        <v>2172</v>
      </c>
      <c r="E92" s="199" t="str">
        <f>VLOOKUP($D92,'Preços Unitários'!$B:$G,2,FALSE)</f>
        <v>Boca de BSTC D = 0,80 m - esconsidade 0° - areia e brita comerciais - alas retas</v>
      </c>
      <c r="F92" s="197" t="str">
        <f>VLOOKUP($D92,'Preços Unitários'!$B:$G,3,FALSE)</f>
        <v>un</v>
      </c>
      <c r="G92" s="200">
        <f>+'MC Canais'!J69</f>
        <v>6</v>
      </c>
      <c r="H92" s="200">
        <f>VLOOKUP($D92,'Preços Unitários'!$B:$G,6,FALSE)</f>
        <v>1606.687966</v>
      </c>
      <c r="I92" s="201">
        <f t="shared" si="14"/>
        <v>9640.1277960000007</v>
      </c>
      <c r="J92" s="299"/>
    </row>
    <row r="93" spans="2:10" s="243" customFormat="1" x14ac:dyDescent="0.3">
      <c r="B93" s="197" t="s">
        <v>13384</v>
      </c>
      <c r="C93" s="197" t="s">
        <v>13</v>
      </c>
      <c r="D93" s="198" t="s">
        <v>13</v>
      </c>
      <c r="E93" s="207" t="s">
        <v>13230</v>
      </c>
      <c r="F93" s="197"/>
      <c r="G93" s="200">
        <f>+'MC Canais'!J70</f>
        <v>0</v>
      </c>
      <c r="H93" s="201"/>
      <c r="I93" s="201"/>
      <c r="J93" s="299"/>
    </row>
    <row r="94" spans="2:10" ht="28.8" x14ac:dyDescent="0.3">
      <c r="B94" s="197" t="s">
        <v>13437</v>
      </c>
      <c r="C94" s="197" t="s">
        <v>13039</v>
      </c>
      <c r="D94" s="198" t="s">
        <v>11088</v>
      </c>
      <c r="E94" s="199" t="str">
        <f>VLOOKUP($D94,'Preços Unitários'!$B:$G,2,FALSE)</f>
        <v>Escavação mecânica com retroescavadeira em material de 1ª categoria</v>
      </c>
      <c r="F94" s="197" t="str">
        <f>VLOOKUP($D94,'Preços Unitários'!$B:$G,3,FALSE)</f>
        <v>m³</v>
      </c>
      <c r="G94" s="200">
        <f>+'MC Canais'!J71</f>
        <v>5197.5</v>
      </c>
      <c r="H94" s="200">
        <f>VLOOKUP($D94,'Preços Unitários'!$B:$G,6,FALSE)</f>
        <v>8.7313189999999992</v>
      </c>
      <c r="I94" s="201">
        <f t="shared" ref="I94:I98" si="15">+G94*H94</f>
        <v>45381.030502499998</v>
      </c>
      <c r="J94" s="299"/>
    </row>
    <row r="95" spans="2:10" x14ac:dyDescent="0.3">
      <c r="B95" s="197" t="s">
        <v>13438</v>
      </c>
      <c r="C95" s="197" t="s">
        <v>13039</v>
      </c>
      <c r="D95" s="198" t="s">
        <v>11046</v>
      </c>
      <c r="E95" s="199" t="str">
        <f>VLOOKUP($D95,'Preços Unitários'!$B:$G,2,FALSE)</f>
        <v>Compactação de aterros a 100% do Proctor normal</v>
      </c>
      <c r="F95" s="197" t="str">
        <f>VLOOKUP($D95,'Preços Unitários'!$B:$G,3,FALSE)</f>
        <v>m³</v>
      </c>
      <c r="G95" s="200">
        <f>+'MC Canais'!J72</f>
        <v>3465</v>
      </c>
      <c r="H95" s="200">
        <f>VLOOKUP($D95,'Preços Unitários'!$B:$G,6,FALSE)</f>
        <v>7.1028090000000006</v>
      </c>
      <c r="I95" s="201">
        <f t="shared" si="15"/>
        <v>24611.233185000001</v>
      </c>
      <c r="J95" s="291"/>
    </row>
    <row r="96" spans="2:10" ht="28.8" x14ac:dyDescent="0.3">
      <c r="B96" s="197" t="s">
        <v>13440</v>
      </c>
      <c r="C96" s="197" t="s">
        <v>13039</v>
      </c>
      <c r="D96" s="198" t="s">
        <v>11947</v>
      </c>
      <c r="E96" s="199" t="str">
        <f>VLOOKUP($D96,'Preços Unitários'!$B:$G,2,FALSE)</f>
        <v>Transporte com caminhão basculante de 14 m³ - rodovia em leito natural</v>
      </c>
      <c r="F96" s="197" t="str">
        <f>VLOOKUP($D96,'Preços Unitários'!$B:$G,3,FALSE)</f>
        <v>tkm</v>
      </c>
      <c r="G96" s="200">
        <f>+'MC Canais'!J73</f>
        <v>1732.5</v>
      </c>
      <c r="H96" s="200">
        <f>VLOOKUP($D96,'Preços Unitários'!$B:$G,6,FALSE)</f>
        <v>1.165011</v>
      </c>
      <c r="I96" s="201">
        <f t="shared" si="15"/>
        <v>2018.3815575000001</v>
      </c>
      <c r="J96" s="297"/>
    </row>
    <row r="97" spans="1:10" x14ac:dyDescent="0.3">
      <c r="B97" s="197" t="s">
        <v>13441</v>
      </c>
      <c r="C97" s="197" t="s">
        <v>13039</v>
      </c>
      <c r="D97" s="198" t="s">
        <v>9440</v>
      </c>
      <c r="E97" s="199" t="str">
        <f>VLOOKUP($D97,'Preços Unitários'!$B:$G,2,FALSE)</f>
        <v>Regularização de superfície com motoniveladora</v>
      </c>
      <c r="F97" s="197" t="str">
        <f>VLOOKUP($D97,'Preços Unitários'!$B:$G,3,FALSE)</f>
        <v>m²</v>
      </c>
      <c r="G97" s="200">
        <f>+'MC Canais'!J74</f>
        <v>34650</v>
      </c>
      <c r="H97" s="200">
        <f>VLOOKUP($D97,'Preços Unitários'!$B:$G,6,FALSE)</f>
        <v>0.100216</v>
      </c>
      <c r="I97" s="201">
        <f t="shared" si="15"/>
        <v>3472.4843999999998</v>
      </c>
      <c r="J97" s="299"/>
    </row>
    <row r="98" spans="1:10" x14ac:dyDescent="0.3">
      <c r="B98" s="197" t="s">
        <v>13439</v>
      </c>
      <c r="C98" s="197" t="s">
        <v>12</v>
      </c>
      <c r="D98" s="198" t="s">
        <v>13232</v>
      </c>
      <c r="E98" s="199" t="s">
        <v>13231</v>
      </c>
      <c r="F98" s="197" t="s">
        <v>427</v>
      </c>
      <c r="G98" s="200">
        <f>+'MC Canais'!J75</f>
        <v>2598.75</v>
      </c>
      <c r="H98" s="200">
        <f>+'Composições de Preços'!$F$216</f>
        <v>214.40019935426301</v>
      </c>
      <c r="I98" s="201">
        <f t="shared" si="15"/>
        <v>557172.51807189104</v>
      </c>
      <c r="J98" s="299"/>
    </row>
    <row r="99" spans="1:10" s="243" customFormat="1" x14ac:dyDescent="0.3">
      <c r="B99" s="197" t="s">
        <v>13385</v>
      </c>
      <c r="C99" s="197" t="s">
        <v>13</v>
      </c>
      <c r="D99" s="198" t="s">
        <v>13</v>
      </c>
      <c r="E99" s="207" t="s">
        <v>13386</v>
      </c>
      <c r="F99" s="197"/>
      <c r="G99" s="200">
        <f>+'MC Canais'!J76</f>
        <v>0</v>
      </c>
      <c r="H99" s="201"/>
      <c r="I99" s="201"/>
      <c r="J99" s="299"/>
    </row>
    <row r="100" spans="1:10" ht="28.8" x14ac:dyDescent="0.3">
      <c r="B100" s="197" t="s">
        <v>13442</v>
      </c>
      <c r="C100" s="197" t="s">
        <v>13039</v>
      </c>
      <c r="D100" s="198" t="s">
        <v>8625</v>
      </c>
      <c r="E100" s="199" t="str">
        <f>VLOOKUP($D100,'Preços Unitários'!$B:$G,2,FALSE)</f>
        <v>Cerca com 4 fios de arame liso galvanizado e mourão de madeira a cada 2,5 m e esticador a cada 50 m</v>
      </c>
      <c r="F100" s="197" t="str">
        <f>VLOOKUP($D100,'Preços Unitários'!$B:$G,3,FALSE)</f>
        <v>m</v>
      </c>
      <c r="G100" s="200">
        <f>+'MC Canais'!J77</f>
        <v>9900</v>
      </c>
      <c r="H100" s="200">
        <f>VLOOKUP($D100,'Preços Unitários'!$B:$G,6,FALSE)</f>
        <v>27.146009000000003</v>
      </c>
      <c r="I100" s="201">
        <f t="shared" ref="I100" si="16">+G100*H100</f>
        <v>268745.48910000001</v>
      </c>
      <c r="J100" s="299"/>
    </row>
    <row r="101" spans="1:10" x14ac:dyDescent="0.3">
      <c r="A101" s="42" t="s">
        <v>14475</v>
      </c>
      <c r="B101" s="209" t="s">
        <v>13054</v>
      </c>
      <c r="C101" s="209" t="s">
        <v>13</v>
      </c>
      <c r="D101" s="210" t="s">
        <v>13</v>
      </c>
      <c r="E101" s="211" t="s">
        <v>13066</v>
      </c>
      <c r="F101" s="209" t="s">
        <v>13</v>
      </c>
      <c r="G101" s="212">
        <v>0</v>
      </c>
      <c r="H101" s="212">
        <v>0</v>
      </c>
      <c r="I101" s="212">
        <f>SUM(I102:I137)</f>
        <v>14208007.477419851</v>
      </c>
      <c r="J101" s="284" t="s">
        <v>14475</v>
      </c>
    </row>
    <row r="102" spans="1:10" x14ac:dyDescent="0.3">
      <c r="B102" s="202" t="s">
        <v>13443</v>
      </c>
      <c r="C102" s="202" t="s">
        <v>13</v>
      </c>
      <c r="D102" s="203" t="s">
        <v>13</v>
      </c>
      <c r="E102" s="204" t="s">
        <v>13203</v>
      </c>
      <c r="F102" s="202"/>
      <c r="G102" s="205"/>
      <c r="H102" s="205"/>
      <c r="I102" s="205"/>
      <c r="J102" s="299"/>
    </row>
    <row r="103" spans="1:10" ht="28.8" x14ac:dyDescent="0.3">
      <c r="B103" s="197" t="s">
        <v>13444</v>
      </c>
      <c r="C103" s="197" t="s">
        <v>13039</v>
      </c>
      <c r="D103" s="198" t="s">
        <v>11052</v>
      </c>
      <c r="E103" s="199" t="str">
        <f>VLOOKUP($D103,'Preços Unitários'!$B:$G,2,FALSE)</f>
        <v>Desmatamento, destocamento e limpeza de área com árvores de diâmetro até 0,15 m</v>
      </c>
      <c r="F103" s="197" t="str">
        <f>VLOOKUP($D103,'Preços Unitários'!$B:$G,3,FALSE)</f>
        <v>m²</v>
      </c>
      <c r="G103" s="200">
        <f>+'MC Canais'!J81</f>
        <v>171680</v>
      </c>
      <c r="H103" s="200">
        <f>VLOOKUP($D103,'Preços Unitários'!$B:$G,6,FALSE)</f>
        <v>0.87688999999999995</v>
      </c>
      <c r="I103" s="201">
        <f>+G103*H103</f>
        <v>150544.47519999999</v>
      </c>
      <c r="J103" s="299"/>
    </row>
    <row r="104" spans="1:10" ht="43.2" x14ac:dyDescent="0.3">
      <c r="B104" s="197" t="s">
        <v>13445</v>
      </c>
      <c r="C104" s="197" t="s">
        <v>13039</v>
      </c>
      <c r="D104" s="198" t="s">
        <v>11092</v>
      </c>
      <c r="E104" s="199" t="str">
        <f>VLOOKUP($D104,'Preços Unitários'!$B:$G,2,FALSE)</f>
        <v>Escavação, carga e transporte de material de 1ª categoria - DMT de 1.000 a 1.200 m - caminho de serviço em leito natural - com escavadeira e caminhão basculante de 14 m³</v>
      </c>
      <c r="F104" s="197" t="str">
        <f>VLOOKUP($D104,'Preços Unitários'!$B:$G,3,FALSE)</f>
        <v>m³</v>
      </c>
      <c r="G104" s="200">
        <f>+'MC Canais'!J82</f>
        <v>257084.94</v>
      </c>
      <c r="H104" s="200">
        <f>VLOOKUP($D104,'Preços Unitários'!$B:$G,6,FALSE)</f>
        <v>10.673003999999999</v>
      </c>
      <c r="I104" s="201">
        <f t="shared" ref="I104:I116" si="17">+G104*H104</f>
        <v>2743868.5929597598</v>
      </c>
      <c r="J104" s="299"/>
    </row>
    <row r="105" spans="1:10" x14ac:dyDescent="0.3">
      <c r="B105" s="197" t="s">
        <v>13446</v>
      </c>
      <c r="C105" s="197" t="s">
        <v>13039</v>
      </c>
      <c r="D105" s="198" t="s">
        <v>11046</v>
      </c>
      <c r="E105" s="213" t="str">
        <f>VLOOKUP($D105,'Preços Unitários'!$B:$G,2,FALSE)</f>
        <v>Compactação de aterros a 100% do Proctor normal</v>
      </c>
      <c r="F105" s="197" t="str">
        <f>VLOOKUP($D105,'Preços Unitários'!$B:$G,3,FALSE)</f>
        <v>m³</v>
      </c>
      <c r="G105" s="200">
        <f>+'MC Canais'!J83</f>
        <v>31272.74</v>
      </c>
      <c r="H105" s="200">
        <f>VLOOKUP($D105,'Preços Unitários'!$B:$G,6,FALSE)</f>
        <v>7.1028090000000006</v>
      </c>
      <c r="I105" s="201">
        <f t="shared" si="17"/>
        <v>222124.29912666004</v>
      </c>
      <c r="J105" s="299"/>
    </row>
    <row r="106" spans="1:10" ht="28.8" x14ac:dyDescent="0.3">
      <c r="B106" s="197" t="s">
        <v>13447</v>
      </c>
      <c r="C106" s="197" t="s">
        <v>13039</v>
      </c>
      <c r="D106" s="198" t="s">
        <v>11947</v>
      </c>
      <c r="E106" s="199" t="str">
        <f>VLOOKUP($D106,'Preços Unitários'!$B:$G,2,FALSE)</f>
        <v>Transporte com caminhão basculante de 14 m³ - rodovia em leito natural</v>
      </c>
      <c r="F106" s="197" t="str">
        <f>VLOOKUP($D106,'Preços Unitários'!$B:$G,3,FALSE)</f>
        <v>tkm</v>
      </c>
      <c r="G106" s="200">
        <f>+'MC Canais'!J84</f>
        <v>1580685.4000000001</v>
      </c>
      <c r="H106" s="200">
        <f>VLOOKUP($D106,'Preços Unitários'!$B:$G,6,FALSE)</f>
        <v>1.165011</v>
      </c>
      <c r="I106" s="201">
        <f t="shared" si="17"/>
        <v>1841515.8785394002</v>
      </c>
      <c r="J106" s="299"/>
    </row>
    <row r="107" spans="1:10" x14ac:dyDescent="0.3">
      <c r="B107" s="197" t="s">
        <v>13448</v>
      </c>
      <c r="C107" s="197" t="s">
        <v>13039</v>
      </c>
      <c r="D107" s="198" t="s">
        <v>9440</v>
      </c>
      <c r="E107" s="199" t="str">
        <f>VLOOKUP($D107,'Preços Unitários'!$B:$G,2,FALSE)</f>
        <v>Regularização de superfície com motoniveladora</v>
      </c>
      <c r="F107" s="197" t="str">
        <f>VLOOKUP($D107,'Preços Unitários'!$B:$G,3,FALSE)</f>
        <v>m²</v>
      </c>
      <c r="G107" s="200">
        <f>+'MC Canais'!J85</f>
        <v>5150.3999999999996</v>
      </c>
      <c r="H107" s="200">
        <f>VLOOKUP($D107,'Preços Unitários'!$B:$G,6,FALSE)</f>
        <v>0.100216</v>
      </c>
      <c r="I107" s="201">
        <f>+G107*H107</f>
        <v>516.15248639999993</v>
      </c>
      <c r="J107" s="299"/>
    </row>
    <row r="108" spans="1:10" ht="28.8" x14ac:dyDescent="0.3">
      <c r="B108" s="197" t="s">
        <v>13449</v>
      </c>
      <c r="C108" s="197" t="s">
        <v>12</v>
      </c>
      <c r="D108" s="198" t="s">
        <v>13205</v>
      </c>
      <c r="E108" s="199" t="s">
        <v>13204</v>
      </c>
      <c r="F108" s="197" t="s">
        <v>2904</v>
      </c>
      <c r="G108" s="200">
        <f>+'MC Canais'!J86</f>
        <v>6715.81</v>
      </c>
      <c r="H108" s="200">
        <f>+'Composições de Preços'!$F$87</f>
        <v>59.387948601153852</v>
      </c>
      <c r="I108" s="201">
        <f t="shared" si="17"/>
        <v>398838.17909511505</v>
      </c>
      <c r="J108" s="297"/>
    </row>
    <row r="109" spans="1:10" ht="28.8" x14ac:dyDescent="0.3">
      <c r="B109" s="197" t="s">
        <v>13450</v>
      </c>
      <c r="C109" s="197" t="s">
        <v>12</v>
      </c>
      <c r="D109" s="198" t="s">
        <v>14504</v>
      </c>
      <c r="E109" s="199" t="s">
        <v>14497</v>
      </c>
      <c r="F109" s="197" t="s">
        <v>427</v>
      </c>
      <c r="G109" s="200">
        <f>+'MC Canais'!J87</f>
        <v>5372.6</v>
      </c>
      <c r="H109" s="200">
        <f>+'Composições de Preços'!$F$446</f>
        <v>99.894988108799993</v>
      </c>
      <c r="I109" s="201">
        <f t="shared" si="17"/>
        <v>536695.8131133389</v>
      </c>
      <c r="J109" s="299"/>
    </row>
    <row r="110" spans="1:10" ht="28.8" x14ac:dyDescent="0.3">
      <c r="B110" s="197" t="s">
        <v>13451</v>
      </c>
      <c r="C110" s="197" t="s">
        <v>12</v>
      </c>
      <c r="D110" s="198" t="s">
        <v>13192</v>
      </c>
      <c r="E110" s="199" t="s">
        <v>13191</v>
      </c>
      <c r="F110" s="197" t="s">
        <v>2904</v>
      </c>
      <c r="G110" s="200">
        <f>+'MC Canais'!J88</f>
        <v>26863</v>
      </c>
      <c r="H110" s="200">
        <f>+'Composições de Preços'!$F$44</f>
        <v>73.117919302000004</v>
      </c>
      <c r="I110" s="201">
        <f t="shared" si="17"/>
        <v>1964166.666209626</v>
      </c>
      <c r="J110" s="299"/>
    </row>
    <row r="111" spans="1:10" ht="28.8" x14ac:dyDescent="0.3">
      <c r="B111" s="197" t="s">
        <v>13452</v>
      </c>
      <c r="C111" s="197" t="s">
        <v>12</v>
      </c>
      <c r="D111" s="198" t="s">
        <v>14506</v>
      </c>
      <c r="E111" s="199" t="s">
        <v>14505</v>
      </c>
      <c r="F111" s="197" t="s">
        <v>427</v>
      </c>
      <c r="G111" s="200">
        <f>+'MC Canais'!J89</f>
        <v>8584</v>
      </c>
      <c r="H111" s="200">
        <f>+'Composições de Preços'!$F$492</f>
        <v>107.93859485200001</v>
      </c>
      <c r="I111" s="201">
        <f t="shared" si="17"/>
        <v>926544.89820956811</v>
      </c>
      <c r="J111" s="299"/>
    </row>
    <row r="112" spans="1:10" ht="28.8" x14ac:dyDescent="0.3">
      <c r="B112" s="197" t="s">
        <v>13453</v>
      </c>
      <c r="C112" s="197" t="s">
        <v>13039</v>
      </c>
      <c r="D112" s="198" t="s">
        <v>3149</v>
      </c>
      <c r="E112" s="199" t="str">
        <f>VLOOKUP($D112,'Preços Unitários'!$B:$G,2,FALSE)</f>
        <v>Concreto para bombeamento fck = 30 MPa - confecção em central dosadora de 30 m³/h - areia e brita comerciais</v>
      </c>
      <c r="F112" s="197" t="str">
        <f>VLOOKUP($D112,'Preços Unitários'!$B:$G,3,FALSE)</f>
        <v>m³</v>
      </c>
      <c r="G112" s="200">
        <f>+'MC Canais'!J90</f>
        <v>1880.41</v>
      </c>
      <c r="H112" s="200">
        <f>VLOOKUP($D112,'Preços Unitários'!$B:$G,6,FALSE)</f>
        <v>575.92882499999996</v>
      </c>
      <c r="I112" s="201">
        <f t="shared" si="17"/>
        <v>1082982.32181825</v>
      </c>
      <c r="J112" s="299"/>
    </row>
    <row r="113" spans="2:10" ht="43.2" x14ac:dyDescent="0.3">
      <c r="B113" s="197" t="s">
        <v>13454</v>
      </c>
      <c r="C113" s="197" t="s">
        <v>13039</v>
      </c>
      <c r="D113" s="198" t="s">
        <v>3201</v>
      </c>
      <c r="E113" s="199" t="str">
        <f>VLOOKUP($D113,'Preços Unitários'!$B:$G,2,FALSE)</f>
        <v>Lançamento mecânico de concreto com bomba rebocável com capacidade de 30 m³/h - confecção em central dosadora de 30 m³/h</v>
      </c>
      <c r="F113" s="197" t="str">
        <f>VLOOKUP($D113,'Preços Unitários'!$B:$G,3,FALSE)</f>
        <v>m³</v>
      </c>
      <c r="G113" s="200">
        <f>+'MC Canais'!J91</f>
        <v>1880.41</v>
      </c>
      <c r="H113" s="200">
        <f>VLOOKUP($D113,'Preços Unitários'!$B:$G,6,FALSE)</f>
        <v>86.285976000000005</v>
      </c>
      <c r="I113" s="201">
        <f t="shared" si="17"/>
        <v>162253.01213016003</v>
      </c>
      <c r="J113" s="299"/>
    </row>
    <row r="114" spans="2:10" ht="28.8" x14ac:dyDescent="0.3">
      <c r="B114" s="197" t="s">
        <v>14541</v>
      </c>
      <c r="C114" s="197" t="s">
        <v>13039</v>
      </c>
      <c r="D114" s="198" t="s">
        <v>206</v>
      </c>
      <c r="E114" s="199" t="str">
        <f>VLOOKUP($D114,'Preços Unitários'!$B:$G,2,FALSE)</f>
        <v>Lábios poliméricos em junta de pavimento de concreto - L = 20 mm e H = 30 mm - confecção e assentamento</v>
      </c>
      <c r="F114" s="197" t="str">
        <f>VLOOKUP($D114,'Preços Unitários'!$B:$G,3,FALSE)</f>
        <v>m</v>
      </c>
      <c r="G114" s="200">
        <f>+'MC Canais'!J92</f>
        <v>16498.448</v>
      </c>
      <c r="H114" s="200">
        <f>VLOOKUP($D114,'Preços Unitários'!$B:$G,6,FALSE)</f>
        <v>39.635428000000005</v>
      </c>
      <c r="I114" s="201">
        <f t="shared" si="17"/>
        <v>653923.04781574407</v>
      </c>
      <c r="J114" s="299"/>
    </row>
    <row r="115" spans="2:10" x14ac:dyDescent="0.3">
      <c r="B115" s="197" t="s">
        <v>14542</v>
      </c>
      <c r="C115" s="197" t="s">
        <v>12</v>
      </c>
      <c r="D115" s="198" t="s">
        <v>13209</v>
      </c>
      <c r="E115" s="199" t="s">
        <v>13208</v>
      </c>
      <c r="F115" s="197" t="s">
        <v>195</v>
      </c>
      <c r="G115" s="200">
        <f>+'MC Canais'!J93</f>
        <v>8584</v>
      </c>
      <c r="H115" s="200">
        <f>+'Composições de Preços'!$F$130</f>
        <v>37.70076957596789</v>
      </c>
      <c r="I115" s="201">
        <f t="shared" si="17"/>
        <v>323623.40604010836</v>
      </c>
      <c r="J115" s="299"/>
    </row>
    <row r="116" spans="2:10" ht="28.8" x14ac:dyDescent="0.3">
      <c r="B116" s="197" t="s">
        <v>14575</v>
      </c>
      <c r="C116" s="197" t="s">
        <v>13039</v>
      </c>
      <c r="D116" s="198" t="s">
        <v>9446</v>
      </c>
      <c r="E116" s="199" t="str">
        <f>VLOOKUP($D116,'Preços Unitários'!$B:$G,2,FALSE)</f>
        <v>Revestimento vegetal com grama em mudas em superfícies inclinadas</v>
      </c>
      <c r="F116" s="197" t="str">
        <f>VLOOKUP($D116,'Preços Unitários'!$B:$G,3,FALSE)</f>
        <v>m²</v>
      </c>
      <c r="G116" s="200">
        <f>+'MC Canais'!J94</f>
        <v>51504</v>
      </c>
      <c r="H116" s="200">
        <f>VLOOKUP($D116,'Preços Unitários'!$B:$G,6,FALSE)</f>
        <v>9.984019</v>
      </c>
      <c r="I116" s="201">
        <f t="shared" si="17"/>
        <v>514216.91457600001</v>
      </c>
      <c r="J116" s="299"/>
    </row>
    <row r="117" spans="2:10" x14ac:dyDescent="0.3">
      <c r="B117" s="202" t="s">
        <v>13455</v>
      </c>
      <c r="C117" s="202" t="s">
        <v>13</v>
      </c>
      <c r="D117" s="203" t="s">
        <v>13</v>
      </c>
      <c r="E117" s="204" t="s">
        <v>13222</v>
      </c>
      <c r="F117" s="202"/>
      <c r="G117" s="200">
        <f>+'MC Canais'!J95</f>
        <v>0</v>
      </c>
      <c r="H117" s="205"/>
      <c r="I117" s="205"/>
      <c r="J117" s="299"/>
    </row>
    <row r="118" spans="2:10" x14ac:dyDescent="0.3">
      <c r="B118" s="197" t="s">
        <v>13456</v>
      </c>
      <c r="C118" s="197" t="s">
        <v>13039</v>
      </c>
      <c r="D118" s="198" t="s">
        <v>9806</v>
      </c>
      <c r="E118" s="199" t="str">
        <f>VLOOKUP($D118,'Preços Unitários'!$B:$G,2,FALSE)</f>
        <v>Escavação mecânica de vala em material de 1ª categoria</v>
      </c>
      <c r="F118" s="197" t="str">
        <f>VLOOKUP($D118,'Preços Unitários'!$B:$G,3,FALSE)</f>
        <v>m³</v>
      </c>
      <c r="G118" s="200">
        <f>+'MC Canais'!J96</f>
        <v>3605.2799999999993</v>
      </c>
      <c r="H118" s="200">
        <f>VLOOKUP($D118,'Preços Unitários'!$B:$G,6,FALSE)</f>
        <v>8.7313189999999992</v>
      </c>
      <c r="I118" s="201">
        <f t="shared" ref="I118:I124" si="18">+G118*H118</f>
        <v>31478.849764319992</v>
      </c>
      <c r="J118" s="299"/>
    </row>
    <row r="119" spans="2:10" x14ac:dyDescent="0.3">
      <c r="B119" s="197" t="s">
        <v>13457</v>
      </c>
      <c r="C119" s="197" t="s">
        <v>13039</v>
      </c>
      <c r="D119" s="198" t="s">
        <v>9830</v>
      </c>
      <c r="E119" s="199" t="str">
        <f>VLOOKUP($D119,'Preços Unitários'!$B:$G,2,FALSE)</f>
        <v>Reaterro e compactação com soquete vibratório</v>
      </c>
      <c r="F119" s="197" t="str">
        <f>VLOOKUP($D119,'Preços Unitários'!$B:$G,3,FALSE)</f>
        <v>m³</v>
      </c>
      <c r="G119" s="200">
        <f>+'MC Canais'!J97</f>
        <v>2060.1599999999994</v>
      </c>
      <c r="H119" s="200">
        <f>VLOOKUP($D119,'Preços Unitários'!$B:$G,6,FALSE)</f>
        <v>22.611235000000001</v>
      </c>
      <c r="I119" s="201">
        <f t="shared" si="18"/>
        <v>46582.761897599987</v>
      </c>
      <c r="J119" s="299"/>
    </row>
    <row r="120" spans="2:10" ht="28.8" x14ac:dyDescent="0.3">
      <c r="B120" s="197" t="s">
        <v>13458</v>
      </c>
      <c r="C120" s="197" t="s">
        <v>13039</v>
      </c>
      <c r="D120" s="198" t="s">
        <v>11947</v>
      </c>
      <c r="E120" s="199" t="str">
        <f>VLOOKUP($D120,'Preços Unitários'!$B:$G,2,FALSE)</f>
        <v>Transporte com caminhão basculante de 14 m³ - rodovia em leito natural</v>
      </c>
      <c r="F120" s="197" t="str">
        <f>VLOOKUP($D120,'Preços Unitários'!$B:$G,3,FALSE)</f>
        <v>tkm</v>
      </c>
      <c r="G120" s="200">
        <f>+'MC Canais'!J98</f>
        <v>10815.839999999998</v>
      </c>
      <c r="H120" s="200">
        <f>VLOOKUP($D120,'Preços Unitários'!$B:$G,6,FALSE)</f>
        <v>1.165011</v>
      </c>
      <c r="I120" s="201">
        <f t="shared" si="18"/>
        <v>12600.572574239999</v>
      </c>
      <c r="J120" s="299"/>
    </row>
    <row r="121" spans="2:10" ht="28.8" x14ac:dyDescent="0.3">
      <c r="B121" s="197" t="s">
        <v>13459</v>
      </c>
      <c r="C121" s="197" t="s">
        <v>12</v>
      </c>
      <c r="D121" s="198" t="s">
        <v>13224</v>
      </c>
      <c r="E121" s="199" t="s">
        <v>13223</v>
      </c>
      <c r="F121" s="197" t="s">
        <v>2904</v>
      </c>
      <c r="G121" s="200">
        <f>+'MC Canais'!J99</f>
        <v>10300.799999999999</v>
      </c>
      <c r="H121" s="200">
        <f>+'Composições de Preços'!$F$173</f>
        <v>26.052132569499999</v>
      </c>
      <c r="I121" s="201">
        <f t="shared" si="18"/>
        <v>268357.80717190559</v>
      </c>
      <c r="J121" s="299"/>
    </row>
    <row r="122" spans="2:10" ht="28.8" x14ac:dyDescent="0.3">
      <c r="B122" s="197" t="s">
        <v>13460</v>
      </c>
      <c r="C122" s="197" t="s">
        <v>13039</v>
      </c>
      <c r="D122" s="198" t="s">
        <v>6908</v>
      </c>
      <c r="E122" s="199" t="str">
        <f>VLOOKUP($D122,'Preços Unitários'!$B:$G,2,FALSE)</f>
        <v>Tubo de concreto perfurado produzido na obra para drenagem - D = 0,40 m - fornecimento e instalação</v>
      </c>
      <c r="F122" s="197" t="str">
        <f>VLOOKUP($D122,'Preços Unitários'!$B:$G,3,FALSE)</f>
        <v>m</v>
      </c>
      <c r="G122" s="200">
        <f>+'MC Canais'!J100</f>
        <v>4292</v>
      </c>
      <c r="H122" s="200">
        <f>VLOOKUP($D122,'Preços Unitários'!$B:$G,6,FALSE)</f>
        <v>116.764167</v>
      </c>
      <c r="I122" s="201">
        <f t="shared" si="18"/>
        <v>501151.804764</v>
      </c>
      <c r="J122" s="299"/>
    </row>
    <row r="123" spans="2:10" ht="28.8" x14ac:dyDescent="0.3">
      <c r="B123" s="197" t="s">
        <v>13461</v>
      </c>
      <c r="C123" s="197" t="s">
        <v>13039</v>
      </c>
      <c r="D123" s="198" t="s">
        <v>6438</v>
      </c>
      <c r="E123" s="199" t="str">
        <f>VLOOKUP($D123,'Preços Unitários'!$B:$G,2,FALSE)</f>
        <v>Lastro de brita comercial compactado com soquete vibratório - espalhamento manual</v>
      </c>
      <c r="F123" s="197" t="str">
        <f>VLOOKUP($D123,'Preços Unitários'!$B:$G,3,FALSE)</f>
        <v>m³</v>
      </c>
      <c r="G123" s="200">
        <f>+'MC Canais'!J101</f>
        <v>1006.0447999999998</v>
      </c>
      <c r="H123" s="200">
        <f>VLOOKUP($D123,'Preços Unitários'!$B:$G,6,FALSE)</f>
        <v>239.34086200000002</v>
      </c>
      <c r="I123" s="201">
        <f t="shared" si="18"/>
        <v>240787.62964261757</v>
      </c>
      <c r="J123" s="299"/>
    </row>
    <row r="124" spans="2:10" x14ac:dyDescent="0.3">
      <c r="B124" s="197" t="s">
        <v>13462</v>
      </c>
      <c r="C124" s="197" t="s">
        <v>13039</v>
      </c>
      <c r="D124" s="206" t="s">
        <v>6430</v>
      </c>
      <c r="E124" s="199" t="str">
        <f>VLOOKUP($D124,'Preços Unitários'!$B:$G,2,FALSE)</f>
        <v>Lastro de areia comercial - espalhamento manual</v>
      </c>
      <c r="F124" s="197" t="str">
        <f>VLOOKUP($D124,'Preços Unitários'!$B:$G,3,FALSE)</f>
        <v>m³</v>
      </c>
      <c r="G124" s="200">
        <f>+'MC Canais'!J102</f>
        <v>515.04</v>
      </c>
      <c r="H124" s="200">
        <f>VLOOKUP($D124,'Preços Unitários'!$B:$G,6,FALSE)</f>
        <v>198.06439700000001</v>
      </c>
      <c r="I124" s="201">
        <f t="shared" si="18"/>
        <v>102011.08703087999</v>
      </c>
      <c r="J124" s="299"/>
    </row>
    <row r="125" spans="2:10" s="243" customFormat="1" ht="28.8" x14ac:dyDescent="0.3">
      <c r="B125" s="197" t="s">
        <v>13463</v>
      </c>
      <c r="C125" s="197" t="s">
        <v>13</v>
      </c>
      <c r="D125" s="198" t="s">
        <v>13</v>
      </c>
      <c r="E125" s="207" t="s">
        <v>13228</v>
      </c>
      <c r="F125" s="197"/>
      <c r="G125" s="200">
        <f>+'MC Canais'!J103</f>
        <v>0</v>
      </c>
      <c r="H125" s="201"/>
      <c r="I125" s="201"/>
      <c r="J125" s="299"/>
    </row>
    <row r="126" spans="2:10" ht="28.8" x14ac:dyDescent="0.3">
      <c r="B126" s="197" t="s">
        <v>13464</v>
      </c>
      <c r="C126" s="197" t="s">
        <v>13039</v>
      </c>
      <c r="D126" s="198" t="s">
        <v>6964</v>
      </c>
      <c r="E126" s="199" t="str">
        <f>VLOOKUP($D126,'Preços Unitários'!$B:$G,2,FALSE)</f>
        <v>Valeta de proteção de cortes com revestimento vegetal - VPCG 120-30 - escavação mecânica</v>
      </c>
      <c r="F126" s="197" t="str">
        <f>VLOOKUP($D126,'Preços Unitários'!$B:$G,3,FALSE)</f>
        <v>m</v>
      </c>
      <c r="G126" s="200">
        <f>+'MC Canais'!J104</f>
        <v>8584</v>
      </c>
      <c r="H126" s="200">
        <f>VLOOKUP($D126,'Preços Unitários'!$B:$G,6,FALSE)</f>
        <v>51.961995999999999</v>
      </c>
      <c r="I126" s="201">
        <f t="shared" ref="I126:I129" si="19">+G126*H126</f>
        <v>446041.77366399998</v>
      </c>
      <c r="J126" s="299"/>
    </row>
    <row r="127" spans="2:10" ht="28.8" x14ac:dyDescent="0.3">
      <c r="B127" s="197" t="s">
        <v>13465</v>
      </c>
      <c r="C127" s="197" t="s">
        <v>13039</v>
      </c>
      <c r="D127" s="198" t="s">
        <v>6744</v>
      </c>
      <c r="E127" s="199" t="str">
        <f>VLOOKUP($D127,'Preços Unitários'!$B:$G,2,FALSE)</f>
        <v>Sarjeta triangular de grama - STG 125-25 - escavação mecânica</v>
      </c>
      <c r="F127" s="197" t="str">
        <f>VLOOKUP($D127,'Preços Unitários'!$B:$G,3,FALSE)</f>
        <v>m</v>
      </c>
      <c r="G127" s="200">
        <f>+'MC Canais'!J105</f>
        <v>8584</v>
      </c>
      <c r="H127" s="200">
        <f>VLOOKUP($D127,'Preços Unitários'!$B:$G,6,FALSE)</f>
        <v>29.776679000000001</v>
      </c>
      <c r="I127" s="201">
        <f t="shared" si="19"/>
        <v>255603.01253600002</v>
      </c>
      <c r="J127" s="299"/>
    </row>
    <row r="128" spans="2:10" ht="28.8" x14ac:dyDescent="0.3">
      <c r="B128" s="197" t="s">
        <v>13466</v>
      </c>
      <c r="C128" s="197" t="s">
        <v>13039</v>
      </c>
      <c r="D128" s="198" t="s">
        <v>2740</v>
      </c>
      <c r="E128" s="199" t="str">
        <f>VLOOKUP($D128,'Preços Unitários'!$B:$G,2,FALSE)</f>
        <v>Corpo de BSTC D = 0,80 m PA1 - areia, brita e pedra de mão comerciais</v>
      </c>
      <c r="F128" s="197" t="str">
        <f>VLOOKUP($D128,'Preços Unitários'!$B:$G,3,FALSE)</f>
        <v>m</v>
      </c>
      <c r="G128" s="200">
        <f>+'MC Canais'!J106</f>
        <v>0</v>
      </c>
      <c r="H128" s="200">
        <f>VLOOKUP($D128,'Preços Unitários'!$B:$G,6,FALSE)</f>
        <v>799.67357200000004</v>
      </c>
      <c r="I128" s="201">
        <f t="shared" si="19"/>
        <v>0</v>
      </c>
      <c r="J128" s="299"/>
    </row>
    <row r="129" spans="1:10" ht="28.8" x14ac:dyDescent="0.3">
      <c r="B129" s="197" t="s">
        <v>13467</v>
      </c>
      <c r="C129" s="197" t="s">
        <v>13039</v>
      </c>
      <c r="D129" s="208" t="s">
        <v>2172</v>
      </c>
      <c r="E129" s="199" t="str">
        <f>VLOOKUP($D129,'Preços Unitários'!$B:$G,2,FALSE)</f>
        <v>Boca de BSTC D = 0,80 m - esconsidade 0° - areia e brita comerciais - alas retas</v>
      </c>
      <c r="F129" s="197" t="str">
        <f>VLOOKUP($D129,'Preços Unitários'!$B:$G,3,FALSE)</f>
        <v>un</v>
      </c>
      <c r="G129" s="200">
        <f>+'MC Canais'!J107</f>
        <v>0</v>
      </c>
      <c r="H129" s="200">
        <f>VLOOKUP($D129,'Preços Unitários'!$B:$G,6,FALSE)</f>
        <v>1606.687966</v>
      </c>
      <c r="I129" s="201">
        <f t="shared" si="19"/>
        <v>0</v>
      </c>
      <c r="J129" s="291"/>
    </row>
    <row r="130" spans="1:10" s="243" customFormat="1" x14ac:dyDescent="0.3">
      <c r="B130" s="197" t="s">
        <v>13468</v>
      </c>
      <c r="C130" s="197" t="s">
        <v>13</v>
      </c>
      <c r="D130" s="198" t="s">
        <v>13</v>
      </c>
      <c r="E130" s="207" t="s">
        <v>13230</v>
      </c>
      <c r="F130" s="197"/>
      <c r="G130" s="200">
        <f>+'MC Canais'!J108</f>
        <v>0</v>
      </c>
      <c r="H130" s="201"/>
      <c r="I130" s="201"/>
      <c r="J130" s="297"/>
    </row>
    <row r="131" spans="1:10" ht="28.8" x14ac:dyDescent="0.3">
      <c r="B131" s="197" t="s">
        <v>13469</v>
      </c>
      <c r="C131" s="197" t="s">
        <v>13039</v>
      </c>
      <c r="D131" s="198" t="s">
        <v>11088</v>
      </c>
      <c r="E131" s="199" t="str">
        <f>VLOOKUP($D131,'Preços Unitários'!$B:$G,2,FALSE)</f>
        <v>Escavação mecânica com retroescavadeira em material de 1ª categoria</v>
      </c>
      <c r="F131" s="197" t="str">
        <f>VLOOKUP($D131,'Preços Unitários'!$B:$G,3,FALSE)</f>
        <v>m³</v>
      </c>
      <c r="G131" s="200">
        <f>+'MC Canais'!J109</f>
        <v>4506.5999999999995</v>
      </c>
      <c r="H131" s="200">
        <f>VLOOKUP($D131,'Preços Unitários'!$B:$G,6,FALSE)</f>
        <v>8.7313189999999992</v>
      </c>
      <c r="I131" s="201">
        <f t="shared" ref="I131:I135" si="20">+G131*H131</f>
        <v>39348.56220539999</v>
      </c>
      <c r="J131" s="299"/>
    </row>
    <row r="132" spans="1:10" x14ac:dyDescent="0.3">
      <c r="B132" s="197" t="s">
        <v>13470</v>
      </c>
      <c r="C132" s="197" t="s">
        <v>13039</v>
      </c>
      <c r="D132" s="198" t="s">
        <v>11046</v>
      </c>
      <c r="E132" s="199" t="str">
        <f>VLOOKUP($D132,'Preços Unitários'!$B:$G,2,FALSE)</f>
        <v>Compactação de aterros a 100% do Proctor normal</v>
      </c>
      <c r="F132" s="197" t="str">
        <f>VLOOKUP($D132,'Preços Unitários'!$B:$G,3,FALSE)</f>
        <v>m³</v>
      </c>
      <c r="G132" s="200">
        <f>+'MC Canais'!J110</f>
        <v>3004.4</v>
      </c>
      <c r="H132" s="200">
        <f>VLOOKUP($D132,'Preços Unitários'!$B:$G,6,FALSE)</f>
        <v>7.1028090000000006</v>
      </c>
      <c r="I132" s="201">
        <f t="shared" si="20"/>
        <v>21339.679359600002</v>
      </c>
      <c r="J132" s="299"/>
    </row>
    <row r="133" spans="1:10" ht="28.8" x14ac:dyDescent="0.3">
      <c r="B133" s="197" t="s">
        <v>13471</v>
      </c>
      <c r="C133" s="197" t="s">
        <v>13039</v>
      </c>
      <c r="D133" s="198" t="s">
        <v>11947</v>
      </c>
      <c r="E133" s="199" t="str">
        <f>VLOOKUP($D133,'Preços Unitários'!$B:$G,2,FALSE)</f>
        <v>Transporte com caminhão basculante de 14 m³ - rodovia em leito natural</v>
      </c>
      <c r="F133" s="197" t="str">
        <f>VLOOKUP($D133,'Preços Unitários'!$B:$G,3,FALSE)</f>
        <v>tkm</v>
      </c>
      <c r="G133" s="200">
        <f>+'MC Canais'!J111</f>
        <v>1502.1999999999994</v>
      </c>
      <c r="H133" s="200">
        <f>VLOOKUP($D133,'Preços Unitários'!$B:$G,6,FALSE)</f>
        <v>1.165011</v>
      </c>
      <c r="I133" s="201">
        <f t="shared" si="20"/>
        <v>1750.0795241999992</v>
      </c>
      <c r="J133" s="299"/>
    </row>
    <row r="134" spans="1:10" x14ac:dyDescent="0.3">
      <c r="B134" s="197" t="s">
        <v>13472</v>
      </c>
      <c r="C134" s="197" t="s">
        <v>13039</v>
      </c>
      <c r="D134" s="198" t="s">
        <v>9440</v>
      </c>
      <c r="E134" s="199" t="str">
        <f>VLOOKUP($D134,'Preços Unitários'!$B:$G,2,FALSE)</f>
        <v>Regularização de superfície com motoniveladora</v>
      </c>
      <c r="F134" s="197" t="str">
        <f>VLOOKUP($D134,'Preços Unitários'!$B:$G,3,FALSE)</f>
        <v>m²</v>
      </c>
      <c r="G134" s="200">
        <f>+'MC Canais'!J112</f>
        <v>30044</v>
      </c>
      <c r="H134" s="200">
        <f>VLOOKUP($D134,'Preços Unitários'!$B:$G,6,FALSE)</f>
        <v>0.100216</v>
      </c>
      <c r="I134" s="201">
        <f t="shared" si="20"/>
        <v>3010.8895039999998</v>
      </c>
      <c r="J134" s="299"/>
    </row>
    <row r="135" spans="1:10" x14ac:dyDescent="0.3">
      <c r="B135" s="197" t="s">
        <v>13473</v>
      </c>
      <c r="C135" s="197" t="s">
        <v>12</v>
      </c>
      <c r="D135" s="198" t="s">
        <v>13232</v>
      </c>
      <c r="E135" s="199" t="s">
        <v>13231</v>
      </c>
      <c r="F135" s="197" t="s">
        <v>427</v>
      </c>
      <c r="G135" s="200">
        <f>+'MC Canais'!J113</f>
        <v>2253.2999999999997</v>
      </c>
      <c r="H135" s="200">
        <f>+'Composições de Preços'!$F$216</f>
        <v>214.40019935426301</v>
      </c>
      <c r="I135" s="201">
        <f t="shared" si="20"/>
        <v>483107.9692049608</v>
      </c>
      <c r="J135" s="299"/>
    </row>
    <row r="136" spans="1:10" s="243" customFormat="1" x14ac:dyDescent="0.3">
      <c r="B136" s="197" t="s">
        <v>13474</v>
      </c>
      <c r="C136" s="197" t="s">
        <v>13</v>
      </c>
      <c r="D136" s="198" t="s">
        <v>13</v>
      </c>
      <c r="E136" s="207" t="s">
        <v>13386</v>
      </c>
      <c r="F136" s="197"/>
      <c r="G136" s="200">
        <f>+'MC Canais'!J114</f>
        <v>0</v>
      </c>
      <c r="H136" s="201"/>
      <c r="I136" s="201"/>
      <c r="J136" s="299"/>
    </row>
    <row r="137" spans="1:10" ht="28.8" x14ac:dyDescent="0.3">
      <c r="B137" s="197" t="s">
        <v>13475</v>
      </c>
      <c r="C137" s="197" t="s">
        <v>13039</v>
      </c>
      <c r="D137" s="198" t="s">
        <v>8625</v>
      </c>
      <c r="E137" s="199" t="str">
        <f>VLOOKUP($D137,'Preços Unitários'!$B:$G,2,FALSE)</f>
        <v>Cerca com 4 fios de arame liso galvanizado e mourão de madeira a cada 2,5 m e esticador a cada 50 m</v>
      </c>
      <c r="F137" s="197" t="str">
        <f>VLOOKUP($D137,'Preços Unitários'!$B:$G,3,FALSE)</f>
        <v>m</v>
      </c>
      <c r="G137" s="200">
        <f>+'MC Canais'!J115</f>
        <v>8584</v>
      </c>
      <c r="H137" s="200">
        <f>VLOOKUP($D137,'Preços Unitários'!$B:$G,6,FALSE)</f>
        <v>27.146009000000003</v>
      </c>
      <c r="I137" s="201">
        <f t="shared" ref="I137" si="21">+G137*H137</f>
        <v>233021.34125600001</v>
      </c>
      <c r="J137" s="299"/>
    </row>
    <row r="138" spans="1:10" x14ac:dyDescent="0.3">
      <c r="A138" s="42" t="s">
        <v>14477</v>
      </c>
      <c r="B138" s="209" t="s">
        <v>13055</v>
      </c>
      <c r="C138" s="209" t="s">
        <v>13</v>
      </c>
      <c r="D138" s="210" t="s">
        <v>13</v>
      </c>
      <c r="E138" s="211" t="s">
        <v>13067</v>
      </c>
      <c r="F138" s="209" t="s">
        <v>13</v>
      </c>
      <c r="G138" s="212">
        <v>0</v>
      </c>
      <c r="H138" s="212">
        <v>0</v>
      </c>
      <c r="I138" s="212">
        <f>SUM(I139:I174)</f>
        <v>12551586.201678047</v>
      </c>
      <c r="J138" s="284" t="s">
        <v>14477</v>
      </c>
    </row>
    <row r="139" spans="1:10" x14ac:dyDescent="0.3">
      <c r="B139" s="202" t="s">
        <v>13476</v>
      </c>
      <c r="C139" s="202" t="s">
        <v>13</v>
      </c>
      <c r="D139" s="203" t="s">
        <v>13</v>
      </c>
      <c r="E139" s="204" t="s">
        <v>13203</v>
      </c>
      <c r="F139" s="202"/>
      <c r="G139" s="205"/>
      <c r="H139" s="205"/>
      <c r="I139" s="205"/>
      <c r="J139" s="299"/>
    </row>
    <row r="140" spans="1:10" ht="28.8" x14ac:dyDescent="0.3">
      <c r="B140" s="197" t="s">
        <v>13477</v>
      </c>
      <c r="C140" s="197" t="s">
        <v>13039</v>
      </c>
      <c r="D140" s="198" t="s">
        <v>11052</v>
      </c>
      <c r="E140" s="199" t="str">
        <f>VLOOKUP($D140,'Preços Unitários'!$B:$G,2,FALSE)</f>
        <v>Desmatamento, destocamento e limpeza de área com árvores de diâmetro até 0,15 m</v>
      </c>
      <c r="F140" s="197" t="str">
        <f>VLOOKUP($D140,'Preços Unitários'!$B:$G,3,FALSE)</f>
        <v>m²</v>
      </c>
      <c r="G140" s="200">
        <f>+'MC Canais'!J119</f>
        <v>167680</v>
      </c>
      <c r="H140" s="200">
        <f>VLOOKUP($D140,'Preços Unitários'!$B:$G,6,FALSE)</f>
        <v>0.87688999999999995</v>
      </c>
      <c r="I140" s="201">
        <f>+G140*H140</f>
        <v>147036.91519999999</v>
      </c>
      <c r="J140" s="299"/>
    </row>
    <row r="141" spans="1:10" ht="43.2" x14ac:dyDescent="0.3">
      <c r="B141" s="197" t="s">
        <v>13478</v>
      </c>
      <c r="C141" s="197" t="s">
        <v>13039</v>
      </c>
      <c r="D141" s="198" t="s">
        <v>11092</v>
      </c>
      <c r="E141" s="199" t="str">
        <f>VLOOKUP($D141,'Preços Unitários'!$B:$G,2,FALSE)</f>
        <v>Escavação, carga e transporte de material de 1ª categoria - DMT de 1.000 a 1.200 m - caminho de serviço em leito natural - com escavadeira e caminhão basculante de 14 m³</v>
      </c>
      <c r="F141" s="197" t="str">
        <f>VLOOKUP($D141,'Preços Unitários'!$B:$G,3,FALSE)</f>
        <v>m³</v>
      </c>
      <c r="G141" s="200">
        <f>+'MC Canais'!J120</f>
        <v>196281.71</v>
      </c>
      <c r="H141" s="200">
        <f>VLOOKUP($D141,'Preços Unitários'!$B:$G,6,FALSE)</f>
        <v>10.673003999999999</v>
      </c>
      <c r="I141" s="201">
        <f t="shared" ref="I141:I153" si="22">+G141*H141</f>
        <v>2094915.4759568397</v>
      </c>
      <c r="J141" s="299"/>
    </row>
    <row r="142" spans="1:10" x14ac:dyDescent="0.3">
      <c r="B142" s="197" t="s">
        <v>13479</v>
      </c>
      <c r="C142" s="197" t="s">
        <v>13039</v>
      </c>
      <c r="D142" s="198" t="s">
        <v>11046</v>
      </c>
      <c r="E142" s="213" t="str">
        <f>VLOOKUP($D142,'Preços Unitários'!$B:$G,2,FALSE)</f>
        <v>Compactação de aterros a 100% do Proctor normal</v>
      </c>
      <c r="F142" s="197" t="str">
        <f>VLOOKUP($D142,'Preços Unitários'!$B:$G,3,FALSE)</f>
        <v>m³</v>
      </c>
      <c r="G142" s="200">
        <f>+'MC Canais'!J121</f>
        <v>825.37</v>
      </c>
      <c r="H142" s="200">
        <f>VLOOKUP($D142,'Preços Unitários'!$B:$G,6,FALSE)</f>
        <v>7.1028090000000006</v>
      </c>
      <c r="I142" s="201">
        <f t="shared" si="22"/>
        <v>5862.4454643300005</v>
      </c>
      <c r="J142" s="297"/>
    </row>
    <row r="143" spans="1:10" ht="28.8" x14ac:dyDescent="0.3">
      <c r="B143" s="197" t="s">
        <v>13480</v>
      </c>
      <c r="C143" s="197" t="s">
        <v>13039</v>
      </c>
      <c r="D143" s="198" t="s">
        <v>11947</v>
      </c>
      <c r="E143" s="199" t="str">
        <f>VLOOKUP($D143,'Preços Unitários'!$B:$G,2,FALSE)</f>
        <v>Transporte com caminhão basculante de 14 m³ - rodovia em leito natural</v>
      </c>
      <c r="F143" s="197" t="str">
        <f>VLOOKUP($D143,'Preços Unitários'!$B:$G,3,FALSE)</f>
        <v>tkm</v>
      </c>
      <c r="G143" s="200">
        <f>+'MC Canais'!J122</f>
        <v>1368194.38</v>
      </c>
      <c r="H143" s="200">
        <f>VLOOKUP($D143,'Preços Unitários'!$B:$G,6,FALSE)</f>
        <v>1.165011</v>
      </c>
      <c r="I143" s="201">
        <f t="shared" si="22"/>
        <v>1593961.5028381799</v>
      </c>
      <c r="J143" s="299"/>
    </row>
    <row r="144" spans="1:10" x14ac:dyDescent="0.3">
      <c r="B144" s="197" t="s">
        <v>13481</v>
      </c>
      <c r="C144" s="197" t="s">
        <v>13039</v>
      </c>
      <c r="D144" s="198" t="s">
        <v>9440</v>
      </c>
      <c r="E144" s="199" t="str">
        <f>VLOOKUP($D144,'Preços Unitários'!$B:$G,2,FALSE)</f>
        <v>Regularização de superfície com motoniveladora</v>
      </c>
      <c r="F144" s="197" t="str">
        <f>VLOOKUP($D144,'Preços Unitários'!$B:$G,3,FALSE)</f>
        <v>m²</v>
      </c>
      <c r="G144" s="200">
        <f>+'MC Canais'!J123</f>
        <v>4192</v>
      </c>
      <c r="H144" s="200">
        <f>VLOOKUP($D144,'Preços Unitários'!$B:$G,6,FALSE)</f>
        <v>0.100216</v>
      </c>
      <c r="I144" s="201">
        <f>+G144*H144</f>
        <v>420.10547200000002</v>
      </c>
      <c r="J144" s="299"/>
    </row>
    <row r="145" spans="2:10" ht="28.8" x14ac:dyDescent="0.3">
      <c r="B145" s="197" t="s">
        <v>13482</v>
      </c>
      <c r="C145" s="197" t="s">
        <v>12</v>
      </c>
      <c r="D145" s="198" t="s">
        <v>13205</v>
      </c>
      <c r="E145" s="199" t="s">
        <v>13204</v>
      </c>
      <c r="F145" s="197" t="s">
        <v>2904</v>
      </c>
      <c r="G145" s="200">
        <f>+'MC Canais'!J124</f>
        <v>6131.08</v>
      </c>
      <c r="H145" s="200">
        <f>+'Composições de Preços'!$F$87</f>
        <v>59.387948601153852</v>
      </c>
      <c r="I145" s="201">
        <f t="shared" si="22"/>
        <v>364112.26390956237</v>
      </c>
      <c r="J145" s="299"/>
    </row>
    <row r="146" spans="2:10" ht="28.8" x14ac:dyDescent="0.3">
      <c r="B146" s="197" t="s">
        <v>13483</v>
      </c>
      <c r="C146" s="197" t="s">
        <v>12</v>
      </c>
      <c r="D146" s="198" t="s">
        <v>14504</v>
      </c>
      <c r="E146" s="199" t="s">
        <v>14497</v>
      </c>
      <c r="F146" s="197" t="s">
        <v>427</v>
      </c>
      <c r="G146" s="200">
        <f>+'MC Canais'!J125</f>
        <v>4904.8</v>
      </c>
      <c r="H146" s="200">
        <f>+'Composições de Preços'!$F$446</f>
        <v>99.894988108799993</v>
      </c>
      <c r="I146" s="201">
        <f t="shared" si="22"/>
        <v>489964.9376760422</v>
      </c>
      <c r="J146" s="299"/>
    </row>
    <row r="147" spans="2:10" ht="28.8" x14ac:dyDescent="0.3">
      <c r="B147" s="197" t="s">
        <v>13484</v>
      </c>
      <c r="C147" s="197" t="s">
        <v>12</v>
      </c>
      <c r="D147" s="198" t="s">
        <v>13192</v>
      </c>
      <c r="E147" s="199" t="s">
        <v>13191</v>
      </c>
      <c r="F147" s="197" t="s">
        <v>2904</v>
      </c>
      <c r="G147" s="200">
        <f>+'MC Canais'!J126</f>
        <v>24524</v>
      </c>
      <c r="H147" s="200">
        <f>+'Composições de Preços'!$F$44</f>
        <v>73.117919302000004</v>
      </c>
      <c r="I147" s="201">
        <f t="shared" si="22"/>
        <v>1793143.852962248</v>
      </c>
      <c r="J147" s="299"/>
    </row>
    <row r="148" spans="2:10" ht="28.8" x14ac:dyDescent="0.3">
      <c r="B148" s="197" t="s">
        <v>13485</v>
      </c>
      <c r="C148" s="197" t="s">
        <v>12</v>
      </c>
      <c r="D148" s="198" t="s">
        <v>14506</v>
      </c>
      <c r="E148" s="199" t="s">
        <v>14505</v>
      </c>
      <c r="F148" s="197" t="s">
        <v>427</v>
      </c>
      <c r="G148" s="200">
        <f>+'MC Canais'!J127</f>
        <v>8384</v>
      </c>
      <c r="H148" s="200">
        <f>+'Composições de Preços'!$F$492</f>
        <v>107.93859485200001</v>
      </c>
      <c r="I148" s="201">
        <f t="shared" si="22"/>
        <v>904957.17923916806</v>
      </c>
      <c r="J148" s="299"/>
    </row>
    <row r="149" spans="2:10" ht="28.8" x14ac:dyDescent="0.3">
      <c r="B149" s="197" t="s">
        <v>13486</v>
      </c>
      <c r="C149" s="197" t="s">
        <v>13039</v>
      </c>
      <c r="D149" s="198" t="s">
        <v>3149</v>
      </c>
      <c r="E149" s="199" t="str">
        <f>VLOOKUP($D149,'Preços Unitários'!$B:$G,2,FALSE)</f>
        <v>Concreto para bombeamento fck = 30 MPa - confecção em central dosadora de 30 m³/h - areia e brita comerciais</v>
      </c>
      <c r="F149" s="197" t="str">
        <f>VLOOKUP($D149,'Preços Unitários'!$B:$G,3,FALSE)</f>
        <v>m³</v>
      </c>
      <c r="G149" s="200">
        <f>+'MC Canais'!J128</f>
        <v>1716.68</v>
      </c>
      <c r="H149" s="200">
        <f>VLOOKUP($D149,'Preços Unitários'!$B:$G,6,FALSE)</f>
        <v>575.92882499999996</v>
      </c>
      <c r="I149" s="201">
        <f t="shared" si="22"/>
        <v>988685.49530099996</v>
      </c>
      <c r="J149" s="299"/>
    </row>
    <row r="150" spans="2:10" ht="43.2" x14ac:dyDescent="0.3">
      <c r="B150" s="197" t="s">
        <v>13487</v>
      </c>
      <c r="C150" s="197" t="s">
        <v>13039</v>
      </c>
      <c r="D150" s="198" t="s">
        <v>3201</v>
      </c>
      <c r="E150" s="199" t="str">
        <f>VLOOKUP($D150,'Preços Unitários'!$B:$G,2,FALSE)</f>
        <v>Lançamento mecânico de concreto com bomba rebocável com capacidade de 30 m³/h - confecção em central dosadora de 30 m³/h</v>
      </c>
      <c r="F150" s="197" t="str">
        <f>VLOOKUP($D150,'Preços Unitários'!$B:$G,3,FALSE)</f>
        <v>m³</v>
      </c>
      <c r="G150" s="200">
        <f>+'MC Canais'!J129</f>
        <v>1716.68</v>
      </c>
      <c r="H150" s="200">
        <f>VLOOKUP($D150,'Preços Unitários'!$B:$G,6,FALSE)</f>
        <v>86.285976000000005</v>
      </c>
      <c r="I150" s="201">
        <f t="shared" si="22"/>
        <v>148125.40927968003</v>
      </c>
      <c r="J150" s="299"/>
    </row>
    <row r="151" spans="2:10" ht="28.8" x14ac:dyDescent="0.3">
      <c r="B151" s="197" t="s">
        <v>14539</v>
      </c>
      <c r="C151" s="197" t="s">
        <v>13039</v>
      </c>
      <c r="D151" s="198" t="s">
        <v>206</v>
      </c>
      <c r="E151" s="199" t="str">
        <f>VLOOKUP($D151,'Preços Unitários'!$B:$G,2,FALSE)</f>
        <v>Lábios poliméricos em junta de pavimento de concreto - L = 20 mm e H = 30 mm - confecção e assentamento</v>
      </c>
      <c r="F151" s="197" t="str">
        <f>VLOOKUP($D151,'Preços Unitários'!$B:$G,3,FALSE)</f>
        <v>m</v>
      </c>
      <c r="G151" s="200">
        <f>+'MC Canais'!J130</f>
        <v>14110.272000000001</v>
      </c>
      <c r="H151" s="200">
        <f>VLOOKUP($D151,'Preços Unitários'!$B:$G,6,FALSE)</f>
        <v>39.635428000000005</v>
      </c>
      <c r="I151" s="201">
        <f t="shared" si="22"/>
        <v>559266.66991641605</v>
      </c>
      <c r="J151" s="299"/>
    </row>
    <row r="152" spans="2:10" x14ac:dyDescent="0.3">
      <c r="B152" s="197" t="s">
        <v>14540</v>
      </c>
      <c r="C152" s="197" t="s">
        <v>12</v>
      </c>
      <c r="D152" s="198" t="s">
        <v>13209</v>
      </c>
      <c r="E152" s="199" t="s">
        <v>13208</v>
      </c>
      <c r="F152" s="197" t="s">
        <v>195</v>
      </c>
      <c r="G152" s="200">
        <f>+'MC Canais'!J131</f>
        <v>8384</v>
      </c>
      <c r="H152" s="200">
        <f>+'Composições de Preços'!$F$130</f>
        <v>37.70076957596789</v>
      </c>
      <c r="I152" s="201">
        <f t="shared" si="22"/>
        <v>316083.25212491478</v>
      </c>
      <c r="J152" s="299"/>
    </row>
    <row r="153" spans="2:10" ht="28.8" x14ac:dyDescent="0.3">
      <c r="B153" s="197" t="s">
        <v>14576</v>
      </c>
      <c r="C153" s="197" t="s">
        <v>13039</v>
      </c>
      <c r="D153" s="198" t="s">
        <v>9446</v>
      </c>
      <c r="E153" s="199" t="str">
        <f>VLOOKUP($D153,'Preços Unitários'!$B:$G,2,FALSE)</f>
        <v>Revestimento vegetal com grama em mudas em superfícies inclinadas</v>
      </c>
      <c r="F153" s="197" t="str">
        <f>VLOOKUP($D153,'Preços Unitários'!$B:$G,3,FALSE)</f>
        <v>m²</v>
      </c>
      <c r="G153" s="200">
        <f>+'MC Canais'!J132</f>
        <v>50304</v>
      </c>
      <c r="H153" s="200">
        <f>VLOOKUP($D153,'Preços Unitários'!$B:$G,6,FALSE)</f>
        <v>9.984019</v>
      </c>
      <c r="I153" s="201">
        <f t="shared" si="22"/>
        <v>502236.09177599999</v>
      </c>
      <c r="J153" s="299"/>
    </row>
    <row r="154" spans="2:10" x14ac:dyDescent="0.3">
      <c r="B154" s="202" t="s">
        <v>13488</v>
      </c>
      <c r="C154" s="202" t="s">
        <v>13</v>
      </c>
      <c r="D154" s="203" t="s">
        <v>13</v>
      </c>
      <c r="E154" s="204" t="s">
        <v>13222</v>
      </c>
      <c r="F154" s="202"/>
      <c r="G154" s="200">
        <f>+'MC Canais'!J133</f>
        <v>0</v>
      </c>
      <c r="H154" s="205"/>
      <c r="I154" s="205"/>
      <c r="J154" s="299"/>
    </row>
    <row r="155" spans="2:10" x14ac:dyDescent="0.3">
      <c r="B155" s="197" t="s">
        <v>13489</v>
      </c>
      <c r="C155" s="197" t="s">
        <v>13039</v>
      </c>
      <c r="D155" s="198" t="s">
        <v>9806</v>
      </c>
      <c r="E155" s="199" t="str">
        <f>VLOOKUP($D155,'Preços Unitários'!$B:$G,2,FALSE)</f>
        <v>Escavação mecânica de vala em material de 1ª categoria</v>
      </c>
      <c r="F155" s="197" t="str">
        <f>VLOOKUP($D155,'Preços Unitários'!$B:$G,3,FALSE)</f>
        <v>m³</v>
      </c>
      <c r="G155" s="200">
        <f>+'MC Canais'!J134</f>
        <v>3521.2799999999997</v>
      </c>
      <c r="H155" s="200">
        <f>VLOOKUP($D155,'Preços Unitários'!$B:$G,6,FALSE)</f>
        <v>8.7313189999999992</v>
      </c>
      <c r="I155" s="201">
        <f t="shared" ref="I155:I161" si="23">+G155*H155</f>
        <v>30745.418968319995</v>
      </c>
      <c r="J155" s="299"/>
    </row>
    <row r="156" spans="2:10" x14ac:dyDescent="0.3">
      <c r="B156" s="197" t="s">
        <v>13490</v>
      </c>
      <c r="C156" s="197" t="s">
        <v>13039</v>
      </c>
      <c r="D156" s="198" t="s">
        <v>9830</v>
      </c>
      <c r="E156" s="199" t="str">
        <f>VLOOKUP($D156,'Preços Unitários'!$B:$G,2,FALSE)</f>
        <v>Reaterro e compactação com soquete vibratório</v>
      </c>
      <c r="F156" s="197" t="str">
        <f>VLOOKUP($D156,'Preços Unitários'!$B:$G,3,FALSE)</f>
        <v>m³</v>
      </c>
      <c r="G156" s="200">
        <f>+'MC Canais'!J135</f>
        <v>2012.1599999999999</v>
      </c>
      <c r="H156" s="200">
        <f>VLOOKUP($D156,'Preços Unitários'!$B:$G,6,FALSE)</f>
        <v>22.611235000000001</v>
      </c>
      <c r="I156" s="201">
        <f t="shared" si="23"/>
        <v>45497.422617600001</v>
      </c>
      <c r="J156" s="299"/>
    </row>
    <row r="157" spans="2:10" ht="28.8" x14ac:dyDescent="0.3">
      <c r="B157" s="197" t="s">
        <v>13491</v>
      </c>
      <c r="C157" s="197" t="s">
        <v>13039</v>
      </c>
      <c r="D157" s="198" t="s">
        <v>11947</v>
      </c>
      <c r="E157" s="199" t="str">
        <f>VLOOKUP($D157,'Preços Unitários'!$B:$G,2,FALSE)</f>
        <v>Transporte com caminhão basculante de 14 m³ - rodovia em leito natural</v>
      </c>
      <c r="F157" s="197" t="str">
        <f>VLOOKUP($D157,'Preços Unitários'!$B:$G,3,FALSE)</f>
        <v>tkm</v>
      </c>
      <c r="G157" s="200">
        <f>+'MC Canais'!J136</f>
        <v>10563.839999999998</v>
      </c>
      <c r="H157" s="200">
        <f>VLOOKUP($D157,'Preços Unitários'!$B:$G,6,FALSE)</f>
        <v>1.165011</v>
      </c>
      <c r="I157" s="201">
        <f t="shared" si="23"/>
        <v>12306.989802239998</v>
      </c>
      <c r="J157" s="299"/>
    </row>
    <row r="158" spans="2:10" ht="28.8" x14ac:dyDescent="0.3">
      <c r="B158" s="197" t="s">
        <v>13492</v>
      </c>
      <c r="C158" s="197" t="s">
        <v>12</v>
      </c>
      <c r="D158" s="198" t="s">
        <v>13224</v>
      </c>
      <c r="E158" s="199" t="s">
        <v>13223</v>
      </c>
      <c r="F158" s="197" t="s">
        <v>2904</v>
      </c>
      <c r="G158" s="200">
        <f>+'MC Canais'!J137</f>
        <v>10060.799999999999</v>
      </c>
      <c r="H158" s="200">
        <f>+'Composições de Preços'!$F$173</f>
        <v>26.052132569499999</v>
      </c>
      <c r="I158" s="201">
        <f t="shared" si="23"/>
        <v>262105.29535522556</v>
      </c>
      <c r="J158" s="299"/>
    </row>
    <row r="159" spans="2:10" ht="28.8" x14ac:dyDescent="0.3">
      <c r="B159" s="197" t="s">
        <v>13493</v>
      </c>
      <c r="C159" s="197" t="s">
        <v>13039</v>
      </c>
      <c r="D159" s="198" t="s">
        <v>6908</v>
      </c>
      <c r="E159" s="199" t="str">
        <f>VLOOKUP($D159,'Preços Unitários'!$B:$G,2,FALSE)</f>
        <v>Tubo de concreto perfurado produzido na obra para drenagem - D = 0,40 m - fornecimento e instalação</v>
      </c>
      <c r="F159" s="197" t="str">
        <f>VLOOKUP($D159,'Preços Unitários'!$B:$G,3,FALSE)</f>
        <v>m</v>
      </c>
      <c r="G159" s="200">
        <f>+'MC Canais'!J138</f>
        <v>4192</v>
      </c>
      <c r="H159" s="200">
        <f>VLOOKUP($D159,'Preços Unitários'!$B:$G,6,FALSE)</f>
        <v>116.764167</v>
      </c>
      <c r="I159" s="201">
        <f t="shared" si="23"/>
        <v>489475.388064</v>
      </c>
      <c r="J159" s="299"/>
    </row>
    <row r="160" spans="2:10" ht="28.8" x14ac:dyDescent="0.3">
      <c r="B160" s="197" t="s">
        <v>13494</v>
      </c>
      <c r="C160" s="197" t="s">
        <v>13039</v>
      </c>
      <c r="D160" s="198" t="s">
        <v>6438</v>
      </c>
      <c r="E160" s="199" t="str">
        <f>VLOOKUP($D160,'Preços Unitários'!$B:$G,2,FALSE)</f>
        <v>Lastro de brita comercial compactado com soquete vibratório - espalhamento manual</v>
      </c>
      <c r="F160" s="197" t="str">
        <f>VLOOKUP($D160,'Preços Unitários'!$B:$G,3,FALSE)</f>
        <v>m³</v>
      </c>
      <c r="G160" s="200">
        <f>+'MC Canais'!J139</f>
        <v>982.60479999999973</v>
      </c>
      <c r="H160" s="200">
        <f>VLOOKUP($D160,'Preços Unitários'!$B:$G,6,FALSE)</f>
        <v>239.34086200000002</v>
      </c>
      <c r="I160" s="201">
        <f t="shared" si="23"/>
        <v>235177.47983733754</v>
      </c>
      <c r="J160" s="299"/>
    </row>
    <row r="161" spans="1:10" x14ac:dyDescent="0.3">
      <c r="B161" s="197" t="s">
        <v>13495</v>
      </c>
      <c r="C161" s="197" t="s">
        <v>13039</v>
      </c>
      <c r="D161" s="206" t="s">
        <v>6430</v>
      </c>
      <c r="E161" s="199" t="str">
        <f>VLOOKUP($D161,'Preços Unitários'!$B:$G,2,FALSE)</f>
        <v>Lastro de areia comercial - espalhamento manual</v>
      </c>
      <c r="F161" s="197" t="str">
        <f>VLOOKUP($D161,'Preços Unitários'!$B:$G,3,FALSE)</f>
        <v>m³</v>
      </c>
      <c r="G161" s="200">
        <f>+'MC Canais'!J140</f>
        <v>503.03999999999996</v>
      </c>
      <c r="H161" s="200">
        <f>VLOOKUP($D161,'Preços Unitários'!$B:$G,6,FALSE)</f>
        <v>198.06439700000001</v>
      </c>
      <c r="I161" s="201">
        <f t="shared" si="23"/>
        <v>99634.314266879999</v>
      </c>
      <c r="J161" s="299"/>
    </row>
    <row r="162" spans="1:10" s="243" customFormat="1" ht="28.8" x14ac:dyDescent="0.3">
      <c r="B162" s="197" t="s">
        <v>13496</v>
      </c>
      <c r="C162" s="197" t="s">
        <v>13</v>
      </c>
      <c r="D162" s="198" t="s">
        <v>13</v>
      </c>
      <c r="E162" s="207" t="s">
        <v>13228</v>
      </c>
      <c r="F162" s="197"/>
      <c r="G162" s="200">
        <f>+'MC Canais'!J141</f>
        <v>0</v>
      </c>
      <c r="H162" s="201"/>
      <c r="I162" s="201"/>
      <c r="J162" s="299"/>
    </row>
    <row r="163" spans="1:10" ht="28.8" x14ac:dyDescent="0.3">
      <c r="B163" s="197" t="s">
        <v>13497</v>
      </c>
      <c r="C163" s="197" t="s">
        <v>13039</v>
      </c>
      <c r="D163" s="198" t="s">
        <v>6964</v>
      </c>
      <c r="E163" s="199" t="str">
        <f>VLOOKUP($D163,'Preços Unitários'!$B:$G,2,FALSE)</f>
        <v>Valeta de proteção de cortes com revestimento vegetal - VPCG 120-30 - escavação mecânica</v>
      </c>
      <c r="F163" s="197" t="str">
        <f>VLOOKUP($D163,'Preços Unitários'!$B:$G,3,FALSE)</f>
        <v>m</v>
      </c>
      <c r="G163" s="200">
        <f>+'MC Canais'!J142</f>
        <v>8384</v>
      </c>
      <c r="H163" s="200">
        <f>VLOOKUP($D163,'Preços Unitários'!$B:$G,6,FALSE)</f>
        <v>51.961995999999999</v>
      </c>
      <c r="I163" s="201">
        <f t="shared" ref="I163:I166" si="24">+G163*H163</f>
        <v>435649.37446399999</v>
      </c>
      <c r="J163" s="291"/>
    </row>
    <row r="164" spans="1:10" ht="28.8" x14ac:dyDescent="0.3">
      <c r="B164" s="197" t="s">
        <v>13498</v>
      </c>
      <c r="C164" s="197" t="s">
        <v>13039</v>
      </c>
      <c r="D164" s="198" t="s">
        <v>6744</v>
      </c>
      <c r="E164" s="199" t="str">
        <f>VLOOKUP($D164,'Preços Unitários'!$B:$G,2,FALSE)</f>
        <v>Sarjeta triangular de grama - STG 125-25 - escavação mecânica</v>
      </c>
      <c r="F164" s="197" t="str">
        <f>VLOOKUP($D164,'Preços Unitários'!$B:$G,3,FALSE)</f>
        <v>m</v>
      </c>
      <c r="G164" s="200">
        <f>+'MC Canais'!J143</f>
        <v>8384</v>
      </c>
      <c r="H164" s="200">
        <f>VLOOKUP($D164,'Preços Unitários'!$B:$G,6,FALSE)</f>
        <v>29.776679000000001</v>
      </c>
      <c r="I164" s="201">
        <f t="shared" si="24"/>
        <v>249647.67673600002</v>
      </c>
      <c r="J164" s="297"/>
    </row>
    <row r="165" spans="1:10" ht="28.8" x14ac:dyDescent="0.3">
      <c r="B165" s="197" t="s">
        <v>13499</v>
      </c>
      <c r="C165" s="197" t="s">
        <v>13039</v>
      </c>
      <c r="D165" s="198" t="s">
        <v>2740</v>
      </c>
      <c r="E165" s="199" t="str">
        <f>VLOOKUP($D165,'Preços Unitários'!$B:$G,2,FALSE)</f>
        <v>Corpo de BSTC D = 0,80 m PA1 - areia, brita e pedra de mão comerciais</v>
      </c>
      <c r="F165" s="197" t="str">
        <f>VLOOKUP($D165,'Preços Unitários'!$B:$G,3,FALSE)</f>
        <v>m</v>
      </c>
      <c r="G165" s="200">
        <f>+'MC Canais'!J144</f>
        <v>20</v>
      </c>
      <c r="H165" s="200">
        <f>VLOOKUP($D165,'Preços Unitários'!$B:$G,6,FALSE)</f>
        <v>799.67357200000004</v>
      </c>
      <c r="I165" s="201">
        <f t="shared" si="24"/>
        <v>15993.471440000001</v>
      </c>
      <c r="J165" s="299"/>
    </row>
    <row r="166" spans="1:10" ht="28.8" x14ac:dyDescent="0.3">
      <c r="B166" s="197" t="s">
        <v>13500</v>
      </c>
      <c r="C166" s="197" t="s">
        <v>13039</v>
      </c>
      <c r="D166" s="208" t="s">
        <v>2172</v>
      </c>
      <c r="E166" s="199" t="str">
        <f>VLOOKUP($D166,'Preços Unitários'!$B:$G,2,FALSE)</f>
        <v>Boca de BSTC D = 0,80 m - esconsidade 0° - areia e brita comerciais - alas retas</v>
      </c>
      <c r="F166" s="197" t="str">
        <f>VLOOKUP($D166,'Preços Unitários'!$B:$G,3,FALSE)</f>
        <v>un</v>
      </c>
      <c r="G166" s="200">
        <f>+'MC Canais'!J145</f>
        <v>2</v>
      </c>
      <c r="H166" s="200">
        <f>VLOOKUP($D166,'Preços Unitários'!$B:$G,6,FALSE)</f>
        <v>1606.687966</v>
      </c>
      <c r="I166" s="201">
        <f t="shared" si="24"/>
        <v>3213.3759319999999</v>
      </c>
      <c r="J166" s="299"/>
    </row>
    <row r="167" spans="1:10" s="243" customFormat="1" x14ac:dyDescent="0.3">
      <c r="B167" s="197" t="s">
        <v>13501</v>
      </c>
      <c r="C167" s="197" t="s">
        <v>13</v>
      </c>
      <c r="D167" s="198" t="s">
        <v>13</v>
      </c>
      <c r="E167" s="207" t="s">
        <v>13230</v>
      </c>
      <c r="F167" s="197"/>
      <c r="G167" s="200">
        <f>+'MC Canais'!J146</f>
        <v>0</v>
      </c>
      <c r="H167" s="201"/>
      <c r="I167" s="201"/>
      <c r="J167" s="299"/>
    </row>
    <row r="168" spans="1:10" ht="28.8" x14ac:dyDescent="0.3">
      <c r="B168" s="197" t="s">
        <v>13502</v>
      </c>
      <c r="C168" s="197" t="s">
        <v>13039</v>
      </c>
      <c r="D168" s="198" t="s">
        <v>11088</v>
      </c>
      <c r="E168" s="199" t="str">
        <f>VLOOKUP($D168,'Preços Unitários'!$B:$G,2,FALSE)</f>
        <v>Escavação mecânica com retroescavadeira em material de 1ª categoria</v>
      </c>
      <c r="F168" s="197" t="str">
        <f>VLOOKUP($D168,'Preços Unitários'!$B:$G,3,FALSE)</f>
        <v>m³</v>
      </c>
      <c r="G168" s="200">
        <f>+'MC Canais'!J147</f>
        <v>4401.5999999999995</v>
      </c>
      <c r="H168" s="200">
        <f>VLOOKUP($D168,'Preços Unitários'!$B:$G,6,FALSE)</f>
        <v>8.7313189999999992</v>
      </c>
      <c r="I168" s="201">
        <f t="shared" ref="I168:I172" si="25">+G168*H168</f>
        <v>38431.77371039999</v>
      </c>
      <c r="J168" s="299"/>
    </row>
    <row r="169" spans="1:10" x14ac:dyDescent="0.3">
      <c r="B169" s="197" t="s">
        <v>13503</v>
      </c>
      <c r="C169" s="197" t="s">
        <v>13039</v>
      </c>
      <c r="D169" s="198" t="s">
        <v>11046</v>
      </c>
      <c r="E169" s="199" t="str">
        <f>VLOOKUP($D169,'Preços Unitários'!$B:$G,2,FALSE)</f>
        <v>Compactação de aterros a 100% do Proctor normal</v>
      </c>
      <c r="F169" s="197" t="str">
        <f>VLOOKUP($D169,'Preços Unitários'!$B:$G,3,FALSE)</f>
        <v>m³</v>
      </c>
      <c r="G169" s="200">
        <f>+'MC Canais'!J148</f>
        <v>2934.4</v>
      </c>
      <c r="H169" s="200">
        <f>VLOOKUP($D169,'Preços Unitários'!$B:$G,6,FALSE)</f>
        <v>7.1028090000000006</v>
      </c>
      <c r="I169" s="201">
        <f t="shared" si="25"/>
        <v>20842.482729600004</v>
      </c>
      <c r="J169" s="299"/>
    </row>
    <row r="170" spans="1:10" ht="28.8" x14ac:dyDescent="0.3">
      <c r="B170" s="197" t="s">
        <v>13504</v>
      </c>
      <c r="C170" s="197" t="s">
        <v>13039</v>
      </c>
      <c r="D170" s="198" t="s">
        <v>11947</v>
      </c>
      <c r="E170" s="199" t="str">
        <f>VLOOKUP($D170,'Preços Unitários'!$B:$G,2,FALSE)</f>
        <v>Transporte com caminhão basculante de 14 m³ - rodovia em leito natural</v>
      </c>
      <c r="F170" s="197" t="str">
        <f>VLOOKUP($D170,'Preços Unitários'!$B:$G,3,FALSE)</f>
        <v>tkm</v>
      </c>
      <c r="G170" s="200">
        <f>+'MC Canais'!J149</f>
        <v>1467.1999999999994</v>
      </c>
      <c r="H170" s="200">
        <f>VLOOKUP($D170,'Preços Unitários'!$B:$G,6,FALSE)</f>
        <v>1.165011</v>
      </c>
      <c r="I170" s="201">
        <f t="shared" si="25"/>
        <v>1709.3041391999993</v>
      </c>
      <c r="J170" s="299"/>
    </row>
    <row r="171" spans="1:10" x14ac:dyDescent="0.3">
      <c r="B171" s="197" t="s">
        <v>13505</v>
      </c>
      <c r="C171" s="197" t="s">
        <v>13039</v>
      </c>
      <c r="D171" s="198" t="s">
        <v>9440</v>
      </c>
      <c r="E171" s="199" t="str">
        <f>VLOOKUP($D171,'Preços Unitários'!$B:$G,2,FALSE)</f>
        <v>Regularização de superfície com motoniveladora</v>
      </c>
      <c r="F171" s="197" t="str">
        <f>VLOOKUP($D171,'Preços Unitários'!$B:$G,3,FALSE)</f>
        <v>m²</v>
      </c>
      <c r="G171" s="200">
        <f>+'MC Canais'!J150</f>
        <v>29344</v>
      </c>
      <c r="H171" s="200">
        <f>VLOOKUP($D171,'Preços Unitários'!$B:$G,6,FALSE)</f>
        <v>0.100216</v>
      </c>
      <c r="I171" s="201">
        <f t="shared" si="25"/>
        <v>2940.738304</v>
      </c>
      <c r="J171" s="299"/>
    </row>
    <row r="172" spans="1:10" x14ac:dyDescent="0.3">
      <c r="B172" s="197" t="s">
        <v>13506</v>
      </c>
      <c r="C172" s="197" t="s">
        <v>12</v>
      </c>
      <c r="D172" s="198" t="s">
        <v>13232</v>
      </c>
      <c r="E172" s="199" t="s">
        <v>13231</v>
      </c>
      <c r="F172" s="197" t="s">
        <v>427</v>
      </c>
      <c r="G172" s="200">
        <f>+'MC Canais'!J151</f>
        <v>2200.7999999999997</v>
      </c>
      <c r="H172" s="200">
        <f>+'Composições de Preços'!$F$216</f>
        <v>214.40019935426301</v>
      </c>
      <c r="I172" s="201">
        <f t="shared" si="25"/>
        <v>471851.95873886195</v>
      </c>
      <c r="J172" s="299"/>
    </row>
    <row r="173" spans="1:10" s="243" customFormat="1" x14ac:dyDescent="0.3">
      <c r="B173" s="197" t="s">
        <v>13507</v>
      </c>
      <c r="C173" s="197" t="s">
        <v>13</v>
      </c>
      <c r="D173" s="198" t="s">
        <v>13</v>
      </c>
      <c r="E173" s="207" t="s">
        <v>13386</v>
      </c>
      <c r="F173" s="197"/>
      <c r="G173" s="200">
        <f>+'MC Canais'!J152</f>
        <v>0</v>
      </c>
      <c r="H173" s="201"/>
      <c r="I173" s="201"/>
      <c r="J173" s="299"/>
    </row>
    <row r="174" spans="1:10" ht="28.8" x14ac:dyDescent="0.3">
      <c r="B174" s="197" t="s">
        <v>13508</v>
      </c>
      <c r="C174" s="197" t="s">
        <v>13039</v>
      </c>
      <c r="D174" s="198" t="s">
        <v>8625</v>
      </c>
      <c r="E174" s="199" t="str">
        <f>VLOOKUP($D174,'Preços Unitários'!$B:$G,2,FALSE)</f>
        <v>Cerca com 4 fios de arame liso galvanizado e mourão de madeira a cada 2,5 m e esticador a cada 50 m</v>
      </c>
      <c r="F174" s="197" t="str">
        <f>VLOOKUP($D174,'Preços Unitários'!$B:$G,3,FALSE)</f>
        <v>m</v>
      </c>
      <c r="G174" s="200">
        <f>+'MC Canais'!J153</f>
        <v>8384</v>
      </c>
      <c r="H174" s="200">
        <f>VLOOKUP($D174,'Preços Unitários'!$B:$G,6,FALSE)</f>
        <v>27.146009000000003</v>
      </c>
      <c r="I174" s="201">
        <f t="shared" ref="I174" si="26">+G174*H174</f>
        <v>227592.13945600003</v>
      </c>
      <c r="J174" s="299"/>
    </row>
    <row r="175" spans="1:10" x14ac:dyDescent="0.3">
      <c r="A175" s="42" t="s">
        <v>14477</v>
      </c>
      <c r="B175" s="209" t="s">
        <v>13056</v>
      </c>
      <c r="C175" s="209" t="s">
        <v>13</v>
      </c>
      <c r="D175" s="210" t="s">
        <v>13</v>
      </c>
      <c r="E175" s="211" t="s">
        <v>13068</v>
      </c>
      <c r="F175" s="209" t="s">
        <v>13</v>
      </c>
      <c r="G175" s="212">
        <v>0</v>
      </c>
      <c r="H175" s="212">
        <v>0</v>
      </c>
      <c r="I175" s="212">
        <f>SUM(I176:I211)</f>
        <v>16277272.119183663</v>
      </c>
      <c r="J175" s="284" t="s">
        <v>14477</v>
      </c>
    </row>
    <row r="176" spans="1:10" x14ac:dyDescent="0.3">
      <c r="B176" s="202" t="s">
        <v>13509</v>
      </c>
      <c r="C176" s="202" t="s">
        <v>13</v>
      </c>
      <c r="D176" s="203" t="s">
        <v>13</v>
      </c>
      <c r="E176" s="204" t="s">
        <v>13203</v>
      </c>
      <c r="F176" s="202"/>
      <c r="G176" s="205"/>
      <c r="H176" s="205"/>
      <c r="I176" s="205"/>
      <c r="J176" s="297"/>
    </row>
    <row r="177" spans="2:10" ht="28.8" x14ac:dyDescent="0.3">
      <c r="B177" s="197" t="s">
        <v>13510</v>
      </c>
      <c r="C177" s="197" t="s">
        <v>13039</v>
      </c>
      <c r="D177" s="198" t="s">
        <v>11052</v>
      </c>
      <c r="E177" s="199" t="str">
        <f>VLOOKUP($D177,'Preços Unitários'!$B:$G,2,FALSE)</f>
        <v>Desmatamento, destocamento e limpeza de área com árvores de diâmetro até 0,15 m</v>
      </c>
      <c r="F177" s="197" t="str">
        <f>VLOOKUP($D177,'Preços Unitários'!$B:$G,3,FALSE)</f>
        <v>m²</v>
      </c>
      <c r="G177" s="200">
        <f>+'MC Canais'!J157</f>
        <v>247680</v>
      </c>
      <c r="H177" s="200">
        <f>VLOOKUP($D177,'Preços Unitários'!$B:$G,6,FALSE)</f>
        <v>0.87688999999999995</v>
      </c>
      <c r="I177" s="201">
        <f>+G177*H177</f>
        <v>217188.1152</v>
      </c>
      <c r="J177" s="299"/>
    </row>
    <row r="178" spans="2:10" ht="43.2" x14ac:dyDescent="0.3">
      <c r="B178" s="197" t="s">
        <v>13511</v>
      </c>
      <c r="C178" s="197" t="s">
        <v>13039</v>
      </c>
      <c r="D178" s="198" t="s">
        <v>11092</v>
      </c>
      <c r="E178" s="199" t="str">
        <f>VLOOKUP($D178,'Preços Unitários'!$B:$G,2,FALSE)</f>
        <v>Escavação, carga e transporte de material de 1ª categoria - DMT de 1.000 a 1.200 m - caminho de serviço em leito natural - com escavadeira e caminhão basculante de 14 m³</v>
      </c>
      <c r="F178" s="197" t="str">
        <f>VLOOKUP($D178,'Preços Unitários'!$B:$G,3,FALSE)</f>
        <v>m³</v>
      </c>
      <c r="G178" s="200">
        <f>+'MC Canais'!J158</f>
        <v>172403.48</v>
      </c>
      <c r="H178" s="200">
        <f>VLOOKUP($D178,'Preços Unitários'!$B:$G,6,FALSE)</f>
        <v>10.673003999999999</v>
      </c>
      <c r="I178" s="201">
        <f t="shared" ref="I178:I190" si="27">+G178*H178</f>
        <v>1840063.03165392</v>
      </c>
      <c r="J178" s="299"/>
    </row>
    <row r="179" spans="2:10" x14ac:dyDescent="0.3">
      <c r="B179" s="197" t="s">
        <v>13512</v>
      </c>
      <c r="C179" s="197" t="s">
        <v>13039</v>
      </c>
      <c r="D179" s="198" t="s">
        <v>11046</v>
      </c>
      <c r="E179" s="213" t="str">
        <f>VLOOKUP($D179,'Preços Unitários'!$B:$G,2,FALSE)</f>
        <v>Compactação de aterros a 100% do Proctor normal</v>
      </c>
      <c r="F179" s="197" t="str">
        <f>VLOOKUP($D179,'Preços Unitários'!$B:$G,3,FALSE)</f>
        <v>m³</v>
      </c>
      <c r="G179" s="200">
        <f>+'MC Canais'!J159</f>
        <v>59799.23</v>
      </c>
      <c r="H179" s="200">
        <f>VLOOKUP($D179,'Preços Unitários'!$B:$G,6,FALSE)</f>
        <v>7.1028090000000006</v>
      </c>
      <c r="I179" s="201">
        <f t="shared" si="27"/>
        <v>424742.50903707003</v>
      </c>
      <c r="J179" s="299"/>
    </row>
    <row r="180" spans="2:10" ht="28.8" x14ac:dyDescent="0.3">
      <c r="B180" s="197" t="s">
        <v>13513</v>
      </c>
      <c r="C180" s="197" t="s">
        <v>13039</v>
      </c>
      <c r="D180" s="198" t="s">
        <v>11947</v>
      </c>
      <c r="E180" s="199" t="str">
        <f>VLOOKUP($D180,'Preços Unitários'!$B:$G,2,FALSE)</f>
        <v>Transporte com caminhão basculante de 14 m³ - rodovia em leito natural</v>
      </c>
      <c r="F180" s="197" t="str">
        <f>VLOOKUP($D180,'Preços Unitários'!$B:$G,3,FALSE)</f>
        <v>tkm</v>
      </c>
      <c r="G180" s="200">
        <f>+'MC Canais'!J160</f>
        <v>788229.74999999988</v>
      </c>
      <c r="H180" s="200">
        <f>VLOOKUP($D180,'Preços Unitários'!$B:$G,6,FALSE)</f>
        <v>1.165011</v>
      </c>
      <c r="I180" s="201">
        <f t="shared" si="27"/>
        <v>918296.32927724987</v>
      </c>
      <c r="J180" s="299"/>
    </row>
    <row r="181" spans="2:10" x14ac:dyDescent="0.3">
      <c r="B181" s="197" t="s">
        <v>13514</v>
      </c>
      <c r="C181" s="197" t="s">
        <v>13039</v>
      </c>
      <c r="D181" s="198" t="s">
        <v>9440</v>
      </c>
      <c r="E181" s="199" t="str">
        <f>VLOOKUP($D181,'Preços Unitários'!$B:$G,2,FALSE)</f>
        <v>Regularização de superfície com motoniveladora</v>
      </c>
      <c r="F181" s="197" t="str">
        <f>VLOOKUP($D181,'Preços Unitários'!$B:$G,3,FALSE)</f>
        <v>m²</v>
      </c>
      <c r="G181" s="200">
        <f>+'MC Canais'!J161</f>
        <v>6192</v>
      </c>
      <c r="H181" s="200">
        <f>VLOOKUP($D181,'Preços Unitários'!$B:$G,6,FALSE)</f>
        <v>0.100216</v>
      </c>
      <c r="I181" s="201">
        <f>+G181*H181</f>
        <v>620.53747199999998</v>
      </c>
      <c r="J181" s="299"/>
    </row>
    <row r="182" spans="2:10" ht="28.8" x14ac:dyDescent="0.3">
      <c r="B182" s="197" t="s">
        <v>13515</v>
      </c>
      <c r="C182" s="197" t="s">
        <v>12</v>
      </c>
      <c r="D182" s="198" t="s">
        <v>13205</v>
      </c>
      <c r="E182" s="199" t="s">
        <v>13204</v>
      </c>
      <c r="F182" s="197" t="s">
        <v>2904</v>
      </c>
      <c r="G182" s="200">
        <f>+'MC Canais'!J162</f>
        <v>9056.2099999999991</v>
      </c>
      <c r="H182" s="200">
        <f>+'Composições de Preços'!$F$87</f>
        <v>59.387948601153852</v>
      </c>
      <c r="I182" s="201">
        <f t="shared" si="27"/>
        <v>537829.73400125548</v>
      </c>
      <c r="J182" s="299"/>
    </row>
    <row r="183" spans="2:10" ht="28.8" x14ac:dyDescent="0.3">
      <c r="B183" s="197" t="s">
        <v>13516</v>
      </c>
      <c r="C183" s="197" t="s">
        <v>12</v>
      </c>
      <c r="D183" s="198" t="s">
        <v>14504</v>
      </c>
      <c r="E183" s="199" t="s">
        <v>14497</v>
      </c>
      <c r="F183" s="197" t="s">
        <v>427</v>
      </c>
      <c r="G183" s="200">
        <f>+'MC Canais'!J163</f>
        <v>7245</v>
      </c>
      <c r="H183" s="200">
        <f>+'Composições de Preços'!$F$446</f>
        <v>99.894988108799993</v>
      </c>
      <c r="I183" s="201">
        <f t="shared" si="27"/>
        <v>723739.1888482559</v>
      </c>
      <c r="J183" s="299"/>
    </row>
    <row r="184" spans="2:10" ht="28.8" x14ac:dyDescent="0.3">
      <c r="B184" s="197" t="s">
        <v>13517</v>
      </c>
      <c r="C184" s="197" t="s">
        <v>12</v>
      </c>
      <c r="D184" s="198" t="s">
        <v>13192</v>
      </c>
      <c r="E184" s="199" t="s">
        <v>13191</v>
      </c>
      <c r="F184" s="197" t="s">
        <v>2904</v>
      </c>
      <c r="G184" s="200">
        <f>+'MC Canais'!J164</f>
        <v>36225</v>
      </c>
      <c r="H184" s="200">
        <f>+'Composições de Preços'!$F$44</f>
        <v>73.117919302000004</v>
      </c>
      <c r="I184" s="201">
        <f t="shared" si="27"/>
        <v>2648696.62671495</v>
      </c>
      <c r="J184" s="299"/>
    </row>
    <row r="185" spans="2:10" ht="28.8" x14ac:dyDescent="0.3">
      <c r="B185" s="197" t="s">
        <v>13518</v>
      </c>
      <c r="C185" s="197" t="s">
        <v>12</v>
      </c>
      <c r="D185" s="198" t="s">
        <v>14506</v>
      </c>
      <c r="E185" s="199" t="s">
        <v>14505</v>
      </c>
      <c r="F185" s="197" t="s">
        <v>427</v>
      </c>
      <c r="G185" s="200">
        <f>+'MC Canais'!J165</f>
        <v>12384</v>
      </c>
      <c r="H185" s="200">
        <f>+'Composições de Preços'!$F$492</f>
        <v>107.93859485200001</v>
      </c>
      <c r="I185" s="201">
        <f t="shared" si="27"/>
        <v>1336711.5586471681</v>
      </c>
      <c r="J185" s="299"/>
    </row>
    <row r="186" spans="2:10" ht="28.8" x14ac:dyDescent="0.3">
      <c r="B186" s="197" t="s">
        <v>13519</v>
      </c>
      <c r="C186" s="197" t="s">
        <v>13039</v>
      </c>
      <c r="D186" s="198" t="s">
        <v>3149</v>
      </c>
      <c r="E186" s="199" t="str">
        <f>VLOOKUP($D186,'Preços Unitários'!$B:$G,2,FALSE)</f>
        <v>Concreto para bombeamento fck = 30 MPa - confecção em central dosadora de 30 m³/h - areia e brita comerciais</v>
      </c>
      <c r="F186" s="197" t="str">
        <f>VLOOKUP($D186,'Preços Unitários'!$B:$G,3,FALSE)</f>
        <v>m³</v>
      </c>
      <c r="G186" s="200">
        <f>+'MC Canais'!J166</f>
        <v>2535.7500000000005</v>
      </c>
      <c r="H186" s="200">
        <f>VLOOKUP($D186,'Preços Unitários'!$B:$G,6,FALSE)</f>
        <v>575.92882499999996</v>
      </c>
      <c r="I186" s="201">
        <f t="shared" si="27"/>
        <v>1460411.5179937501</v>
      </c>
      <c r="J186" s="299"/>
    </row>
    <row r="187" spans="2:10" ht="43.2" x14ac:dyDescent="0.3">
      <c r="B187" s="197" t="s">
        <v>13520</v>
      </c>
      <c r="C187" s="197" t="s">
        <v>13039</v>
      </c>
      <c r="D187" s="198" t="s">
        <v>3201</v>
      </c>
      <c r="E187" s="199" t="str">
        <f>VLOOKUP($D187,'Preços Unitários'!$B:$G,2,FALSE)</f>
        <v>Lançamento mecânico de concreto com bomba rebocável com capacidade de 30 m³/h - confecção em central dosadora de 30 m³/h</v>
      </c>
      <c r="F187" s="197" t="str">
        <f>VLOOKUP($D187,'Preços Unitários'!$B:$G,3,FALSE)</f>
        <v>m³</v>
      </c>
      <c r="G187" s="200">
        <f>+'MC Canais'!J167</f>
        <v>2535.7500000000005</v>
      </c>
      <c r="H187" s="200">
        <f>VLOOKUP($D187,'Preços Unitários'!$B:$G,6,FALSE)</f>
        <v>86.285976000000005</v>
      </c>
      <c r="I187" s="201">
        <f t="shared" si="27"/>
        <v>218799.66364200006</v>
      </c>
      <c r="J187" s="299"/>
    </row>
    <row r="188" spans="2:10" ht="28.8" x14ac:dyDescent="0.3">
      <c r="B188" s="197" t="s">
        <v>14537</v>
      </c>
      <c r="C188" s="197" t="s">
        <v>13039</v>
      </c>
      <c r="D188" s="198" t="s">
        <v>206</v>
      </c>
      <c r="E188" s="199" t="str">
        <f>VLOOKUP($D188,'Preços Unitários'!$B:$G,2,FALSE)</f>
        <v>Lábios poliméricos em junta de pavimento de concreto - L = 20 mm e H = 30 mm - confecção e assentamento</v>
      </c>
      <c r="F188" s="197" t="str">
        <f>VLOOKUP($D188,'Preços Unitários'!$B:$G,3,FALSE)</f>
        <v>m</v>
      </c>
      <c r="G188" s="200">
        <f>+'MC Canais'!J168</f>
        <v>20842.272000000001</v>
      </c>
      <c r="H188" s="200">
        <f>VLOOKUP($D188,'Preços Unitários'!$B:$G,6,FALSE)</f>
        <v>39.635428000000005</v>
      </c>
      <c r="I188" s="201">
        <f t="shared" si="27"/>
        <v>826092.3712124161</v>
      </c>
      <c r="J188" s="299"/>
    </row>
    <row r="189" spans="2:10" x14ac:dyDescent="0.3">
      <c r="B189" s="197" t="s">
        <v>14538</v>
      </c>
      <c r="C189" s="197" t="s">
        <v>12</v>
      </c>
      <c r="D189" s="198" t="s">
        <v>13209</v>
      </c>
      <c r="E189" s="199" t="s">
        <v>13208</v>
      </c>
      <c r="F189" s="197" t="s">
        <v>195</v>
      </c>
      <c r="G189" s="200">
        <f>+'MC Canais'!J169</f>
        <v>12384</v>
      </c>
      <c r="H189" s="200">
        <f>+'Composições de Preços'!$F$130</f>
        <v>37.70076957596789</v>
      </c>
      <c r="I189" s="201">
        <f t="shared" si="27"/>
        <v>466886.33042878634</v>
      </c>
      <c r="J189" s="299"/>
    </row>
    <row r="190" spans="2:10" ht="28.8" x14ac:dyDescent="0.3">
      <c r="B190" s="197" t="s">
        <v>14577</v>
      </c>
      <c r="C190" s="197" t="s">
        <v>13039</v>
      </c>
      <c r="D190" s="198" t="s">
        <v>9446</v>
      </c>
      <c r="E190" s="199" t="str">
        <f>VLOOKUP($D190,'Preços Unitários'!$B:$G,2,FALSE)</f>
        <v>Revestimento vegetal com grama em mudas em superfícies inclinadas</v>
      </c>
      <c r="F190" s="197" t="str">
        <f>VLOOKUP($D190,'Preços Unitários'!$B:$G,3,FALSE)</f>
        <v>m²</v>
      </c>
      <c r="G190" s="200">
        <f>+'MC Canais'!J170</f>
        <v>74304</v>
      </c>
      <c r="H190" s="200">
        <f>VLOOKUP($D190,'Preços Unitários'!$B:$G,6,FALSE)</f>
        <v>9.984019</v>
      </c>
      <c r="I190" s="201">
        <f t="shared" si="27"/>
        <v>741852.54777599999</v>
      </c>
      <c r="J190" s="299"/>
    </row>
    <row r="191" spans="2:10" x14ac:dyDescent="0.3">
      <c r="B191" s="202" t="s">
        <v>13521</v>
      </c>
      <c r="C191" s="202" t="s">
        <v>13</v>
      </c>
      <c r="D191" s="203" t="s">
        <v>13</v>
      </c>
      <c r="E191" s="204" t="s">
        <v>13222</v>
      </c>
      <c r="F191" s="202"/>
      <c r="G191" s="200">
        <f>+'MC Canais'!J171</f>
        <v>0</v>
      </c>
      <c r="H191" s="205"/>
      <c r="I191" s="205"/>
      <c r="J191" s="299"/>
    </row>
    <row r="192" spans="2:10" x14ac:dyDescent="0.3">
      <c r="B192" s="197" t="s">
        <v>13522</v>
      </c>
      <c r="C192" s="197" t="s">
        <v>13039</v>
      </c>
      <c r="D192" s="198" t="s">
        <v>9806</v>
      </c>
      <c r="E192" s="199" t="str">
        <f>VLOOKUP($D192,'Preços Unitários'!$B:$G,2,FALSE)</f>
        <v>Escavação mecânica de vala em material de 1ª categoria</v>
      </c>
      <c r="F192" s="197" t="str">
        <f>VLOOKUP($D192,'Preços Unitários'!$B:$G,3,FALSE)</f>
        <v>m³</v>
      </c>
      <c r="G192" s="200">
        <f>+'MC Canais'!J172</f>
        <v>5201.28</v>
      </c>
      <c r="H192" s="200">
        <f>VLOOKUP($D192,'Preços Unitários'!$B:$G,6,FALSE)</f>
        <v>8.7313189999999992</v>
      </c>
      <c r="I192" s="201">
        <f t="shared" ref="I192:I198" si="28">+G192*H192</f>
        <v>45414.034888319991</v>
      </c>
      <c r="J192" s="299"/>
    </row>
    <row r="193" spans="2:10" x14ac:dyDescent="0.3">
      <c r="B193" s="197" t="s">
        <v>13523</v>
      </c>
      <c r="C193" s="197" t="s">
        <v>13039</v>
      </c>
      <c r="D193" s="198" t="s">
        <v>9830</v>
      </c>
      <c r="E193" s="199" t="str">
        <f>VLOOKUP($D193,'Preços Unitários'!$B:$G,2,FALSE)</f>
        <v>Reaterro e compactação com soquete vibratório</v>
      </c>
      <c r="F193" s="197" t="str">
        <f>VLOOKUP($D193,'Preços Unitários'!$B:$G,3,FALSE)</f>
        <v>m³</v>
      </c>
      <c r="G193" s="200">
        <f>+'MC Canais'!J173</f>
        <v>2972.16</v>
      </c>
      <c r="H193" s="200">
        <f>VLOOKUP($D193,'Preços Unitários'!$B:$G,6,FALSE)</f>
        <v>22.611235000000001</v>
      </c>
      <c r="I193" s="201">
        <f t="shared" si="28"/>
        <v>67204.208217599997</v>
      </c>
      <c r="J193" s="299"/>
    </row>
    <row r="194" spans="2:10" ht="28.8" x14ac:dyDescent="0.3">
      <c r="B194" s="197" t="s">
        <v>13524</v>
      </c>
      <c r="C194" s="197" t="s">
        <v>13039</v>
      </c>
      <c r="D194" s="198" t="s">
        <v>11947</v>
      </c>
      <c r="E194" s="199" t="str">
        <f>VLOOKUP($D194,'Preços Unitários'!$B:$G,2,FALSE)</f>
        <v>Transporte com caminhão basculante de 14 m³ - rodovia em leito natural</v>
      </c>
      <c r="F194" s="197" t="str">
        <f>VLOOKUP($D194,'Preços Unitários'!$B:$G,3,FALSE)</f>
        <v>tkm</v>
      </c>
      <c r="G194" s="200">
        <f>+'MC Canais'!J174</f>
        <v>15603.839999999998</v>
      </c>
      <c r="H194" s="200">
        <f>VLOOKUP($D194,'Preços Unitários'!$B:$G,6,FALSE)</f>
        <v>1.165011</v>
      </c>
      <c r="I194" s="201">
        <f t="shared" si="28"/>
        <v>18178.64524224</v>
      </c>
      <c r="J194" s="299"/>
    </row>
    <row r="195" spans="2:10" ht="28.8" x14ac:dyDescent="0.3">
      <c r="B195" s="197" t="s">
        <v>13525</v>
      </c>
      <c r="C195" s="197" t="s">
        <v>12</v>
      </c>
      <c r="D195" s="198" t="s">
        <v>13224</v>
      </c>
      <c r="E195" s="199" t="s">
        <v>13223</v>
      </c>
      <c r="F195" s="197" t="s">
        <v>2904</v>
      </c>
      <c r="G195" s="200">
        <f>+'MC Canais'!J175</f>
        <v>14860.8</v>
      </c>
      <c r="H195" s="200">
        <f>+'Composições de Preços'!$F$173</f>
        <v>26.052132569499999</v>
      </c>
      <c r="I195" s="201">
        <f t="shared" si="28"/>
        <v>387155.53168882558</v>
      </c>
      <c r="J195" s="299"/>
    </row>
    <row r="196" spans="2:10" ht="28.8" x14ac:dyDescent="0.3">
      <c r="B196" s="197" t="s">
        <v>13526</v>
      </c>
      <c r="C196" s="197" t="s">
        <v>13039</v>
      </c>
      <c r="D196" s="198" t="s">
        <v>6908</v>
      </c>
      <c r="E196" s="199" t="str">
        <f>VLOOKUP($D196,'Preços Unitários'!$B:$G,2,FALSE)</f>
        <v>Tubo de concreto perfurado produzido na obra para drenagem - D = 0,40 m - fornecimento e instalação</v>
      </c>
      <c r="F196" s="197" t="str">
        <f>VLOOKUP($D196,'Preços Unitários'!$B:$G,3,FALSE)</f>
        <v>m</v>
      </c>
      <c r="G196" s="200">
        <f>+'MC Canais'!J176</f>
        <v>6192</v>
      </c>
      <c r="H196" s="200">
        <f>VLOOKUP($D196,'Preços Unitários'!$B:$G,6,FALSE)</f>
        <v>116.764167</v>
      </c>
      <c r="I196" s="201">
        <f t="shared" si="28"/>
        <v>723003.72206399997</v>
      </c>
      <c r="J196" s="299"/>
    </row>
    <row r="197" spans="2:10" ht="28.8" x14ac:dyDescent="0.3">
      <c r="B197" s="197" t="s">
        <v>13527</v>
      </c>
      <c r="C197" s="197" t="s">
        <v>13039</v>
      </c>
      <c r="D197" s="198" t="s">
        <v>6438</v>
      </c>
      <c r="E197" s="199" t="str">
        <f>VLOOKUP($D197,'Preços Unitários'!$B:$G,2,FALSE)</f>
        <v>Lastro de brita comercial compactado com soquete vibratório - espalhamento manual</v>
      </c>
      <c r="F197" s="197" t="str">
        <f>VLOOKUP($D197,'Preços Unitários'!$B:$G,3,FALSE)</f>
        <v>m³</v>
      </c>
      <c r="G197" s="200">
        <f>+'MC Canais'!J177</f>
        <v>1451.4047999999998</v>
      </c>
      <c r="H197" s="200">
        <f>VLOOKUP($D197,'Preços Unitários'!$B:$G,6,FALSE)</f>
        <v>239.34086200000002</v>
      </c>
      <c r="I197" s="201">
        <f t="shared" si="28"/>
        <v>347380.4759429376</v>
      </c>
      <c r="J197" s="297"/>
    </row>
    <row r="198" spans="2:10" x14ac:dyDescent="0.3">
      <c r="B198" s="197" t="s">
        <v>13528</v>
      </c>
      <c r="C198" s="197" t="s">
        <v>13039</v>
      </c>
      <c r="D198" s="206" t="s">
        <v>6430</v>
      </c>
      <c r="E198" s="199" t="str">
        <f>VLOOKUP($D198,'Preços Unitários'!$B:$G,2,FALSE)</f>
        <v>Lastro de areia comercial - espalhamento manual</v>
      </c>
      <c r="F198" s="197" t="str">
        <f>VLOOKUP($D198,'Preços Unitários'!$B:$G,3,FALSE)</f>
        <v>m³</v>
      </c>
      <c r="G198" s="200">
        <f>+'MC Canais'!J178</f>
        <v>743.04</v>
      </c>
      <c r="H198" s="200">
        <f>VLOOKUP($D198,'Preços Unitários'!$B:$G,6,FALSE)</f>
        <v>198.06439700000001</v>
      </c>
      <c r="I198" s="201">
        <f t="shared" si="28"/>
        <v>147169.76954688001</v>
      </c>
      <c r="J198" s="291"/>
    </row>
    <row r="199" spans="2:10" s="243" customFormat="1" ht="28.8" x14ac:dyDescent="0.3">
      <c r="B199" s="197" t="s">
        <v>13529</v>
      </c>
      <c r="C199" s="197" t="s">
        <v>13</v>
      </c>
      <c r="D199" s="198" t="s">
        <v>13</v>
      </c>
      <c r="E199" s="207" t="s">
        <v>13228</v>
      </c>
      <c r="F199" s="197"/>
      <c r="G199" s="200">
        <f>+'MC Canais'!J179</f>
        <v>0</v>
      </c>
      <c r="H199" s="201"/>
      <c r="I199" s="201"/>
      <c r="J199" s="297"/>
    </row>
    <row r="200" spans="2:10" ht="28.8" x14ac:dyDescent="0.3">
      <c r="B200" s="197" t="s">
        <v>13530</v>
      </c>
      <c r="C200" s="197" t="s">
        <v>13039</v>
      </c>
      <c r="D200" s="198" t="s">
        <v>6964</v>
      </c>
      <c r="E200" s="199" t="str">
        <f>VLOOKUP($D200,'Preços Unitários'!$B:$G,2,FALSE)</f>
        <v>Valeta de proteção de cortes com revestimento vegetal - VPCG 120-30 - escavação mecânica</v>
      </c>
      <c r="F200" s="197" t="str">
        <f>VLOOKUP($D200,'Preços Unitários'!$B:$G,3,FALSE)</f>
        <v>m</v>
      </c>
      <c r="G200" s="200">
        <f>+'MC Canais'!J180</f>
        <v>12384</v>
      </c>
      <c r="H200" s="200">
        <f>VLOOKUP($D200,'Preços Unitários'!$B:$G,6,FALSE)</f>
        <v>51.961995999999999</v>
      </c>
      <c r="I200" s="201">
        <f t="shared" ref="I200:I203" si="29">+G200*H200</f>
        <v>643497.35846400005</v>
      </c>
      <c r="J200" s="299"/>
    </row>
    <row r="201" spans="2:10" ht="28.8" x14ac:dyDescent="0.3">
      <c r="B201" s="197" t="s">
        <v>13531</v>
      </c>
      <c r="C201" s="197" t="s">
        <v>13039</v>
      </c>
      <c r="D201" s="198" t="s">
        <v>6744</v>
      </c>
      <c r="E201" s="199" t="str">
        <f>VLOOKUP($D201,'Preços Unitários'!$B:$G,2,FALSE)</f>
        <v>Sarjeta triangular de grama - STG 125-25 - escavação mecânica</v>
      </c>
      <c r="F201" s="197" t="str">
        <f>VLOOKUP($D201,'Preços Unitários'!$B:$G,3,FALSE)</f>
        <v>m</v>
      </c>
      <c r="G201" s="200">
        <f>+'MC Canais'!J181</f>
        <v>12384</v>
      </c>
      <c r="H201" s="200">
        <f>VLOOKUP($D201,'Preços Unitários'!$B:$G,6,FALSE)</f>
        <v>29.776679000000001</v>
      </c>
      <c r="I201" s="201">
        <f t="shared" si="29"/>
        <v>368754.39273600001</v>
      </c>
      <c r="J201" s="299"/>
    </row>
    <row r="202" spans="2:10" ht="28.8" x14ac:dyDescent="0.3">
      <c r="B202" s="197" t="s">
        <v>13532</v>
      </c>
      <c r="C202" s="197" t="s">
        <v>13039</v>
      </c>
      <c r="D202" s="198" t="s">
        <v>2740</v>
      </c>
      <c r="E202" s="199" t="str">
        <f>VLOOKUP($D202,'Preços Unitários'!$B:$G,2,FALSE)</f>
        <v>Corpo de BSTC D = 0,80 m PA1 - areia, brita e pedra de mão comerciais</v>
      </c>
      <c r="F202" s="197" t="str">
        <f>VLOOKUP($D202,'Preços Unitários'!$B:$G,3,FALSE)</f>
        <v>m</v>
      </c>
      <c r="G202" s="200">
        <f>+'MC Canais'!J182</f>
        <v>42</v>
      </c>
      <c r="H202" s="200">
        <f>VLOOKUP($D202,'Preços Unitários'!$B:$G,6,FALSE)</f>
        <v>799.67357200000004</v>
      </c>
      <c r="I202" s="201">
        <f t="shared" si="29"/>
        <v>33586.290024000002</v>
      </c>
      <c r="J202" s="299"/>
    </row>
    <row r="203" spans="2:10" ht="28.8" x14ac:dyDescent="0.3">
      <c r="B203" s="197" t="s">
        <v>13533</v>
      </c>
      <c r="C203" s="197" t="s">
        <v>13039</v>
      </c>
      <c r="D203" s="208" t="s">
        <v>2172</v>
      </c>
      <c r="E203" s="199" t="str">
        <f>VLOOKUP($D203,'Preços Unitários'!$B:$G,2,FALSE)</f>
        <v>Boca de BSTC D = 0,80 m - esconsidade 0° - areia e brita comerciais - alas retas</v>
      </c>
      <c r="F203" s="197" t="str">
        <f>VLOOKUP($D203,'Preços Unitários'!$B:$G,3,FALSE)</f>
        <v>un</v>
      </c>
      <c r="G203" s="200">
        <f>+'MC Canais'!J183</f>
        <v>4</v>
      </c>
      <c r="H203" s="200">
        <f>VLOOKUP($D203,'Preços Unitários'!$B:$G,6,FALSE)</f>
        <v>1606.687966</v>
      </c>
      <c r="I203" s="201">
        <f t="shared" si="29"/>
        <v>6426.7518639999998</v>
      </c>
      <c r="J203" s="299"/>
    </row>
    <row r="204" spans="2:10" s="243" customFormat="1" x14ac:dyDescent="0.3">
      <c r="B204" s="197" t="s">
        <v>13534</v>
      </c>
      <c r="C204" s="197" t="s">
        <v>13</v>
      </c>
      <c r="D204" s="198" t="s">
        <v>13</v>
      </c>
      <c r="E204" s="207" t="s">
        <v>13230</v>
      </c>
      <c r="F204" s="197"/>
      <c r="G204" s="200">
        <f>+'MC Canais'!J184</f>
        <v>0</v>
      </c>
      <c r="H204" s="201"/>
      <c r="I204" s="201"/>
      <c r="J204" s="299"/>
    </row>
    <row r="205" spans="2:10" ht="28.8" x14ac:dyDescent="0.3">
      <c r="B205" s="197" t="s">
        <v>13535</v>
      </c>
      <c r="C205" s="197" t="s">
        <v>13039</v>
      </c>
      <c r="D205" s="198" t="s">
        <v>11088</v>
      </c>
      <c r="E205" s="199" t="str">
        <f>VLOOKUP($D205,'Preços Unitários'!$B:$G,2,FALSE)</f>
        <v>Escavação mecânica com retroescavadeira em material de 1ª categoria</v>
      </c>
      <c r="F205" s="197" t="str">
        <f>VLOOKUP($D205,'Preços Unitários'!$B:$G,3,FALSE)</f>
        <v>m³</v>
      </c>
      <c r="G205" s="200">
        <f>+'MC Canais'!J185</f>
        <v>6501.5999999999995</v>
      </c>
      <c r="H205" s="200">
        <f>VLOOKUP($D205,'Preços Unitários'!$B:$G,6,FALSE)</f>
        <v>8.7313189999999992</v>
      </c>
      <c r="I205" s="201">
        <f t="shared" ref="I205:I209" si="30">+G205*H205</f>
        <v>56767.543610399989</v>
      </c>
      <c r="J205" s="299"/>
    </row>
    <row r="206" spans="2:10" x14ac:dyDescent="0.3">
      <c r="B206" s="197" t="s">
        <v>13536</v>
      </c>
      <c r="C206" s="197" t="s">
        <v>13039</v>
      </c>
      <c r="D206" s="198" t="s">
        <v>11046</v>
      </c>
      <c r="E206" s="199" t="str">
        <f>VLOOKUP($D206,'Preços Unitários'!$B:$G,2,FALSE)</f>
        <v>Compactação de aterros a 100% do Proctor normal</v>
      </c>
      <c r="F206" s="197" t="str">
        <f>VLOOKUP($D206,'Preços Unitários'!$B:$G,3,FALSE)</f>
        <v>m³</v>
      </c>
      <c r="G206" s="200">
        <f>+'MC Canais'!J186</f>
        <v>4334.4000000000005</v>
      </c>
      <c r="H206" s="200">
        <f>VLOOKUP($D206,'Preços Unitários'!$B:$G,6,FALSE)</f>
        <v>7.1028090000000006</v>
      </c>
      <c r="I206" s="201">
        <f t="shared" si="30"/>
        <v>30786.415329600008</v>
      </c>
      <c r="J206" s="299"/>
    </row>
    <row r="207" spans="2:10" ht="28.8" x14ac:dyDescent="0.3">
      <c r="B207" s="197" t="s">
        <v>13537</v>
      </c>
      <c r="C207" s="197" t="s">
        <v>13039</v>
      </c>
      <c r="D207" s="198" t="s">
        <v>11947</v>
      </c>
      <c r="E207" s="199" t="str">
        <f>VLOOKUP($D207,'Preços Unitários'!$B:$G,2,FALSE)</f>
        <v>Transporte com caminhão basculante de 14 m³ - rodovia em leito natural</v>
      </c>
      <c r="F207" s="197" t="str">
        <f>VLOOKUP($D207,'Preços Unitários'!$B:$G,3,FALSE)</f>
        <v>tkm</v>
      </c>
      <c r="G207" s="200">
        <f>+'MC Canais'!J187</f>
        <v>2167.1999999999989</v>
      </c>
      <c r="H207" s="200">
        <f>VLOOKUP($D207,'Preços Unitários'!$B:$G,6,FALSE)</f>
        <v>1.165011</v>
      </c>
      <c r="I207" s="201">
        <f t="shared" si="30"/>
        <v>2524.8118391999988</v>
      </c>
      <c r="J207" s="299"/>
    </row>
    <row r="208" spans="2:10" x14ac:dyDescent="0.3">
      <c r="B208" s="197" t="s">
        <v>13538</v>
      </c>
      <c r="C208" s="197" t="s">
        <v>13039</v>
      </c>
      <c r="D208" s="198" t="s">
        <v>9440</v>
      </c>
      <c r="E208" s="199" t="str">
        <f>VLOOKUP($D208,'Preços Unitários'!$B:$G,2,FALSE)</f>
        <v>Regularização de superfície com motoniveladora</v>
      </c>
      <c r="F208" s="197" t="str">
        <f>VLOOKUP($D208,'Preços Unitários'!$B:$G,3,FALSE)</f>
        <v>m²</v>
      </c>
      <c r="G208" s="200">
        <f>+'MC Canais'!J188</f>
        <v>43344</v>
      </c>
      <c r="H208" s="200">
        <f>VLOOKUP($D208,'Preços Unitários'!$B:$G,6,FALSE)</f>
        <v>0.100216</v>
      </c>
      <c r="I208" s="201">
        <f t="shared" si="30"/>
        <v>4343.7623039999999</v>
      </c>
      <c r="J208" s="299"/>
    </row>
    <row r="209" spans="1:10" x14ac:dyDescent="0.3">
      <c r="B209" s="197" t="s">
        <v>13539</v>
      </c>
      <c r="C209" s="197" t="s">
        <v>12</v>
      </c>
      <c r="D209" s="198" t="s">
        <v>13232</v>
      </c>
      <c r="E209" s="199" t="s">
        <v>13231</v>
      </c>
      <c r="F209" s="197" t="s">
        <v>427</v>
      </c>
      <c r="G209" s="200">
        <f>+'MC Canais'!J189</f>
        <v>3250.7999999999997</v>
      </c>
      <c r="H209" s="200">
        <f>+'Composições de Preços'!$F$216</f>
        <v>214.40019935426301</v>
      </c>
      <c r="I209" s="201">
        <f t="shared" si="30"/>
        <v>696972.16806083813</v>
      </c>
      <c r="J209" s="299"/>
    </row>
    <row r="210" spans="1:10" s="243" customFormat="1" x14ac:dyDescent="0.3">
      <c r="B210" s="197" t="s">
        <v>13540</v>
      </c>
      <c r="C210" s="197" t="s">
        <v>13</v>
      </c>
      <c r="D210" s="198" t="s">
        <v>13</v>
      </c>
      <c r="E210" s="207" t="s">
        <v>13386</v>
      </c>
      <c r="F210" s="197"/>
      <c r="G210" s="200">
        <f>+'MC Canais'!J190</f>
        <v>0</v>
      </c>
      <c r="H210" s="201"/>
      <c r="I210" s="201"/>
      <c r="J210" s="299"/>
    </row>
    <row r="211" spans="1:10" ht="28.8" x14ac:dyDescent="0.3">
      <c r="B211" s="197" t="s">
        <v>13541</v>
      </c>
      <c r="C211" s="197" t="s">
        <v>13039</v>
      </c>
      <c r="D211" s="198" t="s">
        <v>8625</v>
      </c>
      <c r="E211" s="199" t="str">
        <f>VLOOKUP($D211,'Preços Unitários'!$B:$G,2,FALSE)</f>
        <v>Cerca com 4 fios de arame liso galvanizado e mourão de madeira a cada 2,5 m e esticador a cada 50 m</v>
      </c>
      <c r="F211" s="197" t="str">
        <f>VLOOKUP($D211,'Preços Unitários'!$B:$G,3,FALSE)</f>
        <v>m</v>
      </c>
      <c r="G211" s="200">
        <f>+'MC Canais'!J191</f>
        <v>12384</v>
      </c>
      <c r="H211" s="200">
        <f>VLOOKUP($D211,'Preços Unitários'!$B:$G,6,FALSE)</f>
        <v>27.146009000000003</v>
      </c>
      <c r="I211" s="201">
        <f t="shared" ref="I211" si="31">+G211*H211</f>
        <v>336176.17545600003</v>
      </c>
      <c r="J211" s="297"/>
    </row>
    <row r="212" spans="1:10" s="219" customFormat="1" x14ac:dyDescent="0.3">
      <c r="B212" s="214">
        <v>0</v>
      </c>
      <c r="C212" s="215" t="s">
        <v>13</v>
      </c>
      <c r="D212" s="216" t="s">
        <v>13</v>
      </c>
      <c r="E212" s="217" t="s">
        <v>13344</v>
      </c>
      <c r="F212" s="215" t="s">
        <v>13</v>
      </c>
      <c r="G212" s="214">
        <v>0</v>
      </c>
      <c r="H212" s="214">
        <v>0</v>
      </c>
      <c r="I212" s="214">
        <f>+I213</f>
        <v>11436089.626830226</v>
      </c>
      <c r="J212" s="299"/>
    </row>
    <row r="213" spans="1:10" x14ac:dyDescent="0.3">
      <c r="A213" s="42" t="s">
        <v>14475</v>
      </c>
      <c r="B213" s="209" t="s">
        <v>13057</v>
      </c>
      <c r="C213" s="209" t="s">
        <v>13</v>
      </c>
      <c r="D213" s="210" t="s">
        <v>13</v>
      </c>
      <c r="E213" s="211" t="s">
        <v>13070</v>
      </c>
      <c r="F213" s="209" t="s">
        <v>13</v>
      </c>
      <c r="G213" s="212">
        <v>0</v>
      </c>
      <c r="H213" s="212">
        <v>0</v>
      </c>
      <c r="I213" s="212">
        <f>SUM(I214:I249)</f>
        <v>11436089.626830226</v>
      </c>
      <c r="J213" s="284" t="s">
        <v>14475</v>
      </c>
    </row>
    <row r="214" spans="1:10" x14ac:dyDescent="0.3">
      <c r="B214" s="202" t="s">
        <v>13542</v>
      </c>
      <c r="C214" s="202" t="s">
        <v>13</v>
      </c>
      <c r="D214" s="203" t="s">
        <v>13</v>
      </c>
      <c r="E214" s="204" t="s">
        <v>13203</v>
      </c>
      <c r="F214" s="202"/>
      <c r="G214" s="205"/>
      <c r="H214" s="205"/>
      <c r="I214" s="205"/>
      <c r="J214" s="299"/>
    </row>
    <row r="215" spans="1:10" ht="28.8" x14ac:dyDescent="0.3">
      <c r="B215" s="197" t="s">
        <v>13543</v>
      </c>
      <c r="C215" s="197" t="s">
        <v>13039</v>
      </c>
      <c r="D215" s="198" t="s">
        <v>11052</v>
      </c>
      <c r="E215" s="199" t="str">
        <f>VLOOKUP($D215,'Preços Unitários'!$B:$G,2,FALSE)</f>
        <v>Desmatamento, destocamento e limpeza de área com árvores de diâmetro até 0,15 m</v>
      </c>
      <c r="F215" s="197" t="str">
        <f>VLOOKUP($D215,'Preços Unitários'!$B:$G,3,FALSE)</f>
        <v>m²</v>
      </c>
      <c r="G215" s="200">
        <f>+'MC Canais'!J233</f>
        <v>213960</v>
      </c>
      <c r="H215" s="200">
        <f>VLOOKUP($D215,'Preços Unitários'!$B:$G,6,FALSE)</f>
        <v>0.87688999999999995</v>
      </c>
      <c r="I215" s="201">
        <f>+G215*H215</f>
        <v>187619.38439999998</v>
      </c>
      <c r="J215" s="299"/>
    </row>
    <row r="216" spans="1:10" ht="43.2" x14ac:dyDescent="0.3">
      <c r="B216" s="197" t="s">
        <v>13544</v>
      </c>
      <c r="C216" s="197" t="s">
        <v>13039</v>
      </c>
      <c r="D216" s="198" t="s">
        <v>11092</v>
      </c>
      <c r="E216" s="199" t="str">
        <f>VLOOKUP($D216,'Preços Unitários'!$B:$G,2,FALSE)</f>
        <v>Escavação, carga e transporte de material de 1ª categoria - DMT de 1.000 a 1.200 m - caminho de serviço em leito natural - com escavadeira e caminhão basculante de 14 m³</v>
      </c>
      <c r="F216" s="197" t="str">
        <f>VLOOKUP($D216,'Preços Unitários'!$B:$G,3,FALSE)</f>
        <v>m³</v>
      </c>
      <c r="G216" s="200">
        <f>+'MC Canais'!J234</f>
        <v>54668.67</v>
      </c>
      <c r="H216" s="200">
        <f>VLOOKUP($D216,'Preços Unitários'!$B:$G,6,FALSE)</f>
        <v>10.673003999999999</v>
      </c>
      <c r="I216" s="201">
        <f t="shared" ref="I216:I228" si="32">+G216*H216</f>
        <v>583478.93358467997</v>
      </c>
      <c r="J216" s="299"/>
    </row>
    <row r="217" spans="1:10" x14ac:dyDescent="0.3">
      <c r="B217" s="197" t="s">
        <v>13545</v>
      </c>
      <c r="C217" s="197" t="s">
        <v>13039</v>
      </c>
      <c r="D217" s="198" t="s">
        <v>11046</v>
      </c>
      <c r="E217" s="213" t="str">
        <f>VLOOKUP($D217,'Preços Unitários'!$B:$G,2,FALSE)</f>
        <v>Compactação de aterros a 100% do Proctor normal</v>
      </c>
      <c r="F217" s="197" t="str">
        <f>VLOOKUP($D217,'Preços Unitários'!$B:$G,3,FALSE)</f>
        <v>m³</v>
      </c>
      <c r="G217" s="200">
        <f>+'MC Canais'!J235</f>
        <v>36393.86</v>
      </c>
      <c r="H217" s="200">
        <f>VLOOKUP($D217,'Preços Unitários'!$B:$G,6,FALSE)</f>
        <v>7.1028090000000006</v>
      </c>
      <c r="I217" s="201">
        <f t="shared" si="32"/>
        <v>258498.63635274002</v>
      </c>
      <c r="J217" s="299"/>
    </row>
    <row r="218" spans="1:10" ht="28.8" x14ac:dyDescent="0.3">
      <c r="B218" s="197" t="s">
        <v>13546</v>
      </c>
      <c r="C218" s="197" t="s">
        <v>13039</v>
      </c>
      <c r="D218" s="198" t="s">
        <v>11947</v>
      </c>
      <c r="E218" s="199" t="str">
        <f>VLOOKUP($D218,'Preços Unitários'!$B:$G,2,FALSE)</f>
        <v>Transporte com caminhão basculante de 14 m³ - rodovia em leito natural</v>
      </c>
      <c r="F218" s="197" t="str">
        <f>VLOOKUP($D218,'Preços Unitários'!$B:$G,3,FALSE)</f>
        <v>tkm</v>
      </c>
      <c r="G218" s="200">
        <f>+'MC Canais'!J236</f>
        <v>127923.66999999998</v>
      </c>
      <c r="H218" s="200">
        <f>VLOOKUP($D218,'Preços Unitários'!$B:$G,6,FALSE)</f>
        <v>1.165011</v>
      </c>
      <c r="I218" s="201">
        <f t="shared" si="32"/>
        <v>149032.48271036998</v>
      </c>
      <c r="J218" s="299"/>
    </row>
    <row r="219" spans="1:10" x14ac:dyDescent="0.3">
      <c r="B219" s="197" t="s">
        <v>13547</v>
      </c>
      <c r="C219" s="197" t="s">
        <v>13039</v>
      </c>
      <c r="D219" s="198" t="s">
        <v>9440</v>
      </c>
      <c r="E219" s="199" t="str">
        <f>VLOOKUP($D219,'Preços Unitários'!$B:$G,2,FALSE)</f>
        <v>Regularização de superfície com motoniveladora</v>
      </c>
      <c r="F219" s="197" t="str">
        <f>VLOOKUP($D219,'Preços Unitários'!$B:$G,3,FALSE)</f>
        <v>m²</v>
      </c>
      <c r="G219" s="200">
        <f>+'MC Canais'!J237</f>
        <v>4279.2</v>
      </c>
      <c r="H219" s="200">
        <f>VLOOKUP($D219,'Preços Unitários'!$B:$G,6,FALSE)</f>
        <v>0.100216</v>
      </c>
      <c r="I219" s="201">
        <f>+G219*H219</f>
        <v>428.8443072</v>
      </c>
      <c r="J219" s="299"/>
    </row>
    <row r="220" spans="1:10" ht="28.8" x14ac:dyDescent="0.3">
      <c r="B220" s="197" t="s">
        <v>13548</v>
      </c>
      <c r="C220" s="197" t="s">
        <v>12</v>
      </c>
      <c r="D220" s="198" t="s">
        <v>13205</v>
      </c>
      <c r="E220" s="199" t="s">
        <v>13204</v>
      </c>
      <c r="F220" s="197" t="s">
        <v>2904</v>
      </c>
      <c r="G220" s="200">
        <f>+'MC Canais'!J238</f>
        <v>6601</v>
      </c>
      <c r="H220" s="200">
        <f>+'Composições de Preços'!$F$87</f>
        <v>59.387948601153852</v>
      </c>
      <c r="I220" s="201">
        <f t="shared" si="32"/>
        <v>392019.84871621657</v>
      </c>
      <c r="J220" s="299"/>
    </row>
    <row r="221" spans="1:10" ht="28.8" x14ac:dyDescent="0.3">
      <c r="B221" s="197" t="s">
        <v>13549</v>
      </c>
      <c r="C221" s="197" t="s">
        <v>12</v>
      </c>
      <c r="D221" s="198" t="s">
        <v>14504</v>
      </c>
      <c r="E221" s="199" t="s">
        <v>14497</v>
      </c>
      <c r="F221" s="197" t="s">
        <v>427</v>
      </c>
      <c r="G221" s="200">
        <f>+'MC Canais'!J239</f>
        <v>5280.8</v>
      </c>
      <c r="H221" s="200">
        <f>+'Composições de Preços'!$F$446</f>
        <v>99.894988108799993</v>
      </c>
      <c r="I221" s="201">
        <f t="shared" si="32"/>
        <v>527525.45320495102</v>
      </c>
      <c r="J221" s="299"/>
    </row>
    <row r="222" spans="1:10" ht="28.8" x14ac:dyDescent="0.3">
      <c r="B222" s="197" t="s">
        <v>13550</v>
      </c>
      <c r="C222" s="197" t="s">
        <v>12</v>
      </c>
      <c r="D222" s="198" t="s">
        <v>13192</v>
      </c>
      <c r="E222" s="199" t="s">
        <v>13191</v>
      </c>
      <c r="F222" s="197" t="s">
        <v>2904</v>
      </c>
      <c r="G222" s="200">
        <f>+'MC Canais'!J240</f>
        <v>26404</v>
      </c>
      <c r="H222" s="200">
        <f>+'Composições de Preços'!$F$44</f>
        <v>73.117919302000004</v>
      </c>
      <c r="I222" s="201">
        <f t="shared" si="32"/>
        <v>1930605.5412500082</v>
      </c>
      <c r="J222" s="299"/>
    </row>
    <row r="223" spans="1:10" ht="28.8" x14ac:dyDescent="0.3">
      <c r="B223" s="197" t="s">
        <v>13551</v>
      </c>
      <c r="C223" s="197" t="s">
        <v>12</v>
      </c>
      <c r="D223" s="198" t="s">
        <v>14506</v>
      </c>
      <c r="E223" s="199" t="s">
        <v>14505</v>
      </c>
      <c r="F223" s="197" t="s">
        <v>427</v>
      </c>
      <c r="G223" s="200">
        <f>+'MC Canais'!J241</f>
        <v>10698</v>
      </c>
      <c r="H223" s="200">
        <f>+'Composições de Preços'!$F$492</f>
        <v>107.93859485200001</v>
      </c>
      <c r="I223" s="201">
        <f t="shared" si="32"/>
        <v>1154727.0877266962</v>
      </c>
      <c r="J223" s="299"/>
    </row>
    <row r="224" spans="1:10" ht="28.8" x14ac:dyDescent="0.3">
      <c r="B224" s="197" t="s">
        <v>13552</v>
      </c>
      <c r="C224" s="197" t="s">
        <v>13039</v>
      </c>
      <c r="D224" s="198" t="s">
        <v>3149</v>
      </c>
      <c r="E224" s="199" t="str">
        <f>VLOOKUP($D224,'Preços Unitários'!$B:$G,2,FALSE)</f>
        <v>Concreto para bombeamento fck = 30 MPa - confecção em central dosadora de 30 m³/h - areia e brita comerciais</v>
      </c>
      <c r="F224" s="197" t="str">
        <f>VLOOKUP($D224,'Preços Unitários'!$B:$G,3,FALSE)</f>
        <v>m³</v>
      </c>
      <c r="G224" s="200">
        <f>+'MC Canais'!J242</f>
        <v>1848.2800000000002</v>
      </c>
      <c r="H224" s="200">
        <f>VLOOKUP($D224,'Preços Unitários'!$B:$G,6,FALSE)</f>
        <v>575.92882499999996</v>
      </c>
      <c r="I224" s="201">
        <f t="shared" si="32"/>
        <v>1064477.7286710001</v>
      </c>
      <c r="J224" s="299"/>
    </row>
    <row r="225" spans="2:10" ht="43.2" x14ac:dyDescent="0.3">
      <c r="B225" s="197" t="s">
        <v>13553</v>
      </c>
      <c r="C225" s="197" t="s">
        <v>13039</v>
      </c>
      <c r="D225" s="198" t="s">
        <v>3201</v>
      </c>
      <c r="E225" s="199" t="str">
        <f>VLOOKUP($D225,'Preços Unitários'!$B:$G,2,FALSE)</f>
        <v>Lançamento mecânico de concreto com bomba rebocável com capacidade de 30 m³/h - confecção em central dosadora de 30 m³/h</v>
      </c>
      <c r="F225" s="197" t="str">
        <f>VLOOKUP($D225,'Preços Unitários'!$B:$G,3,FALSE)</f>
        <v>m³</v>
      </c>
      <c r="G225" s="200">
        <f>+'MC Canais'!J243</f>
        <v>1848.2800000000002</v>
      </c>
      <c r="H225" s="200">
        <f>VLOOKUP($D225,'Preços Unitários'!$B:$G,6,FALSE)</f>
        <v>86.285976000000005</v>
      </c>
      <c r="I225" s="201">
        <f t="shared" si="32"/>
        <v>159480.64372128004</v>
      </c>
      <c r="J225" s="299"/>
    </row>
    <row r="226" spans="2:10" ht="28.8" x14ac:dyDescent="0.3">
      <c r="B226" s="197" t="s">
        <v>14535</v>
      </c>
      <c r="C226" s="197" t="s">
        <v>13039</v>
      </c>
      <c r="D226" s="198" t="s">
        <v>206</v>
      </c>
      <c r="E226" s="199" t="str">
        <f>VLOOKUP($D226,'Preços Unitários'!$B:$G,2,FALSE)</f>
        <v>Lábios poliméricos em junta de pavimento de concreto - L = 20 mm e H = 30 mm - confecção e assentamento</v>
      </c>
      <c r="F226" s="197" t="str">
        <f>VLOOKUP($D226,'Preços Unitários'!$B:$G,3,FALSE)</f>
        <v>m</v>
      </c>
      <c r="G226" s="200">
        <f>+'MC Canais'!J244</f>
        <v>15447.912</v>
      </c>
      <c r="H226" s="200">
        <f>VLOOKUP($D226,'Preços Unitários'!$B:$G,6,FALSE)</f>
        <v>39.635428000000005</v>
      </c>
      <c r="I226" s="201">
        <f t="shared" si="32"/>
        <v>612284.6038263361</v>
      </c>
      <c r="J226" s="299"/>
    </row>
    <row r="227" spans="2:10" x14ac:dyDescent="0.3">
      <c r="B227" s="197" t="s">
        <v>14536</v>
      </c>
      <c r="C227" s="197" t="s">
        <v>12</v>
      </c>
      <c r="D227" s="198" t="s">
        <v>13209</v>
      </c>
      <c r="E227" s="199" t="s">
        <v>13208</v>
      </c>
      <c r="F227" s="197" t="s">
        <v>195</v>
      </c>
      <c r="G227" s="200">
        <f>+'MC Canais'!J245</f>
        <v>10698</v>
      </c>
      <c r="H227" s="200">
        <f>+'Composições de Preços'!$F$130</f>
        <v>37.70076957596789</v>
      </c>
      <c r="I227" s="201">
        <f t="shared" si="32"/>
        <v>403322.83292370447</v>
      </c>
      <c r="J227" s="299"/>
    </row>
    <row r="228" spans="2:10" ht="28.8" x14ac:dyDescent="0.3">
      <c r="B228" s="197" t="s">
        <v>14578</v>
      </c>
      <c r="C228" s="197" t="s">
        <v>13039</v>
      </c>
      <c r="D228" s="198" t="s">
        <v>9446</v>
      </c>
      <c r="E228" s="199" t="str">
        <f>VLOOKUP($D228,'Preços Unitários'!$B:$G,2,FALSE)</f>
        <v>Revestimento vegetal com grama em mudas em superfícies inclinadas</v>
      </c>
      <c r="F228" s="197" t="str">
        <f>VLOOKUP($D228,'Preços Unitários'!$B:$G,3,FALSE)</f>
        <v>m²</v>
      </c>
      <c r="G228" s="200">
        <f>+'MC Canais'!J246</f>
        <v>64188</v>
      </c>
      <c r="H228" s="200">
        <f>VLOOKUP($D228,'Preços Unitários'!$B:$G,6,FALSE)</f>
        <v>9.984019</v>
      </c>
      <c r="I228" s="201">
        <f t="shared" si="32"/>
        <v>640854.21157199994</v>
      </c>
      <c r="J228" s="299"/>
    </row>
    <row r="229" spans="2:10" x14ac:dyDescent="0.3">
      <c r="B229" s="202" t="s">
        <v>13554</v>
      </c>
      <c r="C229" s="202" t="s">
        <v>13</v>
      </c>
      <c r="D229" s="203" t="s">
        <v>13</v>
      </c>
      <c r="E229" s="204" t="s">
        <v>13222</v>
      </c>
      <c r="F229" s="202"/>
      <c r="G229" s="200">
        <f>+'MC Canais'!J247</f>
        <v>0</v>
      </c>
      <c r="H229" s="205"/>
      <c r="I229" s="205"/>
      <c r="J229" s="299"/>
    </row>
    <row r="230" spans="2:10" x14ac:dyDescent="0.3">
      <c r="B230" s="197" t="s">
        <v>13555</v>
      </c>
      <c r="C230" s="197" t="s">
        <v>13039</v>
      </c>
      <c r="D230" s="198" t="s">
        <v>9806</v>
      </c>
      <c r="E230" s="199" t="str">
        <f>VLOOKUP($D230,'Preços Unitários'!$B:$G,2,FALSE)</f>
        <v>Escavação mecânica de vala em material de 1ª categoria</v>
      </c>
      <c r="F230" s="197" t="str">
        <f>VLOOKUP($D230,'Preços Unitários'!$B:$G,3,FALSE)</f>
        <v>m³</v>
      </c>
      <c r="G230" s="200">
        <f>+'MC Canais'!J248</f>
        <v>4493.16</v>
      </c>
      <c r="H230" s="200">
        <f>VLOOKUP($D230,'Preços Unitários'!$B:$G,6,FALSE)</f>
        <v>8.7313189999999992</v>
      </c>
      <c r="I230" s="201">
        <f t="shared" ref="I230:I236" si="33">+G230*H230</f>
        <v>39231.213278039992</v>
      </c>
      <c r="J230" s="299"/>
    </row>
    <row r="231" spans="2:10" x14ac:dyDescent="0.3">
      <c r="B231" s="197" t="s">
        <v>13556</v>
      </c>
      <c r="C231" s="197" t="s">
        <v>13039</v>
      </c>
      <c r="D231" s="198" t="s">
        <v>9830</v>
      </c>
      <c r="E231" s="199" t="str">
        <f>VLOOKUP($D231,'Preços Unitários'!$B:$G,2,FALSE)</f>
        <v>Reaterro e compactação com soquete vibratório</v>
      </c>
      <c r="F231" s="197" t="str">
        <f>VLOOKUP($D231,'Preços Unitários'!$B:$G,3,FALSE)</f>
        <v>m³</v>
      </c>
      <c r="G231" s="200">
        <f>+'MC Canais'!J249</f>
        <v>2567.52</v>
      </c>
      <c r="H231" s="200">
        <f>VLOOKUP($D231,'Preços Unitários'!$B:$G,6,FALSE)</f>
        <v>22.611235000000001</v>
      </c>
      <c r="I231" s="201">
        <f t="shared" si="33"/>
        <v>58054.798087200004</v>
      </c>
      <c r="J231" s="299"/>
    </row>
    <row r="232" spans="2:10" ht="28.8" x14ac:dyDescent="0.3">
      <c r="B232" s="197" t="s">
        <v>13557</v>
      </c>
      <c r="C232" s="197" t="s">
        <v>13039</v>
      </c>
      <c r="D232" s="198" t="s">
        <v>11947</v>
      </c>
      <c r="E232" s="199" t="str">
        <f>VLOOKUP($D232,'Preços Unitários'!$B:$G,2,FALSE)</f>
        <v>Transporte com caminhão basculante de 14 m³ - rodovia em leito natural</v>
      </c>
      <c r="F232" s="197" t="str">
        <f>VLOOKUP($D232,'Preços Unitários'!$B:$G,3,FALSE)</f>
        <v>tkm</v>
      </c>
      <c r="G232" s="200">
        <f>+'MC Canais'!J250</f>
        <v>13479.48</v>
      </c>
      <c r="H232" s="200">
        <f>VLOOKUP($D232,'Preços Unitários'!$B:$G,6,FALSE)</f>
        <v>1.165011</v>
      </c>
      <c r="I232" s="201">
        <f t="shared" si="33"/>
        <v>15703.742474279999</v>
      </c>
      <c r="J232" s="291"/>
    </row>
    <row r="233" spans="2:10" ht="28.8" x14ac:dyDescent="0.3">
      <c r="B233" s="197" t="s">
        <v>13558</v>
      </c>
      <c r="C233" s="197" t="s">
        <v>12</v>
      </c>
      <c r="D233" s="198" t="s">
        <v>13224</v>
      </c>
      <c r="E233" s="199" t="s">
        <v>13223</v>
      </c>
      <c r="F233" s="197" t="s">
        <v>2904</v>
      </c>
      <c r="G233" s="200">
        <f>+'MC Canais'!J251</f>
        <v>12837.6</v>
      </c>
      <c r="H233" s="200">
        <f>+'Composições de Preços'!$F$173</f>
        <v>26.052132569499999</v>
      </c>
      <c r="I233" s="201">
        <f t="shared" si="33"/>
        <v>334446.85707421321</v>
      </c>
      <c r="J233" s="297"/>
    </row>
    <row r="234" spans="2:10" ht="28.8" x14ac:dyDescent="0.3">
      <c r="B234" s="197" t="s">
        <v>13559</v>
      </c>
      <c r="C234" s="197" t="s">
        <v>13039</v>
      </c>
      <c r="D234" s="198" t="s">
        <v>6908</v>
      </c>
      <c r="E234" s="199" t="str">
        <f>VLOOKUP($D234,'Preços Unitários'!$B:$G,2,FALSE)</f>
        <v>Tubo de concreto perfurado produzido na obra para drenagem - D = 0,40 m - fornecimento e instalação</v>
      </c>
      <c r="F234" s="197" t="str">
        <f>VLOOKUP($D234,'Preços Unitários'!$B:$G,3,FALSE)</f>
        <v>m</v>
      </c>
      <c r="G234" s="200">
        <f>+'MC Canais'!J252</f>
        <v>5349</v>
      </c>
      <c r="H234" s="200">
        <f>VLOOKUP($D234,'Preços Unitários'!$B:$G,6,FALSE)</f>
        <v>116.764167</v>
      </c>
      <c r="I234" s="201">
        <f t="shared" si="33"/>
        <v>624571.52928300004</v>
      </c>
      <c r="J234" s="299"/>
    </row>
    <row r="235" spans="2:10" ht="28.8" x14ac:dyDescent="0.3">
      <c r="B235" s="197" t="s">
        <v>13560</v>
      </c>
      <c r="C235" s="197" t="s">
        <v>13039</v>
      </c>
      <c r="D235" s="198" t="s">
        <v>6438</v>
      </c>
      <c r="E235" s="199" t="str">
        <f>VLOOKUP($D235,'Preços Unitários'!$B:$G,2,FALSE)</f>
        <v>Lastro de brita comercial compactado com soquete vibratório - espalhamento manual</v>
      </c>
      <c r="F235" s="197" t="str">
        <f>VLOOKUP($D235,'Preços Unitários'!$B:$G,3,FALSE)</f>
        <v>m³</v>
      </c>
      <c r="G235" s="200">
        <f>+'MC Canais'!J253</f>
        <v>1253.8055999999997</v>
      </c>
      <c r="H235" s="200">
        <f>VLOOKUP($D235,'Preços Unitários'!$B:$G,6,FALSE)</f>
        <v>239.34086200000002</v>
      </c>
      <c r="I235" s="201">
        <f t="shared" si="33"/>
        <v>300086.91308442713</v>
      </c>
      <c r="J235" s="299"/>
    </row>
    <row r="236" spans="2:10" x14ac:dyDescent="0.3">
      <c r="B236" s="197" t="s">
        <v>13561</v>
      </c>
      <c r="C236" s="197" t="s">
        <v>13039</v>
      </c>
      <c r="D236" s="206" t="s">
        <v>6430</v>
      </c>
      <c r="E236" s="199" t="str">
        <f>VLOOKUP($D236,'Preços Unitários'!$B:$G,2,FALSE)</f>
        <v>Lastro de areia comercial - espalhamento manual</v>
      </c>
      <c r="F236" s="197" t="str">
        <f>VLOOKUP($D236,'Preços Unitários'!$B:$G,3,FALSE)</f>
        <v>m³</v>
      </c>
      <c r="G236" s="200">
        <f>+'MC Canais'!J254</f>
        <v>641.88000000000011</v>
      </c>
      <c r="H236" s="200">
        <f>VLOOKUP($D236,'Preços Unitários'!$B:$G,6,FALSE)</f>
        <v>198.06439700000001</v>
      </c>
      <c r="I236" s="201">
        <f t="shared" si="33"/>
        <v>127133.57514636003</v>
      </c>
      <c r="J236" s="299"/>
    </row>
    <row r="237" spans="2:10" s="243" customFormat="1" ht="28.8" x14ac:dyDescent="0.3">
      <c r="B237" s="197" t="s">
        <v>13562</v>
      </c>
      <c r="C237" s="197" t="s">
        <v>13</v>
      </c>
      <c r="D237" s="198" t="s">
        <v>13</v>
      </c>
      <c r="E237" s="207" t="s">
        <v>13228</v>
      </c>
      <c r="F237" s="197"/>
      <c r="G237" s="200">
        <f>+'MC Canais'!J255</f>
        <v>0</v>
      </c>
      <c r="H237" s="201"/>
      <c r="I237" s="201"/>
      <c r="J237" s="299"/>
    </row>
    <row r="238" spans="2:10" ht="28.8" x14ac:dyDescent="0.3">
      <c r="B238" s="197" t="s">
        <v>13563</v>
      </c>
      <c r="C238" s="197" t="s">
        <v>13039</v>
      </c>
      <c r="D238" s="198" t="s">
        <v>6964</v>
      </c>
      <c r="E238" s="199" t="str">
        <f>VLOOKUP($D238,'Preços Unitários'!$B:$G,2,FALSE)</f>
        <v>Valeta de proteção de cortes com revestimento vegetal - VPCG 120-30 - escavação mecânica</v>
      </c>
      <c r="F238" s="197" t="str">
        <f>VLOOKUP($D238,'Preços Unitários'!$B:$G,3,FALSE)</f>
        <v>m</v>
      </c>
      <c r="G238" s="200">
        <f>+'MC Canais'!J256</f>
        <v>10698</v>
      </c>
      <c r="H238" s="200">
        <f>VLOOKUP($D238,'Preços Unitários'!$B:$G,6,FALSE)</f>
        <v>51.961995999999999</v>
      </c>
      <c r="I238" s="201">
        <f t="shared" ref="I238:I241" si="34">+G238*H238</f>
        <v>555889.43320800003</v>
      </c>
      <c r="J238" s="299"/>
    </row>
    <row r="239" spans="2:10" ht="28.8" x14ac:dyDescent="0.3">
      <c r="B239" s="197" t="s">
        <v>13564</v>
      </c>
      <c r="C239" s="197" t="s">
        <v>13039</v>
      </c>
      <c r="D239" s="198" t="s">
        <v>6744</v>
      </c>
      <c r="E239" s="199" t="str">
        <f>VLOOKUP($D239,'Preços Unitários'!$B:$G,2,FALSE)</f>
        <v>Sarjeta triangular de grama - STG 125-25 - escavação mecânica</v>
      </c>
      <c r="F239" s="197" t="str">
        <f>VLOOKUP($D239,'Preços Unitários'!$B:$G,3,FALSE)</f>
        <v>m</v>
      </c>
      <c r="G239" s="200">
        <f>+'MC Canais'!J257</f>
        <v>10698</v>
      </c>
      <c r="H239" s="200">
        <f>VLOOKUP($D239,'Preços Unitários'!$B:$G,6,FALSE)</f>
        <v>29.776679000000001</v>
      </c>
      <c r="I239" s="201">
        <f t="shared" si="34"/>
        <v>318550.91194200004</v>
      </c>
      <c r="J239" s="299"/>
    </row>
    <row r="240" spans="2:10" ht="28.8" x14ac:dyDescent="0.3">
      <c r="B240" s="197" t="s">
        <v>13565</v>
      </c>
      <c r="C240" s="197" t="s">
        <v>13039</v>
      </c>
      <c r="D240" s="198" t="s">
        <v>2740</v>
      </c>
      <c r="E240" s="199" t="str">
        <f>VLOOKUP($D240,'Preços Unitários'!$B:$G,2,FALSE)</f>
        <v>Corpo de BSTC D = 0,80 m PA1 - areia, brita e pedra de mão comerciais</v>
      </c>
      <c r="F240" s="197" t="str">
        <f>VLOOKUP($D240,'Preços Unitários'!$B:$G,3,FALSE)</f>
        <v>m</v>
      </c>
      <c r="G240" s="200">
        <f>+'MC Canais'!J258</f>
        <v>26</v>
      </c>
      <c r="H240" s="200">
        <f>VLOOKUP($D240,'Preços Unitários'!$B:$G,6,FALSE)</f>
        <v>799.67357200000004</v>
      </c>
      <c r="I240" s="201">
        <f t="shared" si="34"/>
        <v>20791.512871999999</v>
      </c>
      <c r="J240" s="299"/>
    </row>
    <row r="241" spans="1:10" ht="28.8" x14ac:dyDescent="0.3">
      <c r="B241" s="197" t="s">
        <v>13566</v>
      </c>
      <c r="C241" s="197" t="s">
        <v>13039</v>
      </c>
      <c r="D241" s="208" t="s">
        <v>2172</v>
      </c>
      <c r="E241" s="199" t="str">
        <f>VLOOKUP($D241,'Preços Unitários'!$B:$G,2,FALSE)</f>
        <v>Boca de BSTC D = 0,80 m - esconsidade 0° - areia e brita comerciais - alas retas</v>
      </c>
      <c r="F241" s="197" t="str">
        <f>VLOOKUP($D241,'Preços Unitários'!$B:$G,3,FALSE)</f>
        <v>un</v>
      </c>
      <c r="G241" s="200">
        <f>+'MC Canais'!J259</f>
        <v>2</v>
      </c>
      <c r="H241" s="200">
        <f>VLOOKUP($D241,'Preços Unitários'!$B:$G,6,FALSE)</f>
        <v>1606.687966</v>
      </c>
      <c r="I241" s="201">
        <f t="shared" si="34"/>
        <v>3213.3759319999999</v>
      </c>
      <c r="J241" s="299"/>
    </row>
    <row r="242" spans="1:10" s="243" customFormat="1" x14ac:dyDescent="0.3">
      <c r="B242" s="197" t="s">
        <v>13567</v>
      </c>
      <c r="C242" s="197" t="s">
        <v>13</v>
      </c>
      <c r="D242" s="198" t="s">
        <v>13</v>
      </c>
      <c r="E242" s="207" t="s">
        <v>13230</v>
      </c>
      <c r="F242" s="197"/>
      <c r="G242" s="200">
        <f>+'MC Canais'!J260</f>
        <v>0</v>
      </c>
      <c r="H242" s="201"/>
      <c r="I242" s="201"/>
      <c r="J242" s="299"/>
    </row>
    <row r="243" spans="1:10" ht="28.8" x14ac:dyDescent="0.3">
      <c r="B243" s="197" t="s">
        <v>13568</v>
      </c>
      <c r="C243" s="197" t="s">
        <v>13039</v>
      </c>
      <c r="D243" s="198" t="s">
        <v>11088</v>
      </c>
      <c r="E243" s="199" t="str">
        <f>VLOOKUP($D243,'Preços Unitários'!$B:$G,2,FALSE)</f>
        <v>Escavação mecânica com retroescavadeira em material de 1ª categoria</v>
      </c>
      <c r="F243" s="197" t="str">
        <f>VLOOKUP($D243,'Preços Unitários'!$B:$G,3,FALSE)</f>
        <v>m³</v>
      </c>
      <c r="G243" s="200">
        <f>+'MC Canais'!J261</f>
        <v>5616.45</v>
      </c>
      <c r="H243" s="200">
        <f>VLOOKUP($D243,'Preços Unitários'!$B:$G,6,FALSE)</f>
        <v>8.7313189999999992</v>
      </c>
      <c r="I243" s="201">
        <f t="shared" ref="I243:I247" si="35">+G243*H243</f>
        <v>49039.016597549991</v>
      </c>
      <c r="J243" s="299"/>
    </row>
    <row r="244" spans="1:10" x14ac:dyDescent="0.3">
      <c r="B244" s="197" t="s">
        <v>13569</v>
      </c>
      <c r="C244" s="197" t="s">
        <v>13039</v>
      </c>
      <c r="D244" s="198" t="s">
        <v>11046</v>
      </c>
      <c r="E244" s="199" t="str">
        <f>VLOOKUP($D244,'Preços Unitários'!$B:$G,2,FALSE)</f>
        <v>Compactação de aterros a 100% do Proctor normal</v>
      </c>
      <c r="F244" s="197" t="str">
        <f>VLOOKUP($D244,'Preços Unitários'!$B:$G,3,FALSE)</f>
        <v>m³</v>
      </c>
      <c r="G244" s="200">
        <f>+'MC Canais'!J262</f>
        <v>3744.3</v>
      </c>
      <c r="H244" s="200">
        <f>VLOOKUP($D244,'Preços Unitários'!$B:$G,6,FALSE)</f>
        <v>7.1028090000000006</v>
      </c>
      <c r="I244" s="201">
        <f t="shared" si="35"/>
        <v>26595.047738700003</v>
      </c>
      <c r="J244" s="299"/>
    </row>
    <row r="245" spans="1:10" ht="28.8" x14ac:dyDescent="0.3">
      <c r="B245" s="197" t="s">
        <v>13570</v>
      </c>
      <c r="C245" s="197" t="s">
        <v>13039</v>
      </c>
      <c r="D245" s="198" t="s">
        <v>11947</v>
      </c>
      <c r="E245" s="199" t="str">
        <f>VLOOKUP($D245,'Preços Unitários'!$B:$G,2,FALSE)</f>
        <v>Transporte com caminhão basculante de 14 m³ - rodovia em leito natural</v>
      </c>
      <c r="F245" s="197" t="str">
        <f>VLOOKUP($D245,'Preços Unitários'!$B:$G,3,FALSE)</f>
        <v>tkm</v>
      </c>
      <c r="G245" s="200">
        <f>+'MC Canais'!J263</f>
        <v>1872.1499999999996</v>
      </c>
      <c r="H245" s="200">
        <f>VLOOKUP($D245,'Preços Unitários'!$B:$G,6,FALSE)</f>
        <v>1.165011</v>
      </c>
      <c r="I245" s="201">
        <f t="shared" si="35"/>
        <v>2181.0753436499995</v>
      </c>
      <c r="J245" s="297"/>
    </row>
    <row r="246" spans="1:10" x14ac:dyDescent="0.3">
      <c r="B246" s="197" t="s">
        <v>13571</v>
      </c>
      <c r="C246" s="197" t="s">
        <v>13039</v>
      </c>
      <c r="D246" s="198" t="s">
        <v>9440</v>
      </c>
      <c r="E246" s="199" t="str">
        <f>VLOOKUP($D246,'Preços Unitários'!$B:$G,2,FALSE)</f>
        <v>Regularização de superfície com motoniveladora</v>
      </c>
      <c r="F246" s="197" t="str">
        <f>VLOOKUP($D246,'Preços Unitários'!$B:$G,3,FALSE)</f>
        <v>m²</v>
      </c>
      <c r="G246" s="200">
        <f>+'MC Canais'!J264</f>
        <v>37443</v>
      </c>
      <c r="H246" s="200">
        <f>VLOOKUP($D246,'Preços Unitários'!$B:$G,6,FALSE)</f>
        <v>0.100216</v>
      </c>
      <c r="I246" s="201">
        <f t="shared" si="35"/>
        <v>3752.3876879999998</v>
      </c>
      <c r="J246" s="299"/>
    </row>
    <row r="247" spans="1:10" x14ac:dyDescent="0.3">
      <c r="B247" s="197" t="s">
        <v>13572</v>
      </c>
      <c r="C247" s="197" t="s">
        <v>12</v>
      </c>
      <c r="D247" s="198" t="s">
        <v>13232</v>
      </c>
      <c r="E247" s="199" t="s">
        <v>13231</v>
      </c>
      <c r="F247" s="197" t="s">
        <v>427</v>
      </c>
      <c r="G247" s="200">
        <f>+'MC Canais'!J265</f>
        <v>2808.2249999999999</v>
      </c>
      <c r="H247" s="200">
        <f>+'Composições de Preços'!$F$216</f>
        <v>214.40019935426301</v>
      </c>
      <c r="I247" s="201">
        <f t="shared" si="35"/>
        <v>602083.99983162526</v>
      </c>
      <c r="J247" s="299"/>
    </row>
    <row r="248" spans="1:10" s="243" customFormat="1" x14ac:dyDescent="0.3">
      <c r="B248" s="197" t="s">
        <v>13573</v>
      </c>
      <c r="C248" s="197" t="s">
        <v>13</v>
      </c>
      <c r="D248" s="198" t="s">
        <v>13</v>
      </c>
      <c r="E248" s="207" t="s">
        <v>13386</v>
      </c>
      <c r="F248" s="197"/>
      <c r="G248" s="200">
        <f>+'MC Canais'!J266</f>
        <v>0</v>
      </c>
      <c r="H248" s="201"/>
      <c r="I248" s="201"/>
      <c r="J248" s="299"/>
    </row>
    <row r="249" spans="1:10" ht="28.8" x14ac:dyDescent="0.3">
      <c r="B249" s="197" t="s">
        <v>13574</v>
      </c>
      <c r="C249" s="197" t="s">
        <v>13039</v>
      </c>
      <c r="D249" s="198" t="s">
        <v>8625</v>
      </c>
      <c r="E249" s="199" t="str">
        <f>VLOOKUP($D249,'Preços Unitários'!$B:$G,2,FALSE)</f>
        <v>Cerca com 4 fios de arame liso galvanizado e mourão de madeira a cada 2,5 m e esticador a cada 50 m</v>
      </c>
      <c r="F249" s="197" t="str">
        <f>VLOOKUP($D249,'Preços Unitários'!$B:$G,3,FALSE)</f>
        <v>m</v>
      </c>
      <c r="G249" s="200">
        <f>+'MC Canais'!J267</f>
        <v>10698</v>
      </c>
      <c r="H249" s="200">
        <f>VLOOKUP($D249,'Preços Unitários'!$B:$G,6,FALSE)</f>
        <v>27.146009000000003</v>
      </c>
      <c r="I249" s="201">
        <f t="shared" ref="I249" si="36">+G249*H249</f>
        <v>290408.00428200001</v>
      </c>
      <c r="J249" s="299"/>
    </row>
    <row r="250" spans="1:10" s="219" customFormat="1" x14ac:dyDescent="0.3">
      <c r="B250" s="214">
        <v>0</v>
      </c>
      <c r="C250" s="215" t="s">
        <v>13</v>
      </c>
      <c r="D250" s="216" t="s">
        <v>13</v>
      </c>
      <c r="E250" s="217" t="s">
        <v>13072</v>
      </c>
      <c r="F250" s="215" t="s">
        <v>13</v>
      </c>
      <c r="G250" s="214">
        <v>0</v>
      </c>
      <c r="H250" s="214">
        <v>0</v>
      </c>
      <c r="I250" s="214">
        <f>+I251</f>
        <v>5299527.5142090963</v>
      </c>
      <c r="J250" s="299"/>
    </row>
    <row r="251" spans="1:10" x14ac:dyDescent="0.3">
      <c r="A251" s="42" t="s">
        <v>14476</v>
      </c>
      <c r="B251" s="209" t="s">
        <v>14623</v>
      </c>
      <c r="C251" s="209" t="s">
        <v>13</v>
      </c>
      <c r="D251" s="210" t="s">
        <v>13</v>
      </c>
      <c r="E251" s="211" t="s">
        <v>13072</v>
      </c>
      <c r="F251" s="209" t="s">
        <v>13</v>
      </c>
      <c r="G251" s="212">
        <v>0</v>
      </c>
      <c r="H251" s="212">
        <v>0</v>
      </c>
      <c r="I251" s="212">
        <f>SUM(I252:I287)</f>
        <v>5299527.5142090963</v>
      </c>
      <c r="J251" s="284" t="s">
        <v>14476</v>
      </c>
    </row>
    <row r="252" spans="1:10" x14ac:dyDescent="0.3">
      <c r="B252" s="202" t="s">
        <v>13575</v>
      </c>
      <c r="C252" s="202" t="s">
        <v>13</v>
      </c>
      <c r="D252" s="203" t="s">
        <v>13</v>
      </c>
      <c r="E252" s="204" t="s">
        <v>13203</v>
      </c>
      <c r="F252" s="202"/>
      <c r="G252" s="205"/>
      <c r="H252" s="205"/>
      <c r="I252" s="205"/>
      <c r="J252" s="299"/>
    </row>
    <row r="253" spans="1:10" ht="28.8" x14ac:dyDescent="0.3">
      <c r="B253" s="197" t="s">
        <v>13576</v>
      </c>
      <c r="C253" s="197" t="s">
        <v>13039</v>
      </c>
      <c r="D253" s="198" t="s">
        <v>11052</v>
      </c>
      <c r="E253" s="199" t="str">
        <f>VLOOKUP($D253,'Preços Unitários'!$B:$G,2,FALSE)</f>
        <v>Desmatamento, destocamento e limpeza de área com árvores de diâmetro até 0,15 m</v>
      </c>
      <c r="F253" s="197" t="str">
        <f>VLOOKUP($D253,'Preços Unitários'!$B:$G,3,FALSE)</f>
        <v>m²</v>
      </c>
      <c r="G253" s="200">
        <f>+'MC Canais'!J309</f>
        <v>66800</v>
      </c>
      <c r="H253" s="200">
        <f>VLOOKUP($D253,'Preços Unitários'!$B:$G,6,FALSE)</f>
        <v>0.87688999999999995</v>
      </c>
      <c r="I253" s="201">
        <f>+G253*H253</f>
        <v>58576.251999999993</v>
      </c>
      <c r="J253" s="299"/>
    </row>
    <row r="254" spans="1:10" ht="43.2" x14ac:dyDescent="0.3">
      <c r="B254" s="197" t="s">
        <v>13577</v>
      </c>
      <c r="C254" s="197" t="s">
        <v>13039</v>
      </c>
      <c r="D254" s="198" t="s">
        <v>11092</v>
      </c>
      <c r="E254" s="199" t="str">
        <f>VLOOKUP($D254,'Preços Unitários'!$B:$G,2,FALSE)</f>
        <v>Escavação, carga e transporte de material de 1ª categoria - DMT de 1.000 a 1.200 m - caminho de serviço em leito natural - com escavadeira e caminhão basculante de 14 m³</v>
      </c>
      <c r="F254" s="197" t="str">
        <f>VLOOKUP($D254,'Preços Unitários'!$B:$G,3,FALSE)</f>
        <v>m³</v>
      </c>
      <c r="G254" s="200">
        <f>+'MC Canais'!J310</f>
        <v>32288.39</v>
      </c>
      <c r="H254" s="200">
        <f>VLOOKUP($D254,'Preços Unitários'!$B:$G,6,FALSE)</f>
        <v>10.673003999999999</v>
      </c>
      <c r="I254" s="201">
        <f t="shared" ref="I254:I266" si="37">+G254*H254</f>
        <v>344614.11562355998</v>
      </c>
      <c r="J254" s="299"/>
    </row>
    <row r="255" spans="1:10" x14ac:dyDescent="0.3">
      <c r="B255" s="197" t="s">
        <v>13578</v>
      </c>
      <c r="C255" s="197" t="s">
        <v>13039</v>
      </c>
      <c r="D255" s="198" t="s">
        <v>11046</v>
      </c>
      <c r="E255" s="213" t="str">
        <f>VLOOKUP($D255,'Preços Unitários'!$B:$G,2,FALSE)</f>
        <v>Compactação de aterros a 100% do Proctor normal</v>
      </c>
      <c r="F255" s="197" t="str">
        <f>VLOOKUP($D255,'Preços Unitários'!$B:$G,3,FALSE)</f>
        <v>m³</v>
      </c>
      <c r="G255" s="200">
        <f>+'MC Canais'!J311</f>
        <v>11965.57</v>
      </c>
      <c r="H255" s="200">
        <f>VLOOKUP($D255,'Preços Unitários'!$B:$G,6,FALSE)</f>
        <v>7.1028090000000006</v>
      </c>
      <c r="I255" s="201">
        <f t="shared" si="37"/>
        <v>84989.158286130012</v>
      </c>
      <c r="J255" s="299"/>
    </row>
    <row r="256" spans="1:10" ht="28.8" x14ac:dyDescent="0.3">
      <c r="B256" s="197" t="s">
        <v>13579</v>
      </c>
      <c r="C256" s="197" t="s">
        <v>13039</v>
      </c>
      <c r="D256" s="198" t="s">
        <v>11947</v>
      </c>
      <c r="E256" s="199" t="str">
        <f>VLOOKUP($D256,'Preços Unitários'!$B:$G,2,FALSE)</f>
        <v>Transporte com caminhão basculante de 14 m³ - rodovia em leito natural</v>
      </c>
      <c r="F256" s="197" t="str">
        <f>VLOOKUP($D256,'Preços Unitários'!$B:$G,3,FALSE)</f>
        <v>tkm</v>
      </c>
      <c r="G256" s="200">
        <f>+'MC Canais'!J312</f>
        <v>142259.74</v>
      </c>
      <c r="H256" s="200">
        <f>VLOOKUP($D256,'Preços Unitários'!$B:$G,6,FALSE)</f>
        <v>1.165011</v>
      </c>
      <c r="I256" s="201">
        <f t="shared" si="37"/>
        <v>165734.16195713999</v>
      </c>
      <c r="J256" s="299"/>
    </row>
    <row r="257" spans="2:10" x14ac:dyDescent="0.3">
      <c r="B257" s="197" t="s">
        <v>13580</v>
      </c>
      <c r="C257" s="197" t="s">
        <v>13039</v>
      </c>
      <c r="D257" s="198" t="s">
        <v>9440</v>
      </c>
      <c r="E257" s="199" t="str">
        <f>VLOOKUP($D257,'Preços Unitários'!$B:$G,2,FALSE)</f>
        <v>Regularização de superfície com motoniveladora</v>
      </c>
      <c r="F257" s="197" t="str">
        <f>VLOOKUP($D257,'Preços Unitários'!$B:$G,3,FALSE)</f>
        <v>m²</v>
      </c>
      <c r="G257" s="200">
        <f>+'MC Canais'!J313</f>
        <v>3006</v>
      </c>
      <c r="H257" s="200">
        <f>VLOOKUP($D257,'Preços Unitários'!$B:$G,6,FALSE)</f>
        <v>0.100216</v>
      </c>
      <c r="I257" s="201">
        <f>+G257*H257</f>
        <v>301.24929600000002</v>
      </c>
      <c r="J257" s="299"/>
    </row>
    <row r="258" spans="2:10" ht="28.8" x14ac:dyDescent="0.3">
      <c r="B258" s="197" t="s">
        <v>13581</v>
      </c>
      <c r="C258" s="197" t="s">
        <v>12</v>
      </c>
      <c r="D258" s="198" t="s">
        <v>13205</v>
      </c>
      <c r="E258" s="199" t="s">
        <v>13204</v>
      </c>
      <c r="F258" s="197" t="s">
        <v>2904</v>
      </c>
      <c r="G258" s="200">
        <f>+'MC Canais'!J314</f>
        <v>4139.1499999999996</v>
      </c>
      <c r="H258" s="200">
        <f>+'Composições de Preços'!$F$87</f>
        <v>59.387948601153852</v>
      </c>
      <c r="I258" s="201">
        <f t="shared" si="37"/>
        <v>245815.62745246594</v>
      </c>
      <c r="J258" s="299"/>
    </row>
    <row r="259" spans="2:10" ht="28.8" x14ac:dyDescent="0.3">
      <c r="B259" s="197" t="s">
        <v>13582</v>
      </c>
      <c r="C259" s="197" t="s">
        <v>12</v>
      </c>
      <c r="D259" s="198" t="s">
        <v>14504</v>
      </c>
      <c r="E259" s="199" t="s">
        <v>14497</v>
      </c>
      <c r="F259" s="197" t="s">
        <v>427</v>
      </c>
      <c r="G259" s="200">
        <f>+'MC Canais'!J315</f>
        <v>3311.4</v>
      </c>
      <c r="H259" s="200">
        <f>+'Composições de Preços'!$F$446</f>
        <v>99.894988108799993</v>
      </c>
      <c r="I259" s="201">
        <f t="shared" si="37"/>
        <v>330792.26362348028</v>
      </c>
      <c r="J259" s="299"/>
    </row>
    <row r="260" spans="2:10" ht="28.8" x14ac:dyDescent="0.3">
      <c r="B260" s="197" t="s">
        <v>13583</v>
      </c>
      <c r="C260" s="197" t="s">
        <v>12</v>
      </c>
      <c r="D260" s="198" t="s">
        <v>13192</v>
      </c>
      <c r="E260" s="199" t="s">
        <v>13191</v>
      </c>
      <c r="F260" s="197" t="s">
        <v>2904</v>
      </c>
      <c r="G260" s="200">
        <f>+'MC Canais'!J316</f>
        <v>16557</v>
      </c>
      <c r="H260" s="200">
        <f>+'Composições de Preços'!$F$44</f>
        <v>73.117919302000004</v>
      </c>
      <c r="I260" s="201">
        <f t="shared" si="37"/>
        <v>1210613.3898832141</v>
      </c>
      <c r="J260" s="299"/>
    </row>
    <row r="261" spans="2:10" ht="28.8" x14ac:dyDescent="0.3">
      <c r="B261" s="197" t="s">
        <v>13584</v>
      </c>
      <c r="C261" s="197" t="s">
        <v>12</v>
      </c>
      <c r="D261" s="198" t="s">
        <v>14506</v>
      </c>
      <c r="E261" s="199" t="s">
        <v>14505</v>
      </c>
      <c r="F261" s="197" t="s">
        <v>427</v>
      </c>
      <c r="G261" s="200">
        <f>+'MC Canais'!J317</f>
        <v>3340</v>
      </c>
      <c r="H261" s="200">
        <f>+'Composições de Preços'!$F$492</f>
        <v>107.93859485200001</v>
      </c>
      <c r="I261" s="201">
        <f t="shared" si="37"/>
        <v>360514.90680568002</v>
      </c>
      <c r="J261" s="299"/>
    </row>
    <row r="262" spans="2:10" ht="28.8" x14ac:dyDescent="0.3">
      <c r="B262" s="197" t="s">
        <v>13585</v>
      </c>
      <c r="C262" s="197" t="s">
        <v>13039</v>
      </c>
      <c r="D262" s="198" t="s">
        <v>3149</v>
      </c>
      <c r="E262" s="199" t="str">
        <f>VLOOKUP($D262,'Preços Unitários'!$B:$G,2,FALSE)</f>
        <v>Concreto para bombeamento fck = 30 MPa - confecção em central dosadora de 30 m³/h - areia e brita comerciais</v>
      </c>
      <c r="F262" s="197" t="str">
        <f>VLOOKUP($D262,'Preços Unitários'!$B:$G,3,FALSE)</f>
        <v>m³</v>
      </c>
      <c r="G262" s="200">
        <f>+'MC Canais'!J318</f>
        <v>1158.99</v>
      </c>
      <c r="H262" s="200">
        <f>VLOOKUP($D262,'Preços Unitários'!$B:$G,6,FALSE)</f>
        <v>575.92882499999996</v>
      </c>
      <c r="I262" s="201">
        <f t="shared" si="37"/>
        <v>667495.74888674996</v>
      </c>
      <c r="J262" s="299"/>
    </row>
    <row r="263" spans="2:10" ht="43.2" x14ac:dyDescent="0.3">
      <c r="B263" s="197" t="s">
        <v>13586</v>
      </c>
      <c r="C263" s="197" t="s">
        <v>13039</v>
      </c>
      <c r="D263" s="198" t="s">
        <v>3201</v>
      </c>
      <c r="E263" s="199" t="str">
        <f>VLOOKUP($D263,'Preços Unitários'!$B:$G,2,FALSE)</f>
        <v>Lançamento mecânico de concreto com bomba rebocável com capacidade de 30 m³/h - confecção em central dosadora de 30 m³/h</v>
      </c>
      <c r="F263" s="197" t="str">
        <f>VLOOKUP($D263,'Preços Unitários'!$B:$G,3,FALSE)</f>
        <v>m³</v>
      </c>
      <c r="G263" s="200">
        <f>+'MC Canais'!J319</f>
        <v>1158.99</v>
      </c>
      <c r="H263" s="200">
        <f>VLOOKUP($D263,'Preços Unitários'!$B:$G,6,FALSE)</f>
        <v>86.285976000000005</v>
      </c>
      <c r="I263" s="201">
        <f t="shared" si="37"/>
        <v>100004.58332424001</v>
      </c>
      <c r="J263" s="299"/>
    </row>
    <row r="264" spans="2:10" ht="28.8" x14ac:dyDescent="0.3">
      <c r="B264" s="197" t="s">
        <v>14533</v>
      </c>
      <c r="C264" s="197" t="s">
        <v>13039</v>
      </c>
      <c r="D264" s="198" t="s">
        <v>206</v>
      </c>
      <c r="E264" s="199" t="str">
        <f>VLOOKUP($D264,'Preços Unitários'!$B:$G,2,FALSE)</f>
        <v>Lábios poliméricos em junta de pavimento de concreto - L = 20 mm e H = 30 mm - confecção e assentamento</v>
      </c>
      <c r="F264" s="197" t="str">
        <f>VLOOKUP($D264,'Preços Unitários'!$B:$G,3,FALSE)</f>
        <v>m</v>
      </c>
      <c r="G264" s="200">
        <f>+'MC Canais'!J320</f>
        <v>9054.7400000000016</v>
      </c>
      <c r="H264" s="200">
        <f>VLOOKUP($D264,'Preços Unitários'!$B:$G,6,FALSE)</f>
        <v>39.635428000000005</v>
      </c>
      <c r="I264" s="201">
        <f t="shared" si="37"/>
        <v>358888.49532872008</v>
      </c>
      <c r="J264" s="297"/>
    </row>
    <row r="265" spans="2:10" x14ac:dyDescent="0.3">
      <c r="B265" s="197" t="s">
        <v>14534</v>
      </c>
      <c r="C265" s="197" t="s">
        <v>12</v>
      </c>
      <c r="D265" s="198" t="s">
        <v>13209</v>
      </c>
      <c r="E265" s="199" t="s">
        <v>13208</v>
      </c>
      <c r="F265" s="197" t="s">
        <v>195</v>
      </c>
      <c r="G265" s="200">
        <f>+'MC Canais'!J321</f>
        <v>3340</v>
      </c>
      <c r="H265" s="200">
        <f>+'Composições de Preços'!$F$130</f>
        <v>37.70076957596789</v>
      </c>
      <c r="I265" s="201">
        <f t="shared" si="37"/>
        <v>125920.57038373275</v>
      </c>
      <c r="J265" s="291"/>
    </row>
    <row r="266" spans="2:10" ht="28.8" x14ac:dyDescent="0.3">
      <c r="B266" s="197" t="s">
        <v>14579</v>
      </c>
      <c r="C266" s="197" t="s">
        <v>13039</v>
      </c>
      <c r="D266" s="198" t="s">
        <v>9446</v>
      </c>
      <c r="E266" s="199" t="str">
        <f>VLOOKUP($D266,'Preços Unitários'!$B:$G,2,FALSE)</f>
        <v>Revestimento vegetal com grama em mudas em superfícies inclinadas</v>
      </c>
      <c r="F266" s="197" t="str">
        <f>VLOOKUP($D266,'Preços Unitários'!$B:$G,3,FALSE)</f>
        <v>m²</v>
      </c>
      <c r="G266" s="200">
        <f>+'MC Canais'!J322</f>
        <v>20040</v>
      </c>
      <c r="H266" s="200">
        <f>VLOOKUP($D266,'Preços Unitários'!$B:$G,6,FALSE)</f>
        <v>9.984019</v>
      </c>
      <c r="I266" s="201">
        <f t="shared" si="37"/>
        <v>200079.74075999999</v>
      </c>
      <c r="J266" s="297"/>
    </row>
    <row r="267" spans="2:10" x14ac:dyDescent="0.3">
      <c r="B267" s="202" t="s">
        <v>13587</v>
      </c>
      <c r="C267" s="202" t="s">
        <v>13</v>
      </c>
      <c r="D267" s="203" t="s">
        <v>13</v>
      </c>
      <c r="E267" s="204" t="s">
        <v>13222</v>
      </c>
      <c r="F267" s="202"/>
      <c r="G267" s="200">
        <f>+'MC Canais'!J323</f>
        <v>0</v>
      </c>
      <c r="H267" s="205"/>
      <c r="I267" s="205"/>
      <c r="J267" s="299"/>
    </row>
    <row r="268" spans="2:10" x14ac:dyDescent="0.3">
      <c r="B268" s="197" t="s">
        <v>13588</v>
      </c>
      <c r="C268" s="197" t="s">
        <v>13039</v>
      </c>
      <c r="D268" s="198" t="s">
        <v>9806</v>
      </c>
      <c r="E268" s="199" t="str">
        <f>VLOOKUP($D268,'Preços Unitários'!$B:$G,2,FALSE)</f>
        <v>Escavação mecânica de vala em material de 1ª categoria</v>
      </c>
      <c r="F268" s="197" t="str">
        <f>VLOOKUP($D268,'Preços Unitários'!$B:$G,3,FALSE)</f>
        <v>m³</v>
      </c>
      <c r="G268" s="200">
        <f>+'MC Canais'!J324</f>
        <v>1402.8</v>
      </c>
      <c r="H268" s="200">
        <f>VLOOKUP($D268,'Preços Unitários'!$B:$G,6,FALSE)</f>
        <v>8.7313189999999992</v>
      </c>
      <c r="I268" s="201">
        <f t="shared" ref="I268:I274" si="38">+G268*H268</f>
        <v>12248.294293199999</v>
      </c>
      <c r="J268" s="299"/>
    </row>
    <row r="269" spans="2:10" x14ac:dyDescent="0.3">
      <c r="B269" s="197" t="s">
        <v>13589</v>
      </c>
      <c r="C269" s="197" t="s">
        <v>13039</v>
      </c>
      <c r="D269" s="198" t="s">
        <v>9830</v>
      </c>
      <c r="E269" s="199" t="str">
        <f>VLOOKUP($D269,'Preços Unitários'!$B:$G,2,FALSE)</f>
        <v>Reaterro e compactação com soquete vibratório</v>
      </c>
      <c r="F269" s="197" t="str">
        <f>VLOOKUP($D269,'Preços Unitários'!$B:$G,3,FALSE)</f>
        <v>m³</v>
      </c>
      <c r="G269" s="200">
        <f>+'MC Canais'!J325</f>
        <v>801.6</v>
      </c>
      <c r="H269" s="200">
        <f>VLOOKUP($D269,'Preços Unitários'!$B:$G,6,FALSE)</f>
        <v>22.611235000000001</v>
      </c>
      <c r="I269" s="201">
        <f t="shared" si="38"/>
        <v>18125.165976</v>
      </c>
      <c r="J269" s="299"/>
    </row>
    <row r="270" spans="2:10" ht="28.8" x14ac:dyDescent="0.3">
      <c r="B270" s="197" t="s">
        <v>13590</v>
      </c>
      <c r="C270" s="197" t="s">
        <v>13039</v>
      </c>
      <c r="D270" s="198" t="s">
        <v>11947</v>
      </c>
      <c r="E270" s="199" t="str">
        <f>VLOOKUP($D270,'Preços Unitários'!$B:$G,2,FALSE)</f>
        <v>Transporte com caminhão basculante de 14 m³ - rodovia em leito natural</v>
      </c>
      <c r="F270" s="197" t="str">
        <f>VLOOKUP($D270,'Preços Unitários'!$B:$G,3,FALSE)</f>
        <v>tkm</v>
      </c>
      <c r="G270" s="200">
        <f>+'MC Canais'!J326</f>
        <v>4208.3999999999996</v>
      </c>
      <c r="H270" s="200">
        <f>VLOOKUP($D270,'Preços Unitários'!$B:$G,6,FALSE)</f>
        <v>1.165011</v>
      </c>
      <c r="I270" s="201">
        <f t="shared" si="38"/>
        <v>4902.8322923999995</v>
      </c>
      <c r="J270" s="299"/>
    </row>
    <row r="271" spans="2:10" ht="28.8" x14ac:dyDescent="0.3">
      <c r="B271" s="197" t="s">
        <v>13591</v>
      </c>
      <c r="C271" s="197" t="s">
        <v>12</v>
      </c>
      <c r="D271" s="198" t="s">
        <v>13224</v>
      </c>
      <c r="E271" s="199" t="s">
        <v>13223</v>
      </c>
      <c r="F271" s="197" t="s">
        <v>2904</v>
      </c>
      <c r="G271" s="200">
        <f>+'MC Canais'!J327</f>
        <v>4008</v>
      </c>
      <c r="H271" s="200">
        <f>+'Composições de Preços'!$F$173</f>
        <v>26.052132569499999</v>
      </c>
      <c r="I271" s="201">
        <f t="shared" si="38"/>
        <v>104416.947338556</v>
      </c>
      <c r="J271" s="299"/>
    </row>
    <row r="272" spans="2:10" ht="28.8" x14ac:dyDescent="0.3">
      <c r="B272" s="197" t="s">
        <v>13592</v>
      </c>
      <c r="C272" s="197" t="s">
        <v>13039</v>
      </c>
      <c r="D272" s="198" t="s">
        <v>6908</v>
      </c>
      <c r="E272" s="199" t="str">
        <f>VLOOKUP($D272,'Preços Unitários'!$B:$G,2,FALSE)</f>
        <v>Tubo de concreto perfurado produzido na obra para drenagem - D = 0,40 m - fornecimento e instalação</v>
      </c>
      <c r="F272" s="197" t="str">
        <f>VLOOKUP($D272,'Preços Unitários'!$B:$G,3,FALSE)</f>
        <v>m</v>
      </c>
      <c r="G272" s="200">
        <f>+'MC Canais'!J328</f>
        <v>1670</v>
      </c>
      <c r="H272" s="200">
        <f>VLOOKUP($D272,'Preços Unitários'!$B:$G,6,FALSE)</f>
        <v>116.764167</v>
      </c>
      <c r="I272" s="201">
        <f t="shared" si="38"/>
        <v>194996.15888999999</v>
      </c>
      <c r="J272" s="299"/>
    </row>
    <row r="273" spans="2:10" ht="28.8" x14ac:dyDescent="0.3">
      <c r="B273" s="197" t="s">
        <v>13593</v>
      </c>
      <c r="C273" s="197" t="s">
        <v>13039</v>
      </c>
      <c r="D273" s="198" t="s">
        <v>6438</v>
      </c>
      <c r="E273" s="199" t="str">
        <f>VLOOKUP($D273,'Preços Unitários'!$B:$G,2,FALSE)</f>
        <v>Lastro de brita comercial compactado com soquete vibratório - espalhamento manual</v>
      </c>
      <c r="F273" s="197" t="str">
        <f>VLOOKUP($D273,'Preços Unitários'!$B:$G,3,FALSE)</f>
        <v>m³</v>
      </c>
      <c r="G273" s="200">
        <f>+'MC Canais'!J329</f>
        <v>391.44799999999992</v>
      </c>
      <c r="H273" s="200">
        <f>VLOOKUP($D273,'Preços Unitários'!$B:$G,6,FALSE)</f>
        <v>239.34086200000002</v>
      </c>
      <c r="I273" s="201">
        <f t="shared" si="38"/>
        <v>93689.501748175986</v>
      </c>
      <c r="J273" s="299"/>
    </row>
    <row r="274" spans="2:10" x14ac:dyDescent="0.3">
      <c r="B274" s="197" t="s">
        <v>13594</v>
      </c>
      <c r="C274" s="197" t="s">
        <v>13039</v>
      </c>
      <c r="D274" s="206" t="s">
        <v>6430</v>
      </c>
      <c r="E274" s="199" t="str">
        <f>VLOOKUP($D274,'Preços Unitários'!$B:$G,2,FALSE)</f>
        <v>Lastro de areia comercial - espalhamento manual</v>
      </c>
      <c r="F274" s="197" t="str">
        <f>VLOOKUP($D274,'Preços Unitários'!$B:$G,3,FALSE)</f>
        <v>m³</v>
      </c>
      <c r="G274" s="200">
        <f>+'MC Canais'!J330</f>
        <v>200.4</v>
      </c>
      <c r="H274" s="200">
        <f>VLOOKUP($D274,'Preços Unitários'!$B:$G,6,FALSE)</f>
        <v>198.06439700000001</v>
      </c>
      <c r="I274" s="201">
        <f t="shared" si="38"/>
        <v>39692.105158800005</v>
      </c>
      <c r="J274" s="299"/>
    </row>
    <row r="275" spans="2:10" s="243" customFormat="1" ht="28.8" x14ac:dyDescent="0.3">
      <c r="B275" s="197" t="s">
        <v>13595</v>
      </c>
      <c r="C275" s="197" t="s">
        <v>13</v>
      </c>
      <c r="D275" s="198" t="s">
        <v>13</v>
      </c>
      <c r="E275" s="207" t="s">
        <v>13228</v>
      </c>
      <c r="F275" s="197"/>
      <c r="G275" s="200">
        <f>+'MC Canais'!J331</f>
        <v>0</v>
      </c>
      <c r="H275" s="201"/>
      <c r="I275" s="201"/>
      <c r="J275" s="299"/>
    </row>
    <row r="276" spans="2:10" ht="28.8" x14ac:dyDescent="0.3">
      <c r="B276" s="197" t="s">
        <v>13596</v>
      </c>
      <c r="C276" s="197" t="s">
        <v>13039</v>
      </c>
      <c r="D276" s="198" t="s">
        <v>6964</v>
      </c>
      <c r="E276" s="199" t="str">
        <f>VLOOKUP($D276,'Preços Unitários'!$B:$G,2,FALSE)</f>
        <v>Valeta de proteção de cortes com revestimento vegetal - VPCG 120-30 - escavação mecânica</v>
      </c>
      <c r="F276" s="197" t="str">
        <f>VLOOKUP($D276,'Preços Unitários'!$B:$G,3,FALSE)</f>
        <v>m</v>
      </c>
      <c r="G276" s="200">
        <f>+'MC Canais'!J332</f>
        <v>3340</v>
      </c>
      <c r="H276" s="200">
        <f>VLOOKUP($D276,'Preços Unitários'!$B:$G,6,FALSE)</f>
        <v>51.961995999999999</v>
      </c>
      <c r="I276" s="201">
        <f t="shared" ref="I276:I279" si="39">+G276*H276</f>
        <v>173553.06664</v>
      </c>
      <c r="J276" s="299"/>
    </row>
    <row r="277" spans="2:10" ht="28.8" x14ac:dyDescent="0.3">
      <c r="B277" s="197" t="s">
        <v>13597</v>
      </c>
      <c r="C277" s="197" t="s">
        <v>13039</v>
      </c>
      <c r="D277" s="198" t="s">
        <v>6744</v>
      </c>
      <c r="E277" s="199" t="str">
        <f>VLOOKUP($D277,'Preços Unitários'!$B:$G,2,FALSE)</f>
        <v>Sarjeta triangular de grama - STG 125-25 - escavação mecânica</v>
      </c>
      <c r="F277" s="197" t="str">
        <f>VLOOKUP($D277,'Preços Unitários'!$B:$G,3,FALSE)</f>
        <v>m</v>
      </c>
      <c r="G277" s="200">
        <f>+'MC Canais'!J333</f>
        <v>3340</v>
      </c>
      <c r="H277" s="200">
        <f>VLOOKUP($D277,'Preços Unitários'!$B:$G,6,FALSE)</f>
        <v>29.776679000000001</v>
      </c>
      <c r="I277" s="201">
        <f t="shared" si="39"/>
        <v>99454.107860000004</v>
      </c>
      <c r="J277" s="299"/>
    </row>
    <row r="278" spans="2:10" ht="28.8" x14ac:dyDescent="0.3">
      <c r="B278" s="197" t="s">
        <v>13598</v>
      </c>
      <c r="C278" s="197" t="s">
        <v>13039</v>
      </c>
      <c r="D278" s="198" t="s">
        <v>2740</v>
      </c>
      <c r="E278" s="199" t="str">
        <f>VLOOKUP($D278,'Preços Unitários'!$B:$G,2,FALSE)</f>
        <v>Corpo de BSTC D = 0,80 m PA1 - areia, brita e pedra de mão comerciais</v>
      </c>
      <c r="F278" s="197" t="str">
        <f>VLOOKUP($D278,'Preços Unitários'!$B:$G,3,FALSE)</f>
        <v>m</v>
      </c>
      <c r="G278" s="200">
        <f>+'MC Canais'!J334</f>
        <v>0</v>
      </c>
      <c r="H278" s="200">
        <f>VLOOKUP($D278,'Preços Unitários'!$B:$G,6,FALSE)</f>
        <v>799.67357200000004</v>
      </c>
      <c r="I278" s="201">
        <f t="shared" si="39"/>
        <v>0</v>
      </c>
      <c r="J278" s="297"/>
    </row>
    <row r="279" spans="2:10" ht="28.8" x14ac:dyDescent="0.3">
      <c r="B279" s="197" t="s">
        <v>13599</v>
      </c>
      <c r="C279" s="197" t="s">
        <v>13039</v>
      </c>
      <c r="D279" s="208" t="s">
        <v>2172</v>
      </c>
      <c r="E279" s="199" t="str">
        <f>VLOOKUP($D279,'Preços Unitários'!$B:$G,2,FALSE)</f>
        <v>Boca de BSTC D = 0,80 m - esconsidade 0° - areia e brita comerciais - alas retas</v>
      </c>
      <c r="F279" s="197" t="str">
        <f>VLOOKUP($D279,'Preços Unitários'!$B:$G,3,FALSE)</f>
        <v>un</v>
      </c>
      <c r="G279" s="200">
        <f>+'MC Canais'!J335</f>
        <v>0</v>
      </c>
      <c r="H279" s="200">
        <f>VLOOKUP($D279,'Preços Unitários'!$B:$G,6,FALSE)</f>
        <v>1606.687966</v>
      </c>
      <c r="I279" s="201">
        <f t="shared" si="39"/>
        <v>0</v>
      </c>
      <c r="J279" s="299"/>
    </row>
    <row r="280" spans="2:10" s="243" customFormat="1" x14ac:dyDescent="0.3">
      <c r="B280" s="197" t="s">
        <v>13600</v>
      </c>
      <c r="C280" s="197" t="s">
        <v>13</v>
      </c>
      <c r="D280" s="198" t="s">
        <v>13</v>
      </c>
      <c r="E280" s="207" t="s">
        <v>13230</v>
      </c>
      <c r="F280" s="197"/>
      <c r="G280" s="200">
        <f>+'MC Canais'!J336</f>
        <v>0</v>
      </c>
      <c r="H280" s="201"/>
      <c r="I280" s="201"/>
      <c r="J280" s="299"/>
    </row>
    <row r="281" spans="2:10" ht="28.8" x14ac:dyDescent="0.3">
      <c r="B281" s="197" t="s">
        <v>13601</v>
      </c>
      <c r="C281" s="197" t="s">
        <v>13039</v>
      </c>
      <c r="D281" s="198" t="s">
        <v>11088</v>
      </c>
      <c r="E281" s="199" t="str">
        <f>VLOOKUP($D281,'Preços Unitários'!$B:$G,2,FALSE)</f>
        <v>Escavação mecânica com retroescavadeira em material de 1ª categoria</v>
      </c>
      <c r="F281" s="197" t="str">
        <f>VLOOKUP($D281,'Preços Unitários'!$B:$G,3,FALSE)</f>
        <v>m³</v>
      </c>
      <c r="G281" s="200">
        <f>+'MC Canais'!J337</f>
        <v>1753.5</v>
      </c>
      <c r="H281" s="200">
        <f>VLOOKUP($D281,'Preços Unitários'!$B:$G,6,FALSE)</f>
        <v>8.7313189999999992</v>
      </c>
      <c r="I281" s="201">
        <f t="shared" ref="I281:I285" si="40">+G281*H281</f>
        <v>15310.367866499999</v>
      </c>
      <c r="J281" s="299"/>
    </row>
    <row r="282" spans="2:10" x14ac:dyDescent="0.3">
      <c r="B282" s="197" t="s">
        <v>13602</v>
      </c>
      <c r="C282" s="197" t="s">
        <v>13039</v>
      </c>
      <c r="D282" s="198" t="s">
        <v>11046</v>
      </c>
      <c r="E282" s="199" t="str">
        <f>VLOOKUP($D282,'Preços Unitários'!$B:$G,2,FALSE)</f>
        <v>Compactação de aterros a 100% do Proctor normal</v>
      </c>
      <c r="F282" s="197" t="str">
        <f>VLOOKUP($D282,'Preços Unitários'!$B:$G,3,FALSE)</f>
        <v>m³</v>
      </c>
      <c r="G282" s="200">
        <f>+'MC Canais'!J338</f>
        <v>1169</v>
      </c>
      <c r="H282" s="200">
        <f>VLOOKUP($D282,'Preços Unitários'!$B:$G,6,FALSE)</f>
        <v>7.1028090000000006</v>
      </c>
      <c r="I282" s="201">
        <f t="shared" si="40"/>
        <v>8303.1837210000012</v>
      </c>
      <c r="J282" s="299"/>
    </row>
    <row r="283" spans="2:10" ht="28.8" x14ac:dyDescent="0.3">
      <c r="B283" s="197" t="s">
        <v>13603</v>
      </c>
      <c r="C283" s="197" t="s">
        <v>13039</v>
      </c>
      <c r="D283" s="198" t="s">
        <v>11947</v>
      </c>
      <c r="E283" s="199" t="str">
        <f>VLOOKUP($D283,'Preços Unitários'!$B:$G,2,FALSE)</f>
        <v>Transporte com caminhão basculante de 14 m³ - rodovia em leito natural</v>
      </c>
      <c r="F283" s="197" t="str">
        <f>VLOOKUP($D283,'Preços Unitários'!$B:$G,3,FALSE)</f>
        <v>tkm</v>
      </c>
      <c r="G283" s="200">
        <f>+'MC Canais'!J339</f>
        <v>584.5</v>
      </c>
      <c r="H283" s="200">
        <f>VLOOKUP($D283,'Preços Unitários'!$B:$G,6,FALSE)</f>
        <v>1.165011</v>
      </c>
      <c r="I283" s="201">
        <f t="shared" si="40"/>
        <v>680.94892949999996</v>
      </c>
      <c r="J283" s="299"/>
    </row>
    <row r="284" spans="2:10" x14ac:dyDescent="0.3">
      <c r="B284" s="197" t="s">
        <v>13604</v>
      </c>
      <c r="C284" s="197" t="s">
        <v>13039</v>
      </c>
      <c r="D284" s="198" t="s">
        <v>9440</v>
      </c>
      <c r="E284" s="199" t="str">
        <f>VLOOKUP($D284,'Preços Unitários'!$B:$G,2,FALSE)</f>
        <v>Regularização de superfície com motoniveladora</v>
      </c>
      <c r="F284" s="197" t="str">
        <f>VLOOKUP($D284,'Preços Unitários'!$B:$G,3,FALSE)</f>
        <v>m²</v>
      </c>
      <c r="G284" s="200">
        <f>+'MC Canais'!J340</f>
        <v>11690</v>
      </c>
      <c r="H284" s="200">
        <f>VLOOKUP($D284,'Preços Unitários'!$B:$G,6,FALSE)</f>
        <v>0.100216</v>
      </c>
      <c r="I284" s="201">
        <f t="shared" si="40"/>
        <v>1171.52504</v>
      </c>
      <c r="J284" s="299"/>
    </row>
    <row r="285" spans="2:10" x14ac:dyDescent="0.3">
      <c r="B285" s="197" t="s">
        <v>13605</v>
      </c>
      <c r="C285" s="197" t="s">
        <v>12</v>
      </c>
      <c r="D285" s="198" t="s">
        <v>13232</v>
      </c>
      <c r="E285" s="199" t="s">
        <v>13231</v>
      </c>
      <c r="F285" s="197" t="s">
        <v>427</v>
      </c>
      <c r="G285" s="200">
        <f>+'MC Canais'!J341</f>
        <v>876.75</v>
      </c>
      <c r="H285" s="200">
        <f>+'Composições de Preços'!$F$216</f>
        <v>214.40019935426301</v>
      </c>
      <c r="I285" s="201">
        <f t="shared" si="40"/>
        <v>187975.3747838501</v>
      </c>
      <c r="J285" s="299"/>
    </row>
    <row r="286" spans="2:10" s="243" customFormat="1" x14ac:dyDescent="0.3">
      <c r="B286" s="197" t="s">
        <v>13606</v>
      </c>
      <c r="C286" s="197" t="s">
        <v>13</v>
      </c>
      <c r="D286" s="198" t="s">
        <v>13</v>
      </c>
      <c r="E286" s="207" t="s">
        <v>13386</v>
      </c>
      <c r="F286" s="197"/>
      <c r="G286" s="200">
        <f>+'MC Canais'!J342</f>
        <v>0</v>
      </c>
      <c r="H286" s="201"/>
      <c r="I286" s="201"/>
      <c r="J286" s="299"/>
    </row>
    <row r="287" spans="2:10" ht="28.8" x14ac:dyDescent="0.3">
      <c r="B287" s="197" t="s">
        <v>13607</v>
      </c>
      <c r="C287" s="197" t="s">
        <v>13039</v>
      </c>
      <c r="D287" s="198" t="s">
        <v>8625</v>
      </c>
      <c r="E287" s="199" t="str">
        <f>VLOOKUP($D287,'Preços Unitários'!$B:$G,2,FALSE)</f>
        <v>Cerca com 4 fios de arame liso galvanizado e mourão de madeira a cada 2,5 m e esticador a cada 50 m</v>
      </c>
      <c r="F287" s="197" t="str">
        <f>VLOOKUP($D287,'Preços Unitários'!$B:$G,3,FALSE)</f>
        <v>m</v>
      </c>
      <c r="G287" s="200">
        <f>+'MC Canais'!J343</f>
        <v>3340</v>
      </c>
      <c r="H287" s="200">
        <f>VLOOKUP($D287,'Preços Unitários'!$B:$G,6,FALSE)</f>
        <v>27.146009000000003</v>
      </c>
      <c r="I287" s="201">
        <f t="shared" ref="I287" si="41">+G287*H287</f>
        <v>90667.670060000004</v>
      </c>
      <c r="J287" s="299"/>
    </row>
    <row r="288" spans="2:10" s="219" customFormat="1" x14ac:dyDescent="0.3">
      <c r="B288" s="214">
        <v>0</v>
      </c>
      <c r="C288" s="215" t="s">
        <v>13</v>
      </c>
      <c r="D288" s="216" t="s">
        <v>13</v>
      </c>
      <c r="E288" s="217" t="s">
        <v>13345</v>
      </c>
      <c r="F288" s="215" t="s">
        <v>13</v>
      </c>
      <c r="G288" s="214">
        <v>0</v>
      </c>
      <c r="H288" s="214">
        <v>0</v>
      </c>
      <c r="I288" s="214">
        <f>+I289+I326+I363+I400+I437</f>
        <v>50460641.555658951</v>
      </c>
      <c r="J288" s="299"/>
    </row>
    <row r="289" spans="1:10" x14ac:dyDescent="0.3">
      <c r="A289" s="42" t="s">
        <v>14476</v>
      </c>
      <c r="B289" s="209" t="s">
        <v>14224</v>
      </c>
      <c r="C289" s="209" t="s">
        <v>13</v>
      </c>
      <c r="D289" s="210" t="s">
        <v>13</v>
      </c>
      <c r="E289" s="211" t="s">
        <v>13073</v>
      </c>
      <c r="F289" s="209" t="s">
        <v>13</v>
      </c>
      <c r="G289" s="212">
        <v>0</v>
      </c>
      <c r="H289" s="212">
        <v>0</v>
      </c>
      <c r="I289" s="212">
        <f>SUM(I290:I325)</f>
        <v>12223392.614919122</v>
      </c>
      <c r="J289" s="284" t="s">
        <v>14476</v>
      </c>
    </row>
    <row r="290" spans="1:10" x14ac:dyDescent="0.3">
      <c r="B290" s="202" t="s">
        <v>13608</v>
      </c>
      <c r="C290" s="202" t="s">
        <v>13</v>
      </c>
      <c r="D290" s="203" t="s">
        <v>13</v>
      </c>
      <c r="E290" s="204" t="s">
        <v>13203</v>
      </c>
      <c r="F290" s="202"/>
      <c r="G290" s="205"/>
      <c r="H290" s="205"/>
      <c r="I290" s="205"/>
      <c r="J290" s="299"/>
    </row>
    <row r="291" spans="1:10" ht="28.8" x14ac:dyDescent="0.3">
      <c r="B291" s="197" t="s">
        <v>13609</v>
      </c>
      <c r="C291" s="197" t="s">
        <v>13039</v>
      </c>
      <c r="D291" s="198" t="s">
        <v>11052</v>
      </c>
      <c r="E291" s="199" t="str">
        <f>VLOOKUP($D291,'Preços Unitários'!$B:$G,2,FALSE)</f>
        <v>Desmatamento, destocamento e limpeza de área com árvores de diâmetro até 0,15 m</v>
      </c>
      <c r="F291" s="197" t="str">
        <f>VLOOKUP($D291,'Preços Unitários'!$B:$G,3,FALSE)</f>
        <v>m²</v>
      </c>
      <c r="G291" s="200">
        <f>+'MC Canais'!J347</f>
        <v>160000</v>
      </c>
      <c r="H291" s="200">
        <f>VLOOKUP($D291,'Preços Unitários'!$B:$G,6,FALSE)</f>
        <v>0.87688999999999995</v>
      </c>
      <c r="I291" s="201">
        <f>+G291*H291</f>
        <v>140302.39999999999</v>
      </c>
      <c r="J291" s="299"/>
    </row>
    <row r="292" spans="1:10" ht="43.2" x14ac:dyDescent="0.3">
      <c r="B292" s="197" t="s">
        <v>13610</v>
      </c>
      <c r="C292" s="197" t="s">
        <v>13039</v>
      </c>
      <c r="D292" s="198" t="s">
        <v>11092</v>
      </c>
      <c r="E292" s="199" t="str">
        <f>VLOOKUP($D292,'Preços Unitários'!$B:$G,2,FALSE)</f>
        <v>Escavação, carga e transporte de material de 1ª categoria - DMT de 1.000 a 1.200 m - caminho de serviço em leito natural - com escavadeira e caminhão basculante de 14 m³</v>
      </c>
      <c r="F292" s="197" t="str">
        <f>VLOOKUP($D292,'Preços Unitários'!$B:$G,3,FALSE)</f>
        <v>m³</v>
      </c>
      <c r="G292" s="200">
        <f>+'MC Canais'!J348</f>
        <v>10339.030000000001</v>
      </c>
      <c r="H292" s="200">
        <f>VLOOKUP($D292,'Preços Unitários'!$B:$G,6,FALSE)</f>
        <v>10.673003999999999</v>
      </c>
      <c r="I292" s="201">
        <f t="shared" ref="I292:I304" si="42">+G292*H292</f>
        <v>110348.50854611999</v>
      </c>
      <c r="J292" s="299"/>
    </row>
    <row r="293" spans="1:10" x14ac:dyDescent="0.3">
      <c r="B293" s="197" t="s">
        <v>13611</v>
      </c>
      <c r="C293" s="197" t="s">
        <v>13039</v>
      </c>
      <c r="D293" s="198" t="s">
        <v>11046</v>
      </c>
      <c r="E293" s="213" t="str">
        <f>VLOOKUP($D293,'Preços Unitários'!$B:$G,2,FALSE)</f>
        <v>Compactação de aterros a 100% do Proctor normal</v>
      </c>
      <c r="F293" s="197" t="str">
        <f>VLOOKUP($D293,'Preços Unitários'!$B:$G,3,FALSE)</f>
        <v>m³</v>
      </c>
      <c r="G293" s="200">
        <f>+'MC Canais'!J349</f>
        <v>104054.39999999999</v>
      </c>
      <c r="H293" s="200">
        <f>VLOOKUP($D293,'Preços Unitários'!$B:$G,6,FALSE)</f>
        <v>7.1028090000000006</v>
      </c>
      <c r="I293" s="201">
        <f t="shared" si="42"/>
        <v>739078.52880960004</v>
      </c>
      <c r="J293" s="299"/>
    </row>
    <row r="294" spans="1:10" ht="28.8" x14ac:dyDescent="0.3">
      <c r="B294" s="197" t="s">
        <v>13612</v>
      </c>
      <c r="C294" s="197" t="s">
        <v>13039</v>
      </c>
      <c r="D294" s="198" t="s">
        <v>11947</v>
      </c>
      <c r="E294" s="199" t="str">
        <f>VLOOKUP($D294,'Preços Unitários'!$B:$G,2,FALSE)</f>
        <v>Transporte com caminhão basculante de 14 m³ - rodovia em leito natural</v>
      </c>
      <c r="F294" s="197" t="str">
        <f>VLOOKUP($D294,'Preços Unitários'!$B:$G,3,FALSE)</f>
        <v>tkm</v>
      </c>
      <c r="G294" s="200">
        <f>+'MC Canais'!J350</f>
        <v>656007.58999999985</v>
      </c>
      <c r="H294" s="200">
        <f>VLOOKUP($D294,'Preços Unitários'!$B:$G,6,FALSE)</f>
        <v>1.165011</v>
      </c>
      <c r="I294" s="201">
        <f t="shared" si="42"/>
        <v>764256.05843348987</v>
      </c>
      <c r="J294" s="299"/>
    </row>
    <row r="295" spans="1:10" x14ac:dyDescent="0.3">
      <c r="B295" s="197" t="s">
        <v>13613</v>
      </c>
      <c r="C295" s="197" t="s">
        <v>13039</v>
      </c>
      <c r="D295" s="198" t="s">
        <v>9440</v>
      </c>
      <c r="E295" s="199" t="str">
        <f>VLOOKUP($D295,'Preços Unitários'!$B:$G,2,FALSE)</f>
        <v>Regularização de superfície com motoniveladora</v>
      </c>
      <c r="F295" s="197" t="str">
        <f>VLOOKUP($D295,'Preços Unitários'!$B:$G,3,FALSE)</f>
        <v>m²</v>
      </c>
      <c r="G295" s="200">
        <f>+'MC Canais'!J351</f>
        <v>6000</v>
      </c>
      <c r="H295" s="200">
        <f>VLOOKUP($D295,'Preços Unitários'!$B:$G,6,FALSE)</f>
        <v>0.100216</v>
      </c>
      <c r="I295" s="201">
        <f>+G295*H295</f>
        <v>601.29600000000005</v>
      </c>
      <c r="J295" s="299"/>
    </row>
    <row r="296" spans="1:10" ht="28.8" x14ac:dyDescent="0.3">
      <c r="B296" s="197" t="s">
        <v>13614</v>
      </c>
      <c r="C296" s="197" t="s">
        <v>12</v>
      </c>
      <c r="D296" s="198" t="s">
        <v>13205</v>
      </c>
      <c r="E296" s="199" t="s">
        <v>13204</v>
      </c>
      <c r="F296" s="197" t="s">
        <v>2904</v>
      </c>
      <c r="G296" s="200">
        <f>+'MC Canais'!J352</f>
        <v>8871.42</v>
      </c>
      <c r="H296" s="200">
        <f>+'Composições de Preços'!$F$87</f>
        <v>59.387948601153852</v>
      </c>
      <c r="I296" s="201">
        <f t="shared" si="42"/>
        <v>526855.43497924833</v>
      </c>
      <c r="J296" s="299"/>
    </row>
    <row r="297" spans="1:10" ht="28.8" x14ac:dyDescent="0.3">
      <c r="B297" s="197" t="s">
        <v>13615</v>
      </c>
      <c r="C297" s="197" t="s">
        <v>12</v>
      </c>
      <c r="D297" s="198" t="s">
        <v>14504</v>
      </c>
      <c r="E297" s="199" t="s">
        <v>14497</v>
      </c>
      <c r="F297" s="197" t="s">
        <v>427</v>
      </c>
      <c r="G297" s="200">
        <f>+'MC Canais'!J353</f>
        <v>7097.2000000000007</v>
      </c>
      <c r="H297" s="200">
        <f>+'Composições de Preços'!$F$446</f>
        <v>99.894988108799993</v>
      </c>
      <c r="I297" s="201">
        <f t="shared" si="42"/>
        <v>708974.70960577542</v>
      </c>
      <c r="J297" s="299"/>
    </row>
    <row r="298" spans="1:10" ht="28.8" x14ac:dyDescent="0.3">
      <c r="B298" s="197" t="s">
        <v>13616</v>
      </c>
      <c r="C298" s="197" t="s">
        <v>12</v>
      </c>
      <c r="D298" s="198" t="s">
        <v>13192</v>
      </c>
      <c r="E298" s="199" t="s">
        <v>13191</v>
      </c>
      <c r="F298" s="197" t="s">
        <v>2904</v>
      </c>
      <c r="G298" s="200">
        <f>+'MC Canais'!J354</f>
        <v>35486</v>
      </c>
      <c r="H298" s="200">
        <f>+'Composições de Preços'!$F$44</f>
        <v>73.117919302000004</v>
      </c>
      <c r="I298" s="201">
        <f t="shared" si="42"/>
        <v>2594662.4843507721</v>
      </c>
      <c r="J298" s="299"/>
    </row>
    <row r="299" spans="1:10" ht="28.8" x14ac:dyDescent="0.3">
      <c r="B299" s="197" t="s">
        <v>13617</v>
      </c>
      <c r="C299" s="197" t="s">
        <v>12</v>
      </c>
      <c r="D299" s="198" t="s">
        <v>14506</v>
      </c>
      <c r="E299" s="199" t="s">
        <v>14505</v>
      </c>
      <c r="F299" s="197" t="s">
        <v>427</v>
      </c>
      <c r="G299" s="200">
        <f>+'MC Canais'!J355</f>
        <v>8000</v>
      </c>
      <c r="H299" s="200">
        <f>+'Composições de Preços'!$F$492</f>
        <v>107.93859485200001</v>
      </c>
      <c r="I299" s="201">
        <f t="shared" si="42"/>
        <v>863508.75881600007</v>
      </c>
      <c r="J299" s="291"/>
    </row>
    <row r="300" spans="1:10" ht="28.8" x14ac:dyDescent="0.3">
      <c r="B300" s="197" t="s">
        <v>13618</v>
      </c>
      <c r="C300" s="197" t="s">
        <v>13039</v>
      </c>
      <c r="D300" s="198" t="s">
        <v>3149</v>
      </c>
      <c r="E300" s="199" t="str">
        <f>VLOOKUP($D300,'Preços Unitários'!$B:$G,2,FALSE)</f>
        <v>Concreto para bombeamento fck = 30 MPa - confecção em central dosadora de 30 m³/h - areia e brita comerciais</v>
      </c>
      <c r="F300" s="197" t="str">
        <f>VLOOKUP($D300,'Preços Unitários'!$B:$G,3,FALSE)</f>
        <v>m³</v>
      </c>
      <c r="G300" s="200">
        <f>+'MC Canais'!J356</f>
        <v>2484.0200000000004</v>
      </c>
      <c r="H300" s="200">
        <f>VLOOKUP($D300,'Preços Unitários'!$B:$G,6,FALSE)</f>
        <v>575.92882499999996</v>
      </c>
      <c r="I300" s="201">
        <f t="shared" si="42"/>
        <v>1430618.7198765001</v>
      </c>
      <c r="J300" s="297"/>
    </row>
    <row r="301" spans="1:10" ht="43.2" x14ac:dyDescent="0.3">
      <c r="B301" s="197" t="s">
        <v>13619</v>
      </c>
      <c r="C301" s="197" t="s">
        <v>13039</v>
      </c>
      <c r="D301" s="198" t="s">
        <v>3201</v>
      </c>
      <c r="E301" s="199" t="str">
        <f>VLOOKUP($D301,'Preços Unitários'!$B:$G,2,FALSE)</f>
        <v>Lançamento mecânico de concreto com bomba rebocável com capacidade de 30 m³/h - confecção em central dosadora de 30 m³/h</v>
      </c>
      <c r="F301" s="197" t="str">
        <f>VLOOKUP($D301,'Preços Unitários'!$B:$G,3,FALSE)</f>
        <v>m³</v>
      </c>
      <c r="G301" s="200">
        <f>+'MC Canais'!J357</f>
        <v>2484.0200000000004</v>
      </c>
      <c r="H301" s="200">
        <f>VLOOKUP($D301,'Preços Unitários'!$B:$G,6,FALSE)</f>
        <v>86.285976000000005</v>
      </c>
      <c r="I301" s="201">
        <f t="shared" si="42"/>
        <v>214336.09010352005</v>
      </c>
      <c r="J301" s="299"/>
    </row>
    <row r="302" spans="1:10" ht="28.8" x14ac:dyDescent="0.3">
      <c r="B302" s="197" t="s">
        <v>14531</v>
      </c>
      <c r="C302" s="197" t="s">
        <v>13039</v>
      </c>
      <c r="D302" s="198" t="s">
        <v>206</v>
      </c>
      <c r="E302" s="199" t="str">
        <f>VLOOKUP($D302,'Preços Unitários'!$B:$G,2,FALSE)</f>
        <v>Lábios poliméricos em junta de pavimento de concreto - L = 20 mm e H = 30 mm - confecção e assentamento</v>
      </c>
      <c r="F302" s="197" t="str">
        <f>VLOOKUP($D302,'Preços Unitários'!$B:$G,3,FALSE)</f>
        <v>m</v>
      </c>
      <c r="G302" s="200">
        <f>+'MC Canais'!J358</f>
        <v>20728.000000000004</v>
      </c>
      <c r="H302" s="200">
        <f>VLOOKUP($D302,'Preços Unitários'!$B:$G,6,FALSE)</f>
        <v>39.635428000000005</v>
      </c>
      <c r="I302" s="201">
        <f t="shared" si="42"/>
        <v>821563.15158400021</v>
      </c>
      <c r="J302" s="299"/>
    </row>
    <row r="303" spans="1:10" x14ac:dyDescent="0.3">
      <c r="B303" s="197" t="s">
        <v>14532</v>
      </c>
      <c r="C303" s="197" t="s">
        <v>12</v>
      </c>
      <c r="D303" s="198" t="s">
        <v>13209</v>
      </c>
      <c r="E303" s="199" t="s">
        <v>13208</v>
      </c>
      <c r="F303" s="197" t="s">
        <v>195</v>
      </c>
      <c r="G303" s="200">
        <f>+'MC Canais'!J359</f>
        <v>8000</v>
      </c>
      <c r="H303" s="200">
        <f>+'Composições de Preços'!$F$130</f>
        <v>37.70076957596789</v>
      </c>
      <c r="I303" s="201">
        <f t="shared" si="42"/>
        <v>301606.15660774312</v>
      </c>
      <c r="J303" s="299"/>
    </row>
    <row r="304" spans="1:10" ht="28.8" x14ac:dyDescent="0.3">
      <c r="B304" s="197" t="s">
        <v>14580</v>
      </c>
      <c r="C304" s="197" t="s">
        <v>13039</v>
      </c>
      <c r="D304" s="198" t="s">
        <v>9446</v>
      </c>
      <c r="E304" s="199" t="str">
        <f>VLOOKUP($D304,'Preços Unitários'!$B:$G,2,FALSE)</f>
        <v>Revestimento vegetal com grama em mudas em superfícies inclinadas</v>
      </c>
      <c r="F304" s="197" t="str">
        <f>VLOOKUP($D304,'Preços Unitários'!$B:$G,3,FALSE)</f>
        <v>m²</v>
      </c>
      <c r="G304" s="200">
        <f>+'MC Canais'!J360</f>
        <v>48000</v>
      </c>
      <c r="H304" s="200">
        <f>VLOOKUP($D304,'Preços Unitários'!$B:$G,6,FALSE)</f>
        <v>9.984019</v>
      </c>
      <c r="I304" s="201">
        <f t="shared" si="42"/>
        <v>479232.91200000001</v>
      </c>
      <c r="J304" s="299"/>
    </row>
    <row r="305" spans="2:10" x14ac:dyDescent="0.3">
      <c r="B305" s="202" t="s">
        <v>13620</v>
      </c>
      <c r="C305" s="202" t="s">
        <v>13</v>
      </c>
      <c r="D305" s="203" t="s">
        <v>13</v>
      </c>
      <c r="E305" s="204" t="s">
        <v>13222</v>
      </c>
      <c r="F305" s="202"/>
      <c r="G305" s="200">
        <f>+'MC Canais'!J361</f>
        <v>0</v>
      </c>
      <c r="H305" s="205"/>
      <c r="I305" s="205"/>
      <c r="J305" s="299"/>
    </row>
    <row r="306" spans="2:10" x14ac:dyDescent="0.3">
      <c r="B306" s="197" t="s">
        <v>13621</v>
      </c>
      <c r="C306" s="197" t="s">
        <v>13039</v>
      </c>
      <c r="D306" s="198" t="s">
        <v>9806</v>
      </c>
      <c r="E306" s="199" t="str">
        <f>VLOOKUP($D306,'Preços Unitários'!$B:$G,2,FALSE)</f>
        <v>Escavação mecânica de vala em material de 1ª categoria</v>
      </c>
      <c r="F306" s="197" t="str">
        <f>VLOOKUP($D306,'Preços Unitários'!$B:$G,3,FALSE)</f>
        <v>m³</v>
      </c>
      <c r="G306" s="200">
        <f>+'MC Canais'!J362</f>
        <v>3360</v>
      </c>
      <c r="H306" s="200">
        <f>VLOOKUP($D306,'Preços Unitários'!$B:$G,6,FALSE)</f>
        <v>8.7313189999999992</v>
      </c>
      <c r="I306" s="201">
        <f t="shared" ref="I306:I312" si="43">+G306*H306</f>
        <v>29337.231839999997</v>
      </c>
      <c r="J306" s="299"/>
    </row>
    <row r="307" spans="2:10" x14ac:dyDescent="0.3">
      <c r="B307" s="197" t="s">
        <v>13622</v>
      </c>
      <c r="C307" s="197" t="s">
        <v>13039</v>
      </c>
      <c r="D307" s="198" t="s">
        <v>9830</v>
      </c>
      <c r="E307" s="199" t="str">
        <f>VLOOKUP($D307,'Preços Unitários'!$B:$G,2,FALSE)</f>
        <v>Reaterro e compactação com soquete vibratório</v>
      </c>
      <c r="F307" s="197" t="str">
        <f>VLOOKUP($D307,'Preços Unitários'!$B:$G,3,FALSE)</f>
        <v>m³</v>
      </c>
      <c r="G307" s="200">
        <f>+'MC Canais'!J363</f>
        <v>1920</v>
      </c>
      <c r="H307" s="200">
        <f>VLOOKUP($D307,'Preços Unitários'!$B:$G,6,FALSE)</f>
        <v>22.611235000000001</v>
      </c>
      <c r="I307" s="201">
        <f t="shared" si="43"/>
        <v>43413.571199999998</v>
      </c>
      <c r="J307" s="299"/>
    </row>
    <row r="308" spans="2:10" ht="28.8" x14ac:dyDescent="0.3">
      <c r="B308" s="197" t="s">
        <v>13623</v>
      </c>
      <c r="C308" s="197" t="s">
        <v>13039</v>
      </c>
      <c r="D308" s="198" t="s">
        <v>11947</v>
      </c>
      <c r="E308" s="199" t="str">
        <f>VLOOKUP($D308,'Preços Unitários'!$B:$G,2,FALSE)</f>
        <v>Transporte com caminhão basculante de 14 m³ - rodovia em leito natural</v>
      </c>
      <c r="F308" s="197" t="str">
        <f>VLOOKUP($D308,'Preços Unitários'!$B:$G,3,FALSE)</f>
        <v>tkm</v>
      </c>
      <c r="G308" s="200">
        <f>+'MC Canais'!J364</f>
        <v>10079.999999999998</v>
      </c>
      <c r="H308" s="200">
        <f>VLOOKUP($D308,'Preços Unitários'!$B:$G,6,FALSE)</f>
        <v>1.165011</v>
      </c>
      <c r="I308" s="201">
        <f t="shared" si="43"/>
        <v>11743.310879999997</v>
      </c>
      <c r="J308" s="299"/>
    </row>
    <row r="309" spans="2:10" ht="28.8" x14ac:dyDescent="0.3">
      <c r="B309" s="197" t="s">
        <v>13624</v>
      </c>
      <c r="C309" s="197" t="s">
        <v>12</v>
      </c>
      <c r="D309" s="198" t="s">
        <v>13224</v>
      </c>
      <c r="E309" s="199" t="s">
        <v>13223</v>
      </c>
      <c r="F309" s="197" t="s">
        <v>2904</v>
      </c>
      <c r="G309" s="200">
        <f>+'MC Canais'!J365</f>
        <v>9600</v>
      </c>
      <c r="H309" s="200">
        <f>+'Composições de Preços'!$F$173</f>
        <v>26.052132569499999</v>
      </c>
      <c r="I309" s="201">
        <f t="shared" si="43"/>
        <v>250100.4726672</v>
      </c>
      <c r="J309" s="299"/>
    </row>
    <row r="310" spans="2:10" ht="28.8" x14ac:dyDescent="0.3">
      <c r="B310" s="197" t="s">
        <v>13625</v>
      </c>
      <c r="C310" s="197" t="s">
        <v>13039</v>
      </c>
      <c r="D310" s="198" t="s">
        <v>6908</v>
      </c>
      <c r="E310" s="199" t="str">
        <f>VLOOKUP($D310,'Preços Unitários'!$B:$G,2,FALSE)</f>
        <v>Tubo de concreto perfurado produzido na obra para drenagem - D = 0,40 m - fornecimento e instalação</v>
      </c>
      <c r="F310" s="197" t="str">
        <f>VLOOKUP($D310,'Preços Unitários'!$B:$G,3,FALSE)</f>
        <v>m</v>
      </c>
      <c r="G310" s="200">
        <f>+'MC Canais'!J366</f>
        <v>4000</v>
      </c>
      <c r="H310" s="200">
        <f>VLOOKUP($D310,'Preços Unitários'!$B:$G,6,FALSE)</f>
        <v>116.764167</v>
      </c>
      <c r="I310" s="201">
        <f t="shared" si="43"/>
        <v>467056.66800000001</v>
      </c>
      <c r="J310" s="299"/>
    </row>
    <row r="311" spans="2:10" ht="28.8" x14ac:dyDescent="0.3">
      <c r="B311" s="197" t="s">
        <v>13626</v>
      </c>
      <c r="C311" s="197" t="s">
        <v>13039</v>
      </c>
      <c r="D311" s="198" t="s">
        <v>6438</v>
      </c>
      <c r="E311" s="199" t="str">
        <f>VLOOKUP($D311,'Preços Unitários'!$B:$G,2,FALSE)</f>
        <v>Lastro de brita comercial compactado com soquete vibratório - espalhamento manual</v>
      </c>
      <c r="F311" s="197" t="str">
        <f>VLOOKUP($D311,'Preços Unitários'!$B:$G,3,FALSE)</f>
        <v>m³</v>
      </c>
      <c r="G311" s="200">
        <f>+'MC Canais'!J367</f>
        <v>937.59999999999991</v>
      </c>
      <c r="H311" s="200">
        <f>VLOOKUP($D311,'Preços Unitários'!$B:$G,6,FALSE)</f>
        <v>239.34086200000002</v>
      </c>
      <c r="I311" s="201">
        <f t="shared" si="43"/>
        <v>224405.99221120001</v>
      </c>
      <c r="J311" s="299"/>
    </row>
    <row r="312" spans="2:10" x14ac:dyDescent="0.3">
      <c r="B312" s="197" t="s">
        <v>13627</v>
      </c>
      <c r="C312" s="197" t="s">
        <v>13039</v>
      </c>
      <c r="D312" s="206" t="s">
        <v>6430</v>
      </c>
      <c r="E312" s="199" t="str">
        <f>VLOOKUP($D312,'Preços Unitários'!$B:$G,2,FALSE)</f>
        <v>Lastro de areia comercial - espalhamento manual</v>
      </c>
      <c r="F312" s="197" t="str">
        <f>VLOOKUP($D312,'Preços Unitários'!$B:$G,3,FALSE)</f>
        <v>m³</v>
      </c>
      <c r="G312" s="200">
        <f>+'MC Canais'!J368</f>
        <v>480</v>
      </c>
      <c r="H312" s="200">
        <f>VLOOKUP($D312,'Preços Unitários'!$B:$G,6,FALSE)</f>
        <v>198.06439700000001</v>
      </c>
      <c r="I312" s="201">
        <f t="shared" si="43"/>
        <v>95070.910560000004</v>
      </c>
      <c r="J312" s="297"/>
    </row>
    <row r="313" spans="2:10" s="243" customFormat="1" ht="28.8" x14ac:dyDescent="0.3">
      <c r="B313" s="197" t="s">
        <v>13628</v>
      </c>
      <c r="C313" s="197" t="s">
        <v>13</v>
      </c>
      <c r="D313" s="198" t="s">
        <v>13</v>
      </c>
      <c r="E313" s="207" t="s">
        <v>13228</v>
      </c>
      <c r="F313" s="197"/>
      <c r="G313" s="200">
        <f>+'MC Canais'!J369</f>
        <v>0</v>
      </c>
      <c r="H313" s="201"/>
      <c r="I313" s="201"/>
      <c r="J313" s="299"/>
    </row>
    <row r="314" spans="2:10" ht="28.8" x14ac:dyDescent="0.3">
      <c r="B314" s="197" t="s">
        <v>13629</v>
      </c>
      <c r="C314" s="197" t="s">
        <v>13039</v>
      </c>
      <c r="D314" s="198" t="s">
        <v>6964</v>
      </c>
      <c r="E314" s="199" t="str">
        <f>VLOOKUP($D314,'Preços Unitários'!$B:$G,2,FALSE)</f>
        <v>Valeta de proteção de cortes com revestimento vegetal - VPCG 120-30 - escavação mecânica</v>
      </c>
      <c r="F314" s="197" t="str">
        <f>VLOOKUP($D314,'Preços Unitários'!$B:$G,3,FALSE)</f>
        <v>m</v>
      </c>
      <c r="G314" s="200">
        <f>+'MC Canais'!J370</f>
        <v>8000</v>
      </c>
      <c r="H314" s="200">
        <f>VLOOKUP($D314,'Preços Unitários'!$B:$G,6,FALSE)</f>
        <v>51.961995999999999</v>
      </c>
      <c r="I314" s="201">
        <f t="shared" ref="I314:I317" si="44">+G314*H314</f>
        <v>415695.96799999999</v>
      </c>
      <c r="J314" s="299"/>
    </row>
    <row r="315" spans="2:10" ht="28.8" x14ac:dyDescent="0.3">
      <c r="B315" s="197" t="s">
        <v>13630</v>
      </c>
      <c r="C315" s="197" t="s">
        <v>13039</v>
      </c>
      <c r="D315" s="198" t="s">
        <v>6744</v>
      </c>
      <c r="E315" s="199" t="str">
        <f>VLOOKUP($D315,'Preços Unitários'!$B:$G,2,FALSE)</f>
        <v>Sarjeta triangular de grama - STG 125-25 - escavação mecânica</v>
      </c>
      <c r="F315" s="197" t="str">
        <f>VLOOKUP($D315,'Preços Unitários'!$B:$G,3,FALSE)</f>
        <v>m</v>
      </c>
      <c r="G315" s="200">
        <f>+'MC Canais'!J371</f>
        <v>8000</v>
      </c>
      <c r="H315" s="200">
        <f>VLOOKUP($D315,'Preços Unitários'!$B:$G,6,FALSE)</f>
        <v>29.776679000000001</v>
      </c>
      <c r="I315" s="201">
        <f t="shared" si="44"/>
        <v>238213.432</v>
      </c>
      <c r="J315" s="299"/>
    </row>
    <row r="316" spans="2:10" ht="28.8" x14ac:dyDescent="0.3">
      <c r="B316" s="197" t="s">
        <v>13631</v>
      </c>
      <c r="C316" s="197" t="s">
        <v>13039</v>
      </c>
      <c r="D316" s="198" t="s">
        <v>2740</v>
      </c>
      <c r="E316" s="199" t="str">
        <f>VLOOKUP($D316,'Preços Unitários'!$B:$G,2,FALSE)</f>
        <v>Corpo de BSTC D = 0,80 m PA1 - areia, brita e pedra de mão comerciais</v>
      </c>
      <c r="F316" s="197" t="str">
        <f>VLOOKUP($D316,'Preços Unitários'!$B:$G,3,FALSE)</f>
        <v>m</v>
      </c>
      <c r="G316" s="200">
        <f>+'MC Canais'!J372</f>
        <v>26</v>
      </c>
      <c r="H316" s="200">
        <f>VLOOKUP($D316,'Preços Unitários'!$B:$G,6,FALSE)</f>
        <v>799.67357200000004</v>
      </c>
      <c r="I316" s="201">
        <f t="shared" si="44"/>
        <v>20791.512871999999</v>
      </c>
      <c r="J316" s="299"/>
    </row>
    <row r="317" spans="2:10" ht="28.8" x14ac:dyDescent="0.3">
      <c r="B317" s="197" t="s">
        <v>13632</v>
      </c>
      <c r="C317" s="197" t="s">
        <v>13039</v>
      </c>
      <c r="D317" s="208" t="s">
        <v>2172</v>
      </c>
      <c r="E317" s="199" t="str">
        <f>VLOOKUP($D317,'Preços Unitários'!$B:$G,2,FALSE)</f>
        <v>Boca de BSTC D = 0,80 m - esconsidade 0° - areia e brita comerciais - alas retas</v>
      </c>
      <c r="F317" s="197" t="str">
        <f>VLOOKUP($D317,'Preços Unitários'!$B:$G,3,FALSE)</f>
        <v>un</v>
      </c>
      <c r="G317" s="200">
        <f>+'MC Canais'!J373</f>
        <v>2</v>
      </c>
      <c r="H317" s="200">
        <f>VLOOKUP($D317,'Preços Unitários'!$B:$G,6,FALSE)</f>
        <v>1606.687966</v>
      </c>
      <c r="I317" s="201">
        <f t="shared" si="44"/>
        <v>3213.3759319999999</v>
      </c>
      <c r="J317" s="299"/>
    </row>
    <row r="318" spans="2:10" s="243" customFormat="1" x14ac:dyDescent="0.3">
      <c r="B318" s="197" t="s">
        <v>13633</v>
      </c>
      <c r="C318" s="197" t="s">
        <v>13</v>
      </c>
      <c r="D318" s="198" t="s">
        <v>13</v>
      </c>
      <c r="E318" s="207" t="s">
        <v>13230</v>
      </c>
      <c r="F318" s="197"/>
      <c r="G318" s="200">
        <f>+'MC Canais'!J374</f>
        <v>0</v>
      </c>
      <c r="H318" s="201"/>
      <c r="I318" s="201"/>
      <c r="J318" s="299"/>
    </row>
    <row r="319" spans="2:10" ht="28.8" x14ac:dyDescent="0.3">
      <c r="B319" s="197" t="s">
        <v>13634</v>
      </c>
      <c r="C319" s="197" t="s">
        <v>13039</v>
      </c>
      <c r="D319" s="198" t="s">
        <v>11088</v>
      </c>
      <c r="E319" s="199" t="str">
        <f>VLOOKUP($D319,'Preços Unitários'!$B:$G,2,FALSE)</f>
        <v>Escavação mecânica com retroescavadeira em material de 1ª categoria</v>
      </c>
      <c r="F319" s="197" t="str">
        <f>VLOOKUP($D319,'Preços Unitários'!$B:$G,3,FALSE)</f>
        <v>m³</v>
      </c>
      <c r="G319" s="200">
        <f>+'MC Canais'!J375</f>
        <v>4200</v>
      </c>
      <c r="H319" s="200">
        <f>VLOOKUP($D319,'Preços Unitários'!$B:$G,6,FALSE)</f>
        <v>8.7313189999999992</v>
      </c>
      <c r="I319" s="201">
        <f t="shared" ref="I319:I323" si="45">+G319*H319</f>
        <v>36671.539799999999</v>
      </c>
      <c r="J319" s="299"/>
    </row>
    <row r="320" spans="2:10" x14ac:dyDescent="0.3">
      <c r="B320" s="197" t="s">
        <v>13635</v>
      </c>
      <c r="C320" s="197" t="s">
        <v>13039</v>
      </c>
      <c r="D320" s="198" t="s">
        <v>11046</v>
      </c>
      <c r="E320" s="199" t="str">
        <f>VLOOKUP($D320,'Preços Unitários'!$B:$G,2,FALSE)</f>
        <v>Compactação de aterros a 100% do Proctor normal</v>
      </c>
      <c r="F320" s="197" t="str">
        <f>VLOOKUP($D320,'Preços Unitários'!$B:$G,3,FALSE)</f>
        <v>m³</v>
      </c>
      <c r="G320" s="200">
        <f>+'MC Canais'!J376</f>
        <v>2800</v>
      </c>
      <c r="H320" s="200">
        <f>VLOOKUP($D320,'Preços Unitários'!$B:$G,6,FALSE)</f>
        <v>7.1028090000000006</v>
      </c>
      <c r="I320" s="201">
        <f t="shared" si="45"/>
        <v>19887.8652</v>
      </c>
      <c r="J320" s="299"/>
    </row>
    <row r="321" spans="1:10" ht="28.8" x14ac:dyDescent="0.3">
      <c r="B321" s="197" t="s">
        <v>13636</v>
      </c>
      <c r="C321" s="197" t="s">
        <v>13039</v>
      </c>
      <c r="D321" s="198" t="s">
        <v>11947</v>
      </c>
      <c r="E321" s="199" t="str">
        <f>VLOOKUP($D321,'Preços Unitários'!$B:$G,2,FALSE)</f>
        <v>Transporte com caminhão basculante de 14 m³ - rodovia em leito natural</v>
      </c>
      <c r="F321" s="197" t="str">
        <f>VLOOKUP($D321,'Preços Unitários'!$B:$G,3,FALSE)</f>
        <v>tkm</v>
      </c>
      <c r="G321" s="200">
        <f>+'MC Canais'!J377</f>
        <v>1400</v>
      </c>
      <c r="H321" s="200">
        <f>VLOOKUP($D321,'Preços Unitários'!$B:$G,6,FALSE)</f>
        <v>1.165011</v>
      </c>
      <c r="I321" s="201">
        <f t="shared" si="45"/>
        <v>1631.0154</v>
      </c>
      <c r="J321" s="299"/>
    </row>
    <row r="322" spans="1:10" x14ac:dyDescent="0.3">
      <c r="B322" s="197" t="s">
        <v>13637</v>
      </c>
      <c r="C322" s="197" t="s">
        <v>13039</v>
      </c>
      <c r="D322" s="198" t="s">
        <v>9440</v>
      </c>
      <c r="E322" s="199" t="str">
        <f>VLOOKUP($D322,'Preços Unitários'!$B:$G,2,FALSE)</f>
        <v>Regularização de superfície com motoniveladora</v>
      </c>
      <c r="F322" s="197" t="str">
        <f>VLOOKUP($D322,'Preços Unitários'!$B:$G,3,FALSE)</f>
        <v>m²</v>
      </c>
      <c r="G322" s="200">
        <f>+'MC Canais'!J378</f>
        <v>28000</v>
      </c>
      <c r="H322" s="200">
        <f>VLOOKUP($D322,'Preços Unitários'!$B:$G,6,FALSE)</f>
        <v>0.100216</v>
      </c>
      <c r="I322" s="201">
        <f t="shared" si="45"/>
        <v>2806.0479999999998</v>
      </c>
      <c r="J322" s="299"/>
    </row>
    <row r="323" spans="1:10" x14ac:dyDescent="0.3">
      <c r="B323" s="197" t="s">
        <v>13638</v>
      </c>
      <c r="C323" s="197" t="s">
        <v>12</v>
      </c>
      <c r="D323" s="198" t="s">
        <v>13232</v>
      </c>
      <c r="E323" s="199" t="s">
        <v>13231</v>
      </c>
      <c r="F323" s="197" t="s">
        <v>427</v>
      </c>
      <c r="G323" s="200">
        <f>+'MC Canais'!J379</f>
        <v>2100</v>
      </c>
      <c r="H323" s="200">
        <f>+'Composições de Preços'!$F$216</f>
        <v>214.40019935426301</v>
      </c>
      <c r="I323" s="201">
        <f t="shared" si="45"/>
        <v>450240.41864395235</v>
      </c>
      <c r="J323" s="299"/>
    </row>
    <row r="324" spans="1:10" s="243" customFormat="1" x14ac:dyDescent="0.3">
      <c r="B324" s="197" t="s">
        <v>13639</v>
      </c>
      <c r="C324" s="197" t="s">
        <v>13</v>
      </c>
      <c r="D324" s="198" t="s">
        <v>13</v>
      </c>
      <c r="E324" s="207" t="s">
        <v>13386</v>
      </c>
      <c r="F324" s="197"/>
      <c r="G324" s="200">
        <f>+'MC Canais'!J380</f>
        <v>0</v>
      </c>
      <c r="H324" s="201"/>
      <c r="I324" s="201"/>
      <c r="J324" s="299"/>
    </row>
    <row r="325" spans="1:10" ht="28.8" x14ac:dyDescent="0.3">
      <c r="B325" s="197" t="s">
        <v>13640</v>
      </c>
      <c r="C325" s="197" t="s">
        <v>13039</v>
      </c>
      <c r="D325" s="198" t="s">
        <v>8625</v>
      </c>
      <c r="E325" s="199" t="str">
        <f>VLOOKUP($D325,'Preços Unitários'!$B:$G,2,FALSE)</f>
        <v>Cerca com 4 fios de arame liso galvanizado e mourão de madeira a cada 2,5 m e esticador a cada 50 m</v>
      </c>
      <c r="F325" s="197" t="str">
        <f>VLOOKUP($D325,'Preços Unitários'!$B:$G,3,FALSE)</f>
        <v>m</v>
      </c>
      <c r="G325" s="200">
        <f>+'MC Canais'!J381</f>
        <v>8000</v>
      </c>
      <c r="H325" s="200">
        <f>VLOOKUP($D325,'Preços Unitários'!$B:$G,6,FALSE)</f>
        <v>27.146009000000003</v>
      </c>
      <c r="I325" s="201">
        <f t="shared" ref="I325" si="46">+G325*H325</f>
        <v>217168.07200000001</v>
      </c>
      <c r="J325" s="299"/>
    </row>
    <row r="326" spans="1:10" x14ac:dyDescent="0.3">
      <c r="A326" s="42" t="s">
        <v>14476</v>
      </c>
      <c r="B326" s="209" t="s">
        <v>13060</v>
      </c>
      <c r="C326" s="209" t="s">
        <v>13</v>
      </c>
      <c r="D326" s="210" t="s">
        <v>13</v>
      </c>
      <c r="E326" s="211" t="s">
        <v>13074</v>
      </c>
      <c r="F326" s="209" t="s">
        <v>13</v>
      </c>
      <c r="G326" s="212">
        <v>0</v>
      </c>
      <c r="H326" s="212">
        <v>0</v>
      </c>
      <c r="I326" s="212">
        <f>SUM(I327:I362)</f>
        <v>12110016.878546173</v>
      </c>
      <c r="J326" s="284" t="s">
        <v>14476</v>
      </c>
    </row>
    <row r="327" spans="1:10" x14ac:dyDescent="0.3">
      <c r="B327" s="202" t="s">
        <v>13641</v>
      </c>
      <c r="C327" s="202" t="s">
        <v>13</v>
      </c>
      <c r="D327" s="203" t="s">
        <v>13</v>
      </c>
      <c r="E327" s="204" t="s">
        <v>13203</v>
      </c>
      <c r="F327" s="202"/>
      <c r="G327" s="205"/>
      <c r="H327" s="205"/>
      <c r="I327" s="205"/>
      <c r="J327" s="299"/>
    </row>
    <row r="328" spans="1:10" ht="28.8" x14ac:dyDescent="0.3">
      <c r="B328" s="197" t="s">
        <v>13642</v>
      </c>
      <c r="C328" s="197" t="s">
        <v>13039</v>
      </c>
      <c r="D328" s="198" t="s">
        <v>11052</v>
      </c>
      <c r="E328" s="199" t="str">
        <f>VLOOKUP($D328,'Preços Unitários'!$B:$G,2,FALSE)</f>
        <v>Desmatamento, destocamento e limpeza de área com árvores de diâmetro até 0,15 m</v>
      </c>
      <c r="F328" s="197" t="str">
        <f>VLOOKUP($D328,'Preços Unitários'!$B:$G,3,FALSE)</f>
        <v>m²</v>
      </c>
      <c r="G328" s="200">
        <f>+'MC Canais'!J385</f>
        <v>159680</v>
      </c>
      <c r="H328" s="200">
        <f>VLOOKUP($D328,'Preços Unitários'!$B:$G,6,FALSE)</f>
        <v>0.87688999999999995</v>
      </c>
      <c r="I328" s="201">
        <f>+G328*H328</f>
        <v>140021.79519999999</v>
      </c>
      <c r="J328" s="299"/>
    </row>
    <row r="329" spans="1:10" ht="43.2" x14ac:dyDescent="0.3">
      <c r="B329" s="197" t="s">
        <v>13643</v>
      </c>
      <c r="C329" s="197" t="s">
        <v>13039</v>
      </c>
      <c r="D329" s="198" t="s">
        <v>11092</v>
      </c>
      <c r="E329" s="199" t="str">
        <f>VLOOKUP($D329,'Preços Unitários'!$B:$G,2,FALSE)</f>
        <v>Escavação, carga e transporte de material de 1ª categoria - DMT de 1.000 a 1.200 m - caminho de serviço em leito natural - com escavadeira e caminhão basculante de 14 m³</v>
      </c>
      <c r="F329" s="197" t="str">
        <f>VLOOKUP($D329,'Preços Unitários'!$B:$G,3,FALSE)</f>
        <v>m³</v>
      </c>
      <c r="G329" s="200">
        <f>+'MC Canais'!J386</f>
        <v>31221.93</v>
      </c>
      <c r="H329" s="200">
        <f>VLOOKUP($D329,'Preços Unitários'!$B:$G,6,FALSE)</f>
        <v>10.673003999999999</v>
      </c>
      <c r="I329" s="201">
        <f t="shared" ref="I329:I341" si="47">+G329*H329</f>
        <v>333231.78377771995</v>
      </c>
      <c r="J329" s="299"/>
    </row>
    <row r="330" spans="1:10" x14ac:dyDescent="0.3">
      <c r="B330" s="197" t="s">
        <v>13644</v>
      </c>
      <c r="C330" s="197" t="s">
        <v>13039</v>
      </c>
      <c r="D330" s="198" t="s">
        <v>11046</v>
      </c>
      <c r="E330" s="213" t="str">
        <f>VLOOKUP($D330,'Preços Unitários'!$B:$G,2,FALSE)</f>
        <v>Compactação de aterros a 100% do Proctor normal</v>
      </c>
      <c r="F330" s="197" t="str">
        <f>VLOOKUP($D330,'Preços Unitários'!$B:$G,3,FALSE)</f>
        <v>m³</v>
      </c>
      <c r="G330" s="200">
        <f>+'MC Canais'!J387</f>
        <v>137607</v>
      </c>
      <c r="H330" s="200">
        <f>VLOOKUP($D330,'Preços Unitários'!$B:$G,6,FALSE)</f>
        <v>7.1028090000000006</v>
      </c>
      <c r="I330" s="201">
        <f t="shared" si="47"/>
        <v>977396.23806300003</v>
      </c>
      <c r="J330" s="299"/>
    </row>
    <row r="331" spans="1:10" ht="28.8" x14ac:dyDescent="0.3">
      <c r="B331" s="197" t="s">
        <v>13645</v>
      </c>
      <c r="C331" s="197" t="s">
        <v>13039</v>
      </c>
      <c r="D331" s="198" t="s">
        <v>11947</v>
      </c>
      <c r="E331" s="199" t="str">
        <f>VLOOKUP($D331,'Preços Unitários'!$B:$G,2,FALSE)</f>
        <v>Transporte com caminhão basculante de 14 m³ - rodovia em leito natural</v>
      </c>
      <c r="F331" s="197" t="str">
        <f>VLOOKUP($D331,'Preços Unitários'!$B:$G,3,FALSE)</f>
        <v>tkm</v>
      </c>
      <c r="G331" s="200">
        <f>+'MC Canais'!J388</f>
        <v>744695.49</v>
      </c>
      <c r="H331" s="200">
        <f>VLOOKUP($D331,'Preços Unitários'!$B:$G,6,FALSE)</f>
        <v>1.165011</v>
      </c>
      <c r="I331" s="201">
        <f t="shared" si="47"/>
        <v>867578.43750038999</v>
      </c>
      <c r="J331" s="299"/>
    </row>
    <row r="332" spans="1:10" x14ac:dyDescent="0.3">
      <c r="B332" s="197" t="s">
        <v>13646</v>
      </c>
      <c r="C332" s="197" t="s">
        <v>13039</v>
      </c>
      <c r="D332" s="198" t="s">
        <v>9440</v>
      </c>
      <c r="E332" s="199" t="str">
        <f>VLOOKUP($D332,'Preços Unitários'!$B:$G,2,FALSE)</f>
        <v>Regularização de superfície com motoniveladora</v>
      </c>
      <c r="F332" s="197" t="str">
        <f>VLOOKUP($D332,'Preços Unitários'!$B:$G,3,FALSE)</f>
        <v>m²</v>
      </c>
      <c r="G332" s="200">
        <f>+'MC Canais'!J389</f>
        <v>5988</v>
      </c>
      <c r="H332" s="200">
        <f>VLOOKUP($D332,'Preços Unitários'!$B:$G,6,FALSE)</f>
        <v>0.100216</v>
      </c>
      <c r="I332" s="201">
        <f>+G332*H332</f>
        <v>600.09340799999995</v>
      </c>
      <c r="J332" s="299"/>
    </row>
    <row r="333" spans="1:10" ht="28.8" x14ac:dyDescent="0.3">
      <c r="B333" s="197" t="s">
        <v>13647</v>
      </c>
      <c r="C333" s="197" t="s">
        <v>12</v>
      </c>
      <c r="D333" s="198" t="s">
        <v>13205</v>
      </c>
      <c r="E333" s="199" t="s">
        <v>13204</v>
      </c>
      <c r="F333" s="197" t="s">
        <v>2904</v>
      </c>
      <c r="G333" s="200">
        <f>+'MC Canais'!J390</f>
        <v>7782.3</v>
      </c>
      <c r="H333" s="200">
        <f>+'Composições de Preços'!$F$87</f>
        <v>59.387948601153852</v>
      </c>
      <c r="I333" s="201">
        <f t="shared" si="47"/>
        <v>462174.83239875961</v>
      </c>
      <c r="J333" s="291"/>
    </row>
    <row r="334" spans="1:10" ht="28.8" x14ac:dyDescent="0.3">
      <c r="B334" s="197" t="s">
        <v>13648</v>
      </c>
      <c r="C334" s="197" t="s">
        <v>12</v>
      </c>
      <c r="D334" s="198" t="s">
        <v>14504</v>
      </c>
      <c r="E334" s="199" t="s">
        <v>14497</v>
      </c>
      <c r="F334" s="197" t="s">
        <v>427</v>
      </c>
      <c r="G334" s="200">
        <f>+'MC Canais'!J391</f>
        <v>6225.8</v>
      </c>
      <c r="H334" s="200">
        <f>+'Composições de Preços'!$F$446</f>
        <v>99.894988108799993</v>
      </c>
      <c r="I334" s="201">
        <f t="shared" si="47"/>
        <v>621926.21696776699</v>
      </c>
      <c r="J334" s="297"/>
    </row>
    <row r="335" spans="1:10" ht="28.8" x14ac:dyDescent="0.3">
      <c r="B335" s="197" t="s">
        <v>13649</v>
      </c>
      <c r="C335" s="197" t="s">
        <v>12</v>
      </c>
      <c r="D335" s="198" t="s">
        <v>13192</v>
      </c>
      <c r="E335" s="199" t="s">
        <v>13191</v>
      </c>
      <c r="F335" s="197" t="s">
        <v>2904</v>
      </c>
      <c r="G335" s="200">
        <f>+'MC Canais'!J392</f>
        <v>31129</v>
      </c>
      <c r="H335" s="200">
        <f>+'Composições de Preços'!$F$44</f>
        <v>73.117919302000004</v>
      </c>
      <c r="I335" s="201">
        <f t="shared" si="47"/>
        <v>2276087.7099519582</v>
      </c>
      <c r="J335" s="299"/>
    </row>
    <row r="336" spans="1:10" ht="28.8" x14ac:dyDescent="0.3">
      <c r="B336" s="197" t="s">
        <v>13650</v>
      </c>
      <c r="C336" s="197" t="s">
        <v>12</v>
      </c>
      <c r="D336" s="198" t="s">
        <v>14506</v>
      </c>
      <c r="E336" s="199" t="s">
        <v>14505</v>
      </c>
      <c r="F336" s="197" t="s">
        <v>427</v>
      </c>
      <c r="G336" s="200">
        <f>+'MC Canais'!J393</f>
        <v>7984</v>
      </c>
      <c r="H336" s="200">
        <f>+'Composições de Preços'!$F$492</f>
        <v>107.93859485200001</v>
      </c>
      <c r="I336" s="201">
        <f t="shared" si="47"/>
        <v>861781.74129836808</v>
      </c>
      <c r="J336" s="299"/>
    </row>
    <row r="337" spans="2:10" ht="28.8" x14ac:dyDescent="0.3">
      <c r="B337" s="197" t="s">
        <v>13651</v>
      </c>
      <c r="C337" s="197" t="s">
        <v>13039</v>
      </c>
      <c r="D337" s="198" t="s">
        <v>3149</v>
      </c>
      <c r="E337" s="199" t="str">
        <f>VLOOKUP($D337,'Preços Unitários'!$B:$G,2,FALSE)</f>
        <v>Concreto para bombeamento fck = 30 MPa - confecção em central dosadora de 30 m³/h - areia e brita comerciais</v>
      </c>
      <c r="F337" s="197" t="str">
        <f>VLOOKUP($D337,'Preços Unitários'!$B:$G,3,FALSE)</f>
        <v>m³</v>
      </c>
      <c r="G337" s="200">
        <f>+'MC Canais'!J394</f>
        <v>2179.0300000000002</v>
      </c>
      <c r="H337" s="200">
        <f>VLOOKUP($D337,'Preços Unitários'!$B:$G,6,FALSE)</f>
        <v>575.92882499999996</v>
      </c>
      <c r="I337" s="201">
        <f t="shared" si="47"/>
        <v>1254966.18753975</v>
      </c>
      <c r="J337" s="299"/>
    </row>
    <row r="338" spans="2:10" ht="43.2" x14ac:dyDescent="0.3">
      <c r="B338" s="197" t="s">
        <v>13652</v>
      </c>
      <c r="C338" s="197" t="s">
        <v>13039</v>
      </c>
      <c r="D338" s="198" t="s">
        <v>3201</v>
      </c>
      <c r="E338" s="199" t="str">
        <f>VLOOKUP($D338,'Preços Unitários'!$B:$G,2,FALSE)</f>
        <v>Lançamento mecânico de concreto com bomba rebocável com capacidade de 30 m³/h - confecção em central dosadora de 30 m³/h</v>
      </c>
      <c r="F338" s="197" t="str">
        <f>VLOOKUP($D338,'Preços Unitários'!$B:$G,3,FALSE)</f>
        <v>m³</v>
      </c>
      <c r="G338" s="200">
        <f>+'MC Canais'!J395</f>
        <v>2179.0300000000002</v>
      </c>
      <c r="H338" s="200">
        <f>VLOOKUP($D338,'Preços Unitários'!$B:$G,6,FALSE)</f>
        <v>86.285976000000005</v>
      </c>
      <c r="I338" s="201">
        <f t="shared" si="47"/>
        <v>188019.73028328002</v>
      </c>
      <c r="J338" s="299"/>
    </row>
    <row r="339" spans="2:10" ht="28.8" x14ac:dyDescent="0.3">
      <c r="B339" s="197" t="s">
        <v>14529</v>
      </c>
      <c r="C339" s="197" t="s">
        <v>13039</v>
      </c>
      <c r="D339" s="198" t="s">
        <v>206</v>
      </c>
      <c r="E339" s="199" t="str">
        <f>VLOOKUP($D339,'Preços Unitários'!$B:$G,2,FALSE)</f>
        <v>Lábios poliméricos em junta de pavimento de concreto - L = 20 mm e H = 30 mm - confecção e assentamento</v>
      </c>
      <c r="F339" s="197" t="str">
        <f>VLOOKUP($D339,'Preços Unitários'!$B:$G,3,FALSE)</f>
        <v>m</v>
      </c>
      <c r="G339" s="200">
        <f>+'MC Canais'!J396</f>
        <v>19177.567999999999</v>
      </c>
      <c r="H339" s="200">
        <f>VLOOKUP($D339,'Preços Unitários'!$B:$G,6,FALSE)</f>
        <v>39.635428000000005</v>
      </c>
      <c r="I339" s="201">
        <f t="shared" si="47"/>
        <v>760111.11567910411</v>
      </c>
      <c r="J339" s="299"/>
    </row>
    <row r="340" spans="2:10" x14ac:dyDescent="0.3">
      <c r="B340" s="197" t="s">
        <v>14530</v>
      </c>
      <c r="C340" s="197" t="s">
        <v>12</v>
      </c>
      <c r="D340" s="198" t="s">
        <v>13209</v>
      </c>
      <c r="E340" s="199" t="s">
        <v>13208</v>
      </c>
      <c r="F340" s="197" t="s">
        <v>195</v>
      </c>
      <c r="G340" s="200">
        <f>+'MC Canais'!J397</f>
        <v>7984</v>
      </c>
      <c r="H340" s="200">
        <f>+'Composições de Preços'!$F$130</f>
        <v>37.70076957596789</v>
      </c>
      <c r="I340" s="201">
        <f t="shared" si="47"/>
        <v>301002.94429452764</v>
      </c>
      <c r="J340" s="299"/>
    </row>
    <row r="341" spans="2:10" ht="28.8" x14ac:dyDescent="0.3">
      <c r="B341" s="197" t="s">
        <v>14581</v>
      </c>
      <c r="C341" s="197" t="s">
        <v>13039</v>
      </c>
      <c r="D341" s="198" t="s">
        <v>9446</v>
      </c>
      <c r="E341" s="199" t="str">
        <f>VLOOKUP($D341,'Preços Unitários'!$B:$G,2,FALSE)</f>
        <v>Revestimento vegetal com grama em mudas em superfícies inclinadas</v>
      </c>
      <c r="F341" s="197" t="str">
        <f>VLOOKUP($D341,'Preços Unitários'!$B:$G,3,FALSE)</f>
        <v>m²</v>
      </c>
      <c r="G341" s="200">
        <f>+'MC Canais'!J398</f>
        <v>47904</v>
      </c>
      <c r="H341" s="200">
        <f>VLOOKUP($D341,'Preços Unitários'!$B:$G,6,FALSE)</f>
        <v>9.984019</v>
      </c>
      <c r="I341" s="201">
        <f t="shared" si="47"/>
        <v>478274.446176</v>
      </c>
      <c r="J341" s="299"/>
    </row>
    <row r="342" spans="2:10" x14ac:dyDescent="0.3">
      <c r="B342" s="202" t="s">
        <v>13653</v>
      </c>
      <c r="C342" s="202" t="s">
        <v>13</v>
      </c>
      <c r="D342" s="203" t="s">
        <v>13</v>
      </c>
      <c r="E342" s="204" t="s">
        <v>13222</v>
      </c>
      <c r="F342" s="202"/>
      <c r="G342" s="200">
        <f>+'MC Canais'!J399</f>
        <v>0</v>
      </c>
      <c r="H342" s="205"/>
      <c r="I342" s="205"/>
      <c r="J342" s="299"/>
    </row>
    <row r="343" spans="2:10" x14ac:dyDescent="0.3">
      <c r="B343" s="197" t="s">
        <v>13654</v>
      </c>
      <c r="C343" s="197" t="s">
        <v>13039</v>
      </c>
      <c r="D343" s="198" t="s">
        <v>9806</v>
      </c>
      <c r="E343" s="199" t="str">
        <f>VLOOKUP($D343,'Preços Unitários'!$B:$G,2,FALSE)</f>
        <v>Escavação mecânica de vala em material de 1ª categoria</v>
      </c>
      <c r="F343" s="197" t="str">
        <f>VLOOKUP($D343,'Preços Unitários'!$B:$G,3,FALSE)</f>
        <v>m³</v>
      </c>
      <c r="G343" s="200">
        <f>+'MC Canais'!J400</f>
        <v>3353.2799999999997</v>
      </c>
      <c r="H343" s="200">
        <f>VLOOKUP($D343,'Preços Unitários'!$B:$G,6,FALSE)</f>
        <v>8.7313189999999992</v>
      </c>
      <c r="I343" s="201">
        <f t="shared" ref="I343:I349" si="48">+G343*H343</f>
        <v>29278.557376319994</v>
      </c>
      <c r="J343" s="299"/>
    </row>
    <row r="344" spans="2:10" x14ac:dyDescent="0.3">
      <c r="B344" s="197" t="s">
        <v>13655</v>
      </c>
      <c r="C344" s="197" t="s">
        <v>13039</v>
      </c>
      <c r="D344" s="198" t="s">
        <v>9830</v>
      </c>
      <c r="E344" s="199" t="str">
        <f>VLOOKUP($D344,'Preços Unitários'!$B:$G,2,FALSE)</f>
        <v>Reaterro e compactação com soquete vibratório</v>
      </c>
      <c r="F344" s="197" t="str">
        <f>VLOOKUP($D344,'Preços Unitários'!$B:$G,3,FALSE)</f>
        <v>m³</v>
      </c>
      <c r="G344" s="200">
        <f>+'MC Canais'!J401</f>
        <v>1916.1599999999999</v>
      </c>
      <c r="H344" s="200">
        <f>VLOOKUP($D344,'Preços Unitários'!$B:$G,6,FALSE)</f>
        <v>22.611235000000001</v>
      </c>
      <c r="I344" s="201">
        <f t="shared" si="48"/>
        <v>43326.744057600001</v>
      </c>
      <c r="J344" s="299"/>
    </row>
    <row r="345" spans="2:10" ht="28.8" x14ac:dyDescent="0.3">
      <c r="B345" s="197" t="s">
        <v>13656</v>
      </c>
      <c r="C345" s="197" t="s">
        <v>13039</v>
      </c>
      <c r="D345" s="198" t="s">
        <v>11947</v>
      </c>
      <c r="E345" s="199" t="str">
        <f>VLOOKUP($D345,'Preços Unitários'!$B:$G,2,FALSE)</f>
        <v>Transporte com caminhão basculante de 14 m³ - rodovia em leito natural</v>
      </c>
      <c r="F345" s="197" t="str">
        <f>VLOOKUP($D345,'Preços Unitários'!$B:$G,3,FALSE)</f>
        <v>tkm</v>
      </c>
      <c r="G345" s="200">
        <f>+'MC Canais'!J402</f>
        <v>10059.839999999998</v>
      </c>
      <c r="H345" s="200">
        <f>VLOOKUP($D345,'Preços Unitários'!$B:$G,6,FALSE)</f>
        <v>1.165011</v>
      </c>
      <c r="I345" s="201">
        <f t="shared" si="48"/>
        <v>11719.824258239998</v>
      </c>
      <c r="J345" s="299"/>
    </row>
    <row r="346" spans="2:10" ht="28.8" x14ac:dyDescent="0.3">
      <c r="B346" s="197" t="s">
        <v>13657</v>
      </c>
      <c r="C346" s="197" t="s">
        <v>12</v>
      </c>
      <c r="D346" s="198" t="s">
        <v>13224</v>
      </c>
      <c r="E346" s="199" t="s">
        <v>13223</v>
      </c>
      <c r="F346" s="197" t="s">
        <v>2904</v>
      </c>
      <c r="G346" s="200">
        <f>+'MC Canais'!J403</f>
        <v>9580.7999999999993</v>
      </c>
      <c r="H346" s="200">
        <f>+'Composições de Preços'!$F$173</f>
        <v>26.052132569499999</v>
      </c>
      <c r="I346" s="201">
        <f t="shared" si="48"/>
        <v>249600.27172186557</v>
      </c>
      <c r="J346" s="297"/>
    </row>
    <row r="347" spans="2:10" ht="28.8" x14ac:dyDescent="0.3">
      <c r="B347" s="197" t="s">
        <v>13658</v>
      </c>
      <c r="C347" s="197" t="s">
        <v>13039</v>
      </c>
      <c r="D347" s="198" t="s">
        <v>6908</v>
      </c>
      <c r="E347" s="199" t="str">
        <f>VLOOKUP($D347,'Preços Unitários'!$B:$G,2,FALSE)</f>
        <v>Tubo de concreto perfurado produzido na obra para drenagem - D = 0,40 m - fornecimento e instalação</v>
      </c>
      <c r="F347" s="197" t="str">
        <f>VLOOKUP($D347,'Preços Unitários'!$B:$G,3,FALSE)</f>
        <v>m</v>
      </c>
      <c r="G347" s="200">
        <f>+'MC Canais'!J404</f>
        <v>3992</v>
      </c>
      <c r="H347" s="200">
        <f>VLOOKUP($D347,'Preços Unitários'!$B:$G,6,FALSE)</f>
        <v>116.764167</v>
      </c>
      <c r="I347" s="201">
        <f t="shared" si="48"/>
        <v>466122.554664</v>
      </c>
      <c r="J347" s="299"/>
    </row>
    <row r="348" spans="2:10" ht="28.8" x14ac:dyDescent="0.3">
      <c r="B348" s="197" t="s">
        <v>13659</v>
      </c>
      <c r="C348" s="197" t="s">
        <v>13039</v>
      </c>
      <c r="D348" s="198" t="s">
        <v>6438</v>
      </c>
      <c r="E348" s="199" t="str">
        <f>VLOOKUP($D348,'Preços Unitários'!$B:$G,2,FALSE)</f>
        <v>Lastro de brita comercial compactado com soquete vibratório - espalhamento manual</v>
      </c>
      <c r="F348" s="197" t="str">
        <f>VLOOKUP($D348,'Preços Unitários'!$B:$G,3,FALSE)</f>
        <v>m³</v>
      </c>
      <c r="G348" s="200">
        <f>+'MC Canais'!J405</f>
        <v>935.72479999999973</v>
      </c>
      <c r="H348" s="200">
        <f>VLOOKUP($D348,'Preços Unitários'!$B:$G,6,FALSE)</f>
        <v>239.34086200000002</v>
      </c>
      <c r="I348" s="201">
        <f t="shared" si="48"/>
        <v>223957.18022677756</v>
      </c>
      <c r="J348" s="299"/>
    </row>
    <row r="349" spans="2:10" x14ac:dyDescent="0.3">
      <c r="B349" s="197" t="s">
        <v>13660</v>
      </c>
      <c r="C349" s="197" t="s">
        <v>13039</v>
      </c>
      <c r="D349" s="206" t="s">
        <v>6430</v>
      </c>
      <c r="E349" s="199" t="str">
        <f>VLOOKUP($D349,'Preços Unitários'!$B:$G,2,FALSE)</f>
        <v>Lastro de areia comercial - espalhamento manual</v>
      </c>
      <c r="F349" s="197" t="str">
        <f>VLOOKUP($D349,'Preços Unitários'!$B:$G,3,FALSE)</f>
        <v>m³</v>
      </c>
      <c r="G349" s="200">
        <f>+'MC Canais'!J406</f>
        <v>479.03999999999996</v>
      </c>
      <c r="H349" s="200">
        <f>VLOOKUP($D349,'Preços Unitários'!$B:$G,6,FALSE)</f>
        <v>198.06439700000001</v>
      </c>
      <c r="I349" s="201">
        <f t="shared" si="48"/>
        <v>94880.768738879997</v>
      </c>
      <c r="J349" s="299"/>
    </row>
    <row r="350" spans="2:10" s="243" customFormat="1" ht="28.8" x14ac:dyDescent="0.3">
      <c r="B350" s="197" t="s">
        <v>13661</v>
      </c>
      <c r="C350" s="197" t="s">
        <v>13</v>
      </c>
      <c r="D350" s="198" t="s">
        <v>13</v>
      </c>
      <c r="E350" s="207" t="s">
        <v>13228</v>
      </c>
      <c r="F350" s="197"/>
      <c r="G350" s="200">
        <f>+'MC Canais'!J407</f>
        <v>0</v>
      </c>
      <c r="H350" s="201"/>
      <c r="I350" s="201"/>
      <c r="J350" s="299"/>
    </row>
    <row r="351" spans="2:10" ht="28.8" x14ac:dyDescent="0.3">
      <c r="B351" s="197" t="s">
        <v>13662</v>
      </c>
      <c r="C351" s="197" t="s">
        <v>13039</v>
      </c>
      <c r="D351" s="198" t="s">
        <v>6964</v>
      </c>
      <c r="E351" s="199" t="str">
        <f>VLOOKUP($D351,'Preços Unitários'!$B:$G,2,FALSE)</f>
        <v>Valeta de proteção de cortes com revestimento vegetal - VPCG 120-30 - escavação mecânica</v>
      </c>
      <c r="F351" s="197" t="str">
        <f>VLOOKUP($D351,'Preços Unitários'!$B:$G,3,FALSE)</f>
        <v>m</v>
      </c>
      <c r="G351" s="200">
        <f>+'MC Canais'!J408</f>
        <v>7984</v>
      </c>
      <c r="H351" s="200">
        <f>VLOOKUP($D351,'Preços Unitários'!$B:$G,6,FALSE)</f>
        <v>51.961995999999999</v>
      </c>
      <c r="I351" s="201">
        <f t="shared" ref="I351:I354" si="49">+G351*H351</f>
        <v>414864.57606400002</v>
      </c>
      <c r="J351" s="299"/>
    </row>
    <row r="352" spans="2:10" ht="28.8" x14ac:dyDescent="0.3">
      <c r="B352" s="197" t="s">
        <v>13663</v>
      </c>
      <c r="C352" s="197" t="s">
        <v>13039</v>
      </c>
      <c r="D352" s="198" t="s">
        <v>6744</v>
      </c>
      <c r="E352" s="199" t="str">
        <f>VLOOKUP($D352,'Preços Unitários'!$B:$G,2,FALSE)</f>
        <v>Sarjeta triangular de grama - STG 125-25 - escavação mecânica</v>
      </c>
      <c r="F352" s="197" t="str">
        <f>VLOOKUP($D352,'Preços Unitários'!$B:$G,3,FALSE)</f>
        <v>m</v>
      </c>
      <c r="G352" s="200">
        <f>+'MC Canais'!J409</f>
        <v>7984</v>
      </c>
      <c r="H352" s="200">
        <f>VLOOKUP($D352,'Preços Unitários'!$B:$G,6,FALSE)</f>
        <v>29.776679000000001</v>
      </c>
      <c r="I352" s="201">
        <f t="shared" si="49"/>
        <v>237737.00513600002</v>
      </c>
      <c r="J352" s="299"/>
    </row>
    <row r="353" spans="1:10" ht="28.8" x14ac:dyDescent="0.3">
      <c r="B353" s="197" t="s">
        <v>13664</v>
      </c>
      <c r="C353" s="197" t="s">
        <v>13039</v>
      </c>
      <c r="D353" s="198" t="s">
        <v>2740</v>
      </c>
      <c r="E353" s="199" t="str">
        <f>VLOOKUP($D353,'Preços Unitários'!$B:$G,2,FALSE)</f>
        <v>Corpo de BSTC D = 0,80 m PA1 - areia, brita e pedra de mão comerciais</v>
      </c>
      <c r="F353" s="197" t="str">
        <f>VLOOKUP($D353,'Preços Unitários'!$B:$G,3,FALSE)</f>
        <v>m</v>
      </c>
      <c r="G353" s="200">
        <f>+'MC Canais'!J410</f>
        <v>98.5</v>
      </c>
      <c r="H353" s="200">
        <f>VLOOKUP($D353,'Preços Unitários'!$B:$G,6,FALSE)</f>
        <v>799.67357200000004</v>
      </c>
      <c r="I353" s="201">
        <f t="shared" si="49"/>
        <v>78767.846841999999</v>
      </c>
      <c r="J353" s="299"/>
    </row>
    <row r="354" spans="1:10" ht="28.8" x14ac:dyDescent="0.3">
      <c r="B354" s="197" t="s">
        <v>13665</v>
      </c>
      <c r="C354" s="197" t="s">
        <v>13039</v>
      </c>
      <c r="D354" s="208" t="s">
        <v>2172</v>
      </c>
      <c r="E354" s="199" t="str">
        <f>VLOOKUP($D354,'Preços Unitários'!$B:$G,2,FALSE)</f>
        <v>Boca de BSTC D = 0,80 m - esconsidade 0° - areia e brita comerciais - alas retas</v>
      </c>
      <c r="F354" s="197" t="str">
        <f>VLOOKUP($D354,'Preços Unitários'!$B:$G,3,FALSE)</f>
        <v>un</v>
      </c>
      <c r="G354" s="200">
        <f>+'MC Canais'!J411</f>
        <v>6</v>
      </c>
      <c r="H354" s="200">
        <f>VLOOKUP($D354,'Preços Unitários'!$B:$G,6,FALSE)</f>
        <v>1606.687966</v>
      </c>
      <c r="I354" s="201">
        <f t="shared" si="49"/>
        <v>9640.1277960000007</v>
      </c>
      <c r="J354" s="299"/>
    </row>
    <row r="355" spans="1:10" s="243" customFormat="1" x14ac:dyDescent="0.3">
      <c r="B355" s="197" t="s">
        <v>13666</v>
      </c>
      <c r="C355" s="197" t="s">
        <v>13</v>
      </c>
      <c r="D355" s="198" t="s">
        <v>13</v>
      </c>
      <c r="E355" s="207" t="s">
        <v>13230</v>
      </c>
      <c r="F355" s="197"/>
      <c r="G355" s="200">
        <f>+'MC Canais'!J412</f>
        <v>0</v>
      </c>
      <c r="H355" s="201"/>
      <c r="I355" s="201"/>
      <c r="J355" s="299"/>
    </row>
    <row r="356" spans="1:10" ht="28.8" x14ac:dyDescent="0.3">
      <c r="B356" s="197" t="s">
        <v>13667</v>
      </c>
      <c r="C356" s="197" t="s">
        <v>13039</v>
      </c>
      <c r="D356" s="198" t="s">
        <v>11088</v>
      </c>
      <c r="E356" s="199" t="str">
        <f>VLOOKUP($D356,'Preços Unitários'!$B:$G,2,FALSE)</f>
        <v>Escavação mecânica com retroescavadeira em material de 1ª categoria</v>
      </c>
      <c r="F356" s="197" t="str">
        <f>VLOOKUP($D356,'Preços Unitários'!$B:$G,3,FALSE)</f>
        <v>m³</v>
      </c>
      <c r="G356" s="200">
        <f>+'MC Canais'!J413</f>
        <v>4191.5999999999995</v>
      </c>
      <c r="H356" s="200">
        <f>VLOOKUP($D356,'Preços Unitários'!$B:$G,6,FALSE)</f>
        <v>8.7313189999999992</v>
      </c>
      <c r="I356" s="201">
        <f t="shared" ref="I356:I360" si="50">+G356*H356</f>
        <v>36598.196720399988</v>
      </c>
      <c r="J356" s="299"/>
    </row>
    <row r="357" spans="1:10" x14ac:dyDescent="0.3">
      <c r="B357" s="197" t="s">
        <v>13668</v>
      </c>
      <c r="C357" s="197" t="s">
        <v>13039</v>
      </c>
      <c r="D357" s="198" t="s">
        <v>11046</v>
      </c>
      <c r="E357" s="199" t="str">
        <f>VLOOKUP($D357,'Preços Unitários'!$B:$G,2,FALSE)</f>
        <v>Compactação de aterros a 100% do Proctor normal</v>
      </c>
      <c r="F357" s="197" t="str">
        <f>VLOOKUP($D357,'Preços Unitários'!$B:$G,3,FALSE)</f>
        <v>m³</v>
      </c>
      <c r="G357" s="200">
        <f>+'MC Canais'!J414</f>
        <v>2794.4</v>
      </c>
      <c r="H357" s="200">
        <f>VLOOKUP($D357,'Preços Unitários'!$B:$G,6,FALSE)</f>
        <v>7.1028090000000006</v>
      </c>
      <c r="I357" s="201">
        <f t="shared" si="50"/>
        <v>19848.089469600003</v>
      </c>
      <c r="J357" s="299"/>
    </row>
    <row r="358" spans="1:10" ht="28.8" x14ac:dyDescent="0.3">
      <c r="B358" s="197" t="s">
        <v>13669</v>
      </c>
      <c r="C358" s="197" t="s">
        <v>13039</v>
      </c>
      <c r="D358" s="198" t="s">
        <v>11947</v>
      </c>
      <c r="E358" s="199" t="str">
        <f>VLOOKUP($D358,'Preços Unitários'!$B:$G,2,FALSE)</f>
        <v>Transporte com caminhão basculante de 14 m³ - rodovia em leito natural</v>
      </c>
      <c r="F358" s="197" t="str">
        <f>VLOOKUP($D358,'Preços Unitários'!$B:$G,3,FALSE)</f>
        <v>tkm</v>
      </c>
      <c r="G358" s="200">
        <f>+'MC Canais'!J415</f>
        <v>1397.1999999999994</v>
      </c>
      <c r="H358" s="200">
        <f>VLOOKUP($D358,'Preços Unitários'!$B:$G,6,FALSE)</f>
        <v>1.165011</v>
      </c>
      <c r="I358" s="201">
        <f t="shared" si="50"/>
        <v>1627.7533691999993</v>
      </c>
      <c r="J358" s="299"/>
    </row>
    <row r="359" spans="1:10" x14ac:dyDescent="0.3">
      <c r="B359" s="197" t="s">
        <v>13670</v>
      </c>
      <c r="C359" s="197" t="s">
        <v>13039</v>
      </c>
      <c r="D359" s="198" t="s">
        <v>9440</v>
      </c>
      <c r="E359" s="199" t="str">
        <f>VLOOKUP($D359,'Preços Unitários'!$B:$G,2,FALSE)</f>
        <v>Regularização de superfície com motoniveladora</v>
      </c>
      <c r="F359" s="197" t="str">
        <f>VLOOKUP($D359,'Preços Unitários'!$B:$G,3,FALSE)</f>
        <v>m²</v>
      </c>
      <c r="G359" s="200">
        <f>+'MC Canais'!J416</f>
        <v>27944</v>
      </c>
      <c r="H359" s="200">
        <f>VLOOKUP($D359,'Preços Unitários'!$B:$G,6,FALSE)</f>
        <v>0.100216</v>
      </c>
      <c r="I359" s="201">
        <f t="shared" si="50"/>
        <v>2800.4359039999999</v>
      </c>
      <c r="J359" s="299"/>
    </row>
    <row r="360" spans="1:10" x14ac:dyDescent="0.3">
      <c r="B360" s="197" t="s">
        <v>13671</v>
      </c>
      <c r="C360" s="197" t="s">
        <v>12</v>
      </c>
      <c r="D360" s="198" t="s">
        <v>13232</v>
      </c>
      <c r="E360" s="199" t="s">
        <v>13231</v>
      </c>
      <c r="F360" s="197" t="s">
        <v>427</v>
      </c>
      <c r="G360" s="200">
        <f>+'MC Canais'!J417</f>
        <v>2095.7999999999997</v>
      </c>
      <c r="H360" s="200">
        <f>+'Composições de Preços'!$F$216</f>
        <v>214.40019935426301</v>
      </c>
      <c r="I360" s="201">
        <f t="shared" si="50"/>
        <v>449339.93780666438</v>
      </c>
      <c r="J360" s="299"/>
    </row>
    <row r="361" spans="1:10" s="243" customFormat="1" x14ac:dyDescent="0.3">
      <c r="B361" s="197" t="s">
        <v>13672</v>
      </c>
      <c r="C361" s="197" t="s">
        <v>13</v>
      </c>
      <c r="D361" s="198" t="s">
        <v>13</v>
      </c>
      <c r="E361" s="207" t="s">
        <v>13386</v>
      </c>
      <c r="F361" s="197"/>
      <c r="G361" s="200">
        <f>+'MC Canais'!J418</f>
        <v>0</v>
      </c>
      <c r="H361" s="201"/>
      <c r="I361" s="201"/>
      <c r="J361" s="299"/>
    </row>
    <row r="362" spans="1:10" ht="28.8" x14ac:dyDescent="0.3">
      <c r="B362" s="197" t="s">
        <v>13673</v>
      </c>
      <c r="C362" s="197" t="s">
        <v>13039</v>
      </c>
      <c r="D362" s="198" t="s">
        <v>8625</v>
      </c>
      <c r="E362" s="199" t="str">
        <f>VLOOKUP($D362,'Preços Unitários'!$B:$G,2,FALSE)</f>
        <v>Cerca com 4 fios de arame liso galvanizado e mourão de madeira a cada 2,5 m e esticador a cada 50 m</v>
      </c>
      <c r="F362" s="197" t="str">
        <f>VLOOKUP($D362,'Preços Unitários'!$B:$G,3,FALSE)</f>
        <v>m</v>
      </c>
      <c r="G362" s="200">
        <f>+'MC Canais'!J419</f>
        <v>7984</v>
      </c>
      <c r="H362" s="200">
        <f>VLOOKUP($D362,'Preços Unitários'!$B:$G,6,FALSE)</f>
        <v>27.146009000000003</v>
      </c>
      <c r="I362" s="201">
        <f t="shared" ref="I362" si="51">+G362*H362</f>
        <v>216733.73585600001</v>
      </c>
      <c r="J362" s="299"/>
    </row>
    <row r="363" spans="1:10" x14ac:dyDescent="0.3">
      <c r="A363" s="42" t="s">
        <v>14477</v>
      </c>
      <c r="B363" s="209" t="s">
        <v>13061</v>
      </c>
      <c r="C363" s="209" t="s">
        <v>13</v>
      </c>
      <c r="D363" s="210" t="s">
        <v>13</v>
      </c>
      <c r="E363" s="211" t="s">
        <v>13075</v>
      </c>
      <c r="F363" s="209" t="s">
        <v>13</v>
      </c>
      <c r="G363" s="212">
        <v>0</v>
      </c>
      <c r="H363" s="212">
        <v>0</v>
      </c>
      <c r="I363" s="212">
        <f>SUM(I364:I399)</f>
        <v>9927442.2731696647</v>
      </c>
      <c r="J363" s="284" t="s">
        <v>14478</v>
      </c>
    </row>
    <row r="364" spans="1:10" x14ac:dyDescent="0.3">
      <c r="B364" s="202" t="s">
        <v>13674</v>
      </c>
      <c r="C364" s="202" t="s">
        <v>13</v>
      </c>
      <c r="D364" s="203" t="s">
        <v>13</v>
      </c>
      <c r="E364" s="204" t="s">
        <v>13203</v>
      </c>
      <c r="F364" s="202"/>
      <c r="G364" s="205"/>
      <c r="H364" s="205"/>
      <c r="I364" s="205"/>
      <c r="J364" s="299"/>
    </row>
    <row r="365" spans="1:10" ht="28.8" x14ac:dyDescent="0.3">
      <c r="B365" s="197" t="s">
        <v>13675</v>
      </c>
      <c r="C365" s="197" t="s">
        <v>13039</v>
      </c>
      <c r="D365" s="198" t="s">
        <v>11052</v>
      </c>
      <c r="E365" s="199" t="str">
        <f>VLOOKUP($D365,'Preços Unitários'!$B:$G,2,FALSE)</f>
        <v>Desmatamento, destocamento e limpeza de área com árvores de diâmetro até 0,15 m</v>
      </c>
      <c r="F365" s="197" t="str">
        <f>VLOOKUP($D365,'Preços Unitários'!$B:$G,3,FALSE)</f>
        <v>m²</v>
      </c>
      <c r="G365" s="200">
        <f>+'MC Canais'!J423</f>
        <v>131680</v>
      </c>
      <c r="H365" s="200">
        <f>VLOOKUP($D365,'Preços Unitários'!$B:$G,6,FALSE)</f>
        <v>0.87688999999999995</v>
      </c>
      <c r="I365" s="201">
        <f>+G365*H365</f>
        <v>115468.87519999999</v>
      </c>
      <c r="J365" s="299"/>
    </row>
    <row r="366" spans="1:10" ht="43.2" x14ac:dyDescent="0.3">
      <c r="B366" s="197" t="s">
        <v>13676</v>
      </c>
      <c r="C366" s="197" t="s">
        <v>13039</v>
      </c>
      <c r="D366" s="198" t="s">
        <v>11092</v>
      </c>
      <c r="E366" s="199" t="str">
        <f>VLOOKUP($D366,'Preços Unitários'!$B:$G,2,FALSE)</f>
        <v>Escavação, carga e transporte de material de 1ª categoria - DMT de 1.000 a 1.200 m - caminho de serviço em leito natural - com escavadeira e caminhão basculante de 14 m³</v>
      </c>
      <c r="F366" s="197" t="str">
        <f>VLOOKUP($D366,'Preços Unitários'!$B:$G,3,FALSE)</f>
        <v>m³</v>
      </c>
      <c r="G366" s="200">
        <f>+'MC Canais'!J424</f>
        <v>12014.31</v>
      </c>
      <c r="H366" s="200">
        <f>VLOOKUP($D366,'Preços Unitários'!$B:$G,6,FALSE)</f>
        <v>10.673003999999999</v>
      </c>
      <c r="I366" s="201">
        <f t="shared" ref="I366:I378" si="52">+G366*H366</f>
        <v>128228.77868723997</v>
      </c>
      <c r="J366" s="299"/>
    </row>
    <row r="367" spans="1:10" x14ac:dyDescent="0.3">
      <c r="B367" s="197" t="s">
        <v>13677</v>
      </c>
      <c r="C367" s="197" t="s">
        <v>13039</v>
      </c>
      <c r="D367" s="198" t="s">
        <v>11046</v>
      </c>
      <c r="E367" s="213" t="str">
        <f>VLOOKUP($D367,'Preços Unitários'!$B:$G,2,FALSE)</f>
        <v>Compactação de aterros a 100% do Proctor normal</v>
      </c>
      <c r="F367" s="197" t="str">
        <f>VLOOKUP($D367,'Preços Unitários'!$B:$G,3,FALSE)</f>
        <v>m³</v>
      </c>
      <c r="G367" s="200">
        <f>+'MC Canais'!J425</f>
        <v>151425.70000000001</v>
      </c>
      <c r="H367" s="200">
        <f>VLOOKUP($D367,'Preços Unitários'!$B:$G,6,FALSE)</f>
        <v>7.1028090000000006</v>
      </c>
      <c r="I367" s="201">
        <f t="shared" si="52"/>
        <v>1075547.8247913001</v>
      </c>
      <c r="J367" s="291"/>
    </row>
    <row r="368" spans="1:10" ht="28.8" x14ac:dyDescent="0.3">
      <c r="B368" s="197" t="s">
        <v>13678</v>
      </c>
      <c r="C368" s="197" t="s">
        <v>13039</v>
      </c>
      <c r="D368" s="198" t="s">
        <v>11947</v>
      </c>
      <c r="E368" s="199" t="str">
        <f>VLOOKUP($D368,'Preços Unitários'!$B:$G,2,FALSE)</f>
        <v>Transporte com caminhão basculante de 14 m³ - rodovia em leito natural</v>
      </c>
      <c r="F368" s="197" t="str">
        <f>VLOOKUP($D368,'Preços Unitários'!$B:$G,3,FALSE)</f>
        <v>tkm</v>
      </c>
      <c r="G368" s="200">
        <f>+'MC Canais'!J426</f>
        <v>975879.73</v>
      </c>
      <c r="H368" s="200">
        <f>VLOOKUP($D368,'Preços Unitários'!$B:$G,6,FALSE)</f>
        <v>1.165011</v>
      </c>
      <c r="I368" s="201">
        <f t="shared" si="52"/>
        <v>1136910.6201270299</v>
      </c>
      <c r="J368" s="297"/>
    </row>
    <row r="369" spans="2:10" x14ac:dyDescent="0.3">
      <c r="B369" s="197" t="s">
        <v>13679</v>
      </c>
      <c r="C369" s="197" t="s">
        <v>13039</v>
      </c>
      <c r="D369" s="198" t="s">
        <v>9440</v>
      </c>
      <c r="E369" s="199" t="str">
        <f>VLOOKUP($D369,'Preços Unitários'!$B:$G,2,FALSE)</f>
        <v>Regularização de superfície com motoniveladora</v>
      </c>
      <c r="F369" s="197" t="str">
        <f>VLOOKUP($D369,'Preços Unitários'!$B:$G,3,FALSE)</f>
        <v>m²</v>
      </c>
      <c r="G369" s="200">
        <f>+'MC Canais'!J427</f>
        <v>3950.3999999999996</v>
      </c>
      <c r="H369" s="200">
        <f>VLOOKUP($D369,'Preços Unitários'!$B:$G,6,FALSE)</f>
        <v>0.100216</v>
      </c>
      <c r="I369" s="201">
        <f>+G369*H369</f>
        <v>395.89328639999997</v>
      </c>
      <c r="J369" s="299"/>
    </row>
    <row r="370" spans="2:10" ht="28.8" x14ac:dyDescent="0.3">
      <c r="B370" s="197" t="s">
        <v>13680</v>
      </c>
      <c r="C370" s="197" t="s">
        <v>12</v>
      </c>
      <c r="D370" s="198" t="s">
        <v>13205</v>
      </c>
      <c r="E370" s="199" t="s">
        <v>13204</v>
      </c>
      <c r="F370" s="197" t="s">
        <v>2904</v>
      </c>
      <c r="G370" s="200">
        <f>+'MC Canais'!J428</f>
        <v>5687</v>
      </c>
      <c r="H370" s="200">
        <f>+'Composições de Preços'!$F$87</f>
        <v>59.387948601153852</v>
      </c>
      <c r="I370" s="201">
        <f t="shared" si="52"/>
        <v>337739.26369476196</v>
      </c>
      <c r="J370" s="299"/>
    </row>
    <row r="371" spans="2:10" ht="28.8" x14ac:dyDescent="0.3">
      <c r="B371" s="197" t="s">
        <v>13681</v>
      </c>
      <c r="C371" s="197" t="s">
        <v>12</v>
      </c>
      <c r="D371" s="198" t="s">
        <v>14504</v>
      </c>
      <c r="E371" s="199" t="s">
        <v>14497</v>
      </c>
      <c r="F371" s="197" t="s">
        <v>427</v>
      </c>
      <c r="G371" s="200">
        <f>+'MC Canais'!J429</f>
        <v>4549.4000000000005</v>
      </c>
      <c r="H371" s="200">
        <f>+'Composições de Preços'!$F$446</f>
        <v>99.894988108799993</v>
      </c>
      <c r="I371" s="201">
        <f t="shared" si="52"/>
        <v>454462.25890217477</v>
      </c>
      <c r="J371" s="299"/>
    </row>
    <row r="372" spans="2:10" ht="28.8" x14ac:dyDescent="0.3">
      <c r="B372" s="197" t="s">
        <v>13682</v>
      </c>
      <c r="C372" s="197" t="s">
        <v>12</v>
      </c>
      <c r="D372" s="198" t="s">
        <v>13192</v>
      </c>
      <c r="E372" s="199" t="s">
        <v>13191</v>
      </c>
      <c r="F372" s="197" t="s">
        <v>2904</v>
      </c>
      <c r="G372" s="200">
        <f>+'MC Canais'!J430</f>
        <v>22747</v>
      </c>
      <c r="H372" s="200">
        <f>+'Composições de Preços'!$F$44</f>
        <v>73.117919302000004</v>
      </c>
      <c r="I372" s="201">
        <f t="shared" si="52"/>
        <v>1663213.3103625942</v>
      </c>
      <c r="J372" s="299"/>
    </row>
    <row r="373" spans="2:10" ht="28.8" x14ac:dyDescent="0.3">
      <c r="B373" s="197" t="s">
        <v>13683</v>
      </c>
      <c r="C373" s="197" t="s">
        <v>12</v>
      </c>
      <c r="D373" s="198" t="s">
        <v>14506</v>
      </c>
      <c r="E373" s="199" t="s">
        <v>14505</v>
      </c>
      <c r="F373" s="197" t="s">
        <v>427</v>
      </c>
      <c r="G373" s="200">
        <f>+'MC Canais'!J431</f>
        <v>6584</v>
      </c>
      <c r="H373" s="200">
        <f>+'Composições de Preços'!$F$492</f>
        <v>107.93859485200001</v>
      </c>
      <c r="I373" s="201">
        <f t="shared" si="52"/>
        <v>710667.70850556809</v>
      </c>
      <c r="J373" s="299"/>
    </row>
    <row r="374" spans="2:10" ht="28.8" x14ac:dyDescent="0.3">
      <c r="B374" s="197" t="s">
        <v>13684</v>
      </c>
      <c r="C374" s="197" t="s">
        <v>13039</v>
      </c>
      <c r="D374" s="198" t="s">
        <v>3149</v>
      </c>
      <c r="E374" s="199" t="str">
        <f>VLOOKUP($D374,'Preços Unitários'!$B:$G,2,FALSE)</f>
        <v>Concreto para bombeamento fck = 30 MPa - confecção em central dosadora de 30 m³/h - areia e brita comerciais</v>
      </c>
      <c r="F374" s="197" t="str">
        <f>VLOOKUP($D374,'Preços Unitários'!$B:$G,3,FALSE)</f>
        <v>m³</v>
      </c>
      <c r="G374" s="200">
        <f>+'MC Canais'!J432</f>
        <v>1592.2900000000002</v>
      </c>
      <c r="H374" s="200">
        <f>VLOOKUP($D374,'Preços Unitários'!$B:$G,6,FALSE)</f>
        <v>575.92882499999996</v>
      </c>
      <c r="I374" s="201">
        <f t="shared" si="52"/>
        <v>917045.70875925</v>
      </c>
      <c r="J374" s="299"/>
    </row>
    <row r="375" spans="2:10" ht="43.2" x14ac:dyDescent="0.3">
      <c r="B375" s="197" t="s">
        <v>13685</v>
      </c>
      <c r="C375" s="197" t="s">
        <v>13039</v>
      </c>
      <c r="D375" s="198" t="s">
        <v>3201</v>
      </c>
      <c r="E375" s="199" t="str">
        <f>VLOOKUP($D375,'Preços Unitários'!$B:$G,2,FALSE)</f>
        <v>Lançamento mecânico de concreto com bomba rebocável com capacidade de 30 m³/h - confecção em central dosadora de 30 m³/h</v>
      </c>
      <c r="F375" s="197" t="str">
        <f>VLOOKUP($D375,'Preços Unitários'!$B:$G,3,FALSE)</f>
        <v>m³</v>
      </c>
      <c r="G375" s="200">
        <f>+'MC Canais'!J433</f>
        <v>1592.2900000000002</v>
      </c>
      <c r="H375" s="200">
        <f>VLOOKUP($D375,'Preços Unitários'!$B:$G,6,FALSE)</f>
        <v>86.285976000000005</v>
      </c>
      <c r="I375" s="201">
        <f t="shared" si="52"/>
        <v>137392.29672504001</v>
      </c>
      <c r="J375" s="299"/>
    </row>
    <row r="376" spans="2:10" ht="28.8" x14ac:dyDescent="0.3">
      <c r="B376" s="197" t="s">
        <v>14527</v>
      </c>
      <c r="C376" s="197" t="s">
        <v>13039</v>
      </c>
      <c r="D376" s="198" t="s">
        <v>206</v>
      </c>
      <c r="E376" s="199" t="str">
        <f>VLOOKUP($D376,'Preços Unitários'!$B:$G,2,FALSE)</f>
        <v>Lábios poliméricos em junta de pavimento de concreto - L = 20 mm e H = 30 mm - confecção e assentamento</v>
      </c>
      <c r="F376" s="197" t="str">
        <f>VLOOKUP($D376,'Preços Unitários'!$B:$G,3,FALSE)</f>
        <v>m</v>
      </c>
      <c r="G376" s="200">
        <f>+'MC Canais'!J434</f>
        <v>13306.263999999999</v>
      </c>
      <c r="H376" s="200">
        <f>VLOOKUP($D376,'Preços Unitários'!$B:$G,6,FALSE)</f>
        <v>39.635428000000005</v>
      </c>
      <c r="I376" s="201">
        <f t="shared" si="52"/>
        <v>527399.46872099198</v>
      </c>
      <c r="J376" s="299"/>
    </row>
    <row r="377" spans="2:10" x14ac:dyDescent="0.3">
      <c r="B377" s="197" t="s">
        <v>14528</v>
      </c>
      <c r="C377" s="197" t="s">
        <v>12</v>
      </c>
      <c r="D377" s="198" t="s">
        <v>13209</v>
      </c>
      <c r="E377" s="199" t="s">
        <v>13208</v>
      </c>
      <c r="F377" s="197" t="s">
        <v>195</v>
      </c>
      <c r="G377" s="200">
        <f>+'MC Canais'!J435</f>
        <v>6584</v>
      </c>
      <c r="H377" s="200">
        <f>+'Composições de Preços'!$F$130</f>
        <v>37.70076957596789</v>
      </c>
      <c r="I377" s="201">
        <f t="shared" si="52"/>
        <v>248221.86688817258</v>
      </c>
      <c r="J377" s="299"/>
    </row>
    <row r="378" spans="2:10" ht="28.8" x14ac:dyDescent="0.3">
      <c r="B378" s="197" t="s">
        <v>14582</v>
      </c>
      <c r="C378" s="197" t="s">
        <v>13039</v>
      </c>
      <c r="D378" s="198" t="s">
        <v>9446</v>
      </c>
      <c r="E378" s="199" t="str">
        <f>VLOOKUP($D378,'Preços Unitários'!$B:$G,2,FALSE)</f>
        <v>Revestimento vegetal com grama em mudas em superfícies inclinadas</v>
      </c>
      <c r="F378" s="197" t="str">
        <f>VLOOKUP($D378,'Preços Unitários'!$B:$G,3,FALSE)</f>
        <v>m²</v>
      </c>
      <c r="G378" s="200">
        <f>+'MC Canais'!J436</f>
        <v>39504</v>
      </c>
      <c r="H378" s="200">
        <f>VLOOKUP($D378,'Preços Unitários'!$B:$G,6,FALSE)</f>
        <v>9.984019</v>
      </c>
      <c r="I378" s="201">
        <f t="shared" si="52"/>
        <v>394408.68657600001</v>
      </c>
      <c r="J378" s="299"/>
    </row>
    <row r="379" spans="2:10" x14ac:dyDescent="0.3">
      <c r="B379" s="202" t="s">
        <v>13686</v>
      </c>
      <c r="C379" s="202" t="s">
        <v>13</v>
      </c>
      <c r="D379" s="203" t="s">
        <v>13</v>
      </c>
      <c r="E379" s="204" t="s">
        <v>13222</v>
      </c>
      <c r="F379" s="202"/>
      <c r="G379" s="200">
        <f>+'MC Canais'!J437</f>
        <v>0</v>
      </c>
      <c r="H379" s="205"/>
      <c r="I379" s="205"/>
      <c r="J379" s="299"/>
    </row>
    <row r="380" spans="2:10" x14ac:dyDescent="0.3">
      <c r="B380" s="197" t="s">
        <v>13687</v>
      </c>
      <c r="C380" s="197" t="s">
        <v>13039</v>
      </c>
      <c r="D380" s="198" t="s">
        <v>9806</v>
      </c>
      <c r="E380" s="199" t="str">
        <f>VLOOKUP($D380,'Preços Unitários'!$B:$G,2,FALSE)</f>
        <v>Escavação mecânica de vala em material de 1ª categoria</v>
      </c>
      <c r="F380" s="197" t="str">
        <f>VLOOKUP($D380,'Preços Unitários'!$B:$G,3,FALSE)</f>
        <v>m³</v>
      </c>
      <c r="G380" s="200">
        <f>+'MC Canais'!J438</f>
        <v>2765.2799999999997</v>
      </c>
      <c r="H380" s="200">
        <f>VLOOKUP($D380,'Preços Unitários'!$B:$G,6,FALSE)</f>
        <v>8.7313189999999992</v>
      </c>
      <c r="I380" s="201">
        <f t="shared" ref="I380:I386" si="53">+G380*H380</f>
        <v>24144.541804319997</v>
      </c>
      <c r="J380" s="297"/>
    </row>
    <row r="381" spans="2:10" x14ac:dyDescent="0.3">
      <c r="B381" s="197" t="s">
        <v>13688</v>
      </c>
      <c r="C381" s="197" t="s">
        <v>13039</v>
      </c>
      <c r="D381" s="198" t="s">
        <v>9830</v>
      </c>
      <c r="E381" s="199" t="str">
        <f>VLOOKUP($D381,'Preços Unitários'!$B:$G,2,FALSE)</f>
        <v>Reaterro e compactação com soquete vibratório</v>
      </c>
      <c r="F381" s="197" t="str">
        <f>VLOOKUP($D381,'Preços Unitários'!$B:$G,3,FALSE)</f>
        <v>m³</v>
      </c>
      <c r="G381" s="200">
        <f>+'MC Canais'!J439</f>
        <v>1580.1599999999999</v>
      </c>
      <c r="H381" s="200">
        <f>VLOOKUP($D381,'Preços Unitários'!$B:$G,6,FALSE)</f>
        <v>22.611235000000001</v>
      </c>
      <c r="I381" s="201">
        <f t="shared" si="53"/>
        <v>35729.3690976</v>
      </c>
      <c r="J381" s="299"/>
    </row>
    <row r="382" spans="2:10" ht="28.8" x14ac:dyDescent="0.3">
      <c r="B382" s="197" t="s">
        <v>13689</v>
      </c>
      <c r="C382" s="197" t="s">
        <v>13039</v>
      </c>
      <c r="D382" s="198" t="s">
        <v>11947</v>
      </c>
      <c r="E382" s="199" t="str">
        <f>VLOOKUP($D382,'Preços Unitários'!$B:$G,2,FALSE)</f>
        <v>Transporte com caminhão basculante de 14 m³ - rodovia em leito natural</v>
      </c>
      <c r="F382" s="197" t="str">
        <f>VLOOKUP($D382,'Preços Unitários'!$B:$G,3,FALSE)</f>
        <v>tkm</v>
      </c>
      <c r="G382" s="200">
        <f>+'MC Canais'!J440</f>
        <v>8295.8399999999983</v>
      </c>
      <c r="H382" s="200">
        <f>VLOOKUP($D382,'Preços Unitários'!$B:$G,6,FALSE)</f>
        <v>1.165011</v>
      </c>
      <c r="I382" s="201">
        <f t="shared" si="53"/>
        <v>9664.7448542399979</v>
      </c>
      <c r="J382" s="299"/>
    </row>
    <row r="383" spans="2:10" ht="28.8" x14ac:dyDescent="0.3">
      <c r="B383" s="197" t="s">
        <v>13690</v>
      </c>
      <c r="C383" s="197" t="s">
        <v>12</v>
      </c>
      <c r="D383" s="198" t="s">
        <v>13224</v>
      </c>
      <c r="E383" s="199" t="s">
        <v>13223</v>
      </c>
      <c r="F383" s="197" t="s">
        <v>2904</v>
      </c>
      <c r="G383" s="200">
        <f>+'MC Canais'!J441</f>
        <v>7900.7999999999993</v>
      </c>
      <c r="H383" s="200">
        <f>+'Composições de Preços'!$F$173</f>
        <v>26.052132569499999</v>
      </c>
      <c r="I383" s="201">
        <f t="shared" si="53"/>
        <v>205832.68900510558</v>
      </c>
      <c r="J383" s="299"/>
    </row>
    <row r="384" spans="2:10" ht="28.8" x14ac:dyDescent="0.3">
      <c r="B384" s="197" t="s">
        <v>13691</v>
      </c>
      <c r="C384" s="197" t="s">
        <v>13039</v>
      </c>
      <c r="D384" s="198" t="s">
        <v>6908</v>
      </c>
      <c r="E384" s="199" t="str">
        <f>VLOOKUP($D384,'Preços Unitários'!$B:$G,2,FALSE)</f>
        <v>Tubo de concreto perfurado produzido na obra para drenagem - D = 0,40 m - fornecimento e instalação</v>
      </c>
      <c r="F384" s="197" t="str">
        <f>VLOOKUP($D384,'Preços Unitários'!$B:$G,3,FALSE)</f>
        <v>m</v>
      </c>
      <c r="G384" s="200">
        <f>+'MC Canais'!J442</f>
        <v>3292</v>
      </c>
      <c r="H384" s="200">
        <f>VLOOKUP($D384,'Preços Unitários'!$B:$G,6,FALSE)</f>
        <v>116.764167</v>
      </c>
      <c r="I384" s="201">
        <f t="shared" si="53"/>
        <v>384387.63776399998</v>
      </c>
      <c r="J384" s="299"/>
    </row>
    <row r="385" spans="1:10" ht="28.8" x14ac:dyDescent="0.3">
      <c r="B385" s="197" t="s">
        <v>13692</v>
      </c>
      <c r="C385" s="197" t="s">
        <v>13039</v>
      </c>
      <c r="D385" s="198" t="s">
        <v>6438</v>
      </c>
      <c r="E385" s="199" t="str">
        <f>VLOOKUP($D385,'Preços Unitários'!$B:$G,2,FALSE)</f>
        <v>Lastro de brita comercial compactado com soquete vibratório - espalhamento manual</v>
      </c>
      <c r="F385" s="197" t="str">
        <f>VLOOKUP($D385,'Preços Unitários'!$B:$G,3,FALSE)</f>
        <v>m³</v>
      </c>
      <c r="G385" s="200">
        <f>+'MC Canais'!J443</f>
        <v>771.6447999999998</v>
      </c>
      <c r="H385" s="200">
        <f>VLOOKUP($D385,'Preços Unitários'!$B:$G,6,FALSE)</f>
        <v>239.34086200000002</v>
      </c>
      <c r="I385" s="201">
        <f t="shared" si="53"/>
        <v>184686.13158981755</v>
      </c>
      <c r="J385" s="299"/>
    </row>
    <row r="386" spans="1:10" x14ac:dyDescent="0.3">
      <c r="B386" s="197" t="s">
        <v>13693</v>
      </c>
      <c r="C386" s="197" t="s">
        <v>13039</v>
      </c>
      <c r="D386" s="206" t="s">
        <v>6430</v>
      </c>
      <c r="E386" s="199" t="str">
        <f>VLOOKUP($D386,'Preços Unitários'!$B:$G,2,FALSE)</f>
        <v>Lastro de areia comercial - espalhamento manual</v>
      </c>
      <c r="F386" s="197" t="str">
        <f>VLOOKUP($D386,'Preços Unitários'!$B:$G,3,FALSE)</f>
        <v>m³</v>
      </c>
      <c r="G386" s="200">
        <f>+'MC Canais'!J444</f>
        <v>395.03999999999996</v>
      </c>
      <c r="H386" s="200">
        <f>VLOOKUP($D386,'Preços Unitários'!$B:$G,6,FALSE)</f>
        <v>198.06439700000001</v>
      </c>
      <c r="I386" s="201">
        <f t="shared" si="53"/>
        <v>78243.359390879996</v>
      </c>
      <c r="J386" s="299"/>
    </row>
    <row r="387" spans="1:10" s="243" customFormat="1" ht="28.8" x14ac:dyDescent="0.3">
      <c r="B387" s="197" t="s">
        <v>13694</v>
      </c>
      <c r="C387" s="197" t="s">
        <v>13</v>
      </c>
      <c r="D387" s="198" t="s">
        <v>13</v>
      </c>
      <c r="E387" s="207" t="s">
        <v>13228</v>
      </c>
      <c r="F387" s="197"/>
      <c r="G387" s="200">
        <f>+'MC Canais'!J445</f>
        <v>0</v>
      </c>
      <c r="H387" s="201"/>
      <c r="I387" s="201"/>
      <c r="J387" s="299"/>
    </row>
    <row r="388" spans="1:10" ht="28.8" x14ac:dyDescent="0.3">
      <c r="B388" s="197" t="s">
        <v>13695</v>
      </c>
      <c r="C388" s="197" t="s">
        <v>13039</v>
      </c>
      <c r="D388" s="198" t="s">
        <v>6964</v>
      </c>
      <c r="E388" s="199" t="str">
        <f>VLOOKUP($D388,'Preços Unitários'!$B:$G,2,FALSE)</f>
        <v>Valeta de proteção de cortes com revestimento vegetal - VPCG 120-30 - escavação mecânica</v>
      </c>
      <c r="F388" s="197" t="str">
        <f>VLOOKUP($D388,'Preços Unitários'!$B:$G,3,FALSE)</f>
        <v>m</v>
      </c>
      <c r="G388" s="200">
        <f>+'MC Canais'!J446</f>
        <v>6584</v>
      </c>
      <c r="H388" s="200">
        <f>VLOOKUP($D388,'Preços Unitários'!$B:$G,6,FALSE)</f>
        <v>51.961995999999999</v>
      </c>
      <c r="I388" s="201">
        <f t="shared" ref="I388:I391" si="54">+G388*H388</f>
        <v>342117.78166400001</v>
      </c>
      <c r="J388" s="299"/>
    </row>
    <row r="389" spans="1:10" ht="28.8" x14ac:dyDescent="0.3">
      <c r="B389" s="197" t="s">
        <v>13696</v>
      </c>
      <c r="C389" s="197" t="s">
        <v>13039</v>
      </c>
      <c r="D389" s="198" t="s">
        <v>6744</v>
      </c>
      <c r="E389" s="199" t="str">
        <f>VLOOKUP($D389,'Preços Unitários'!$B:$G,2,FALSE)</f>
        <v>Sarjeta triangular de grama - STG 125-25 - escavação mecânica</v>
      </c>
      <c r="F389" s="197" t="str">
        <f>VLOOKUP($D389,'Preços Unitários'!$B:$G,3,FALSE)</f>
        <v>m</v>
      </c>
      <c r="G389" s="200">
        <f>+'MC Canais'!J447</f>
        <v>6584</v>
      </c>
      <c r="H389" s="200">
        <f>VLOOKUP($D389,'Preços Unitários'!$B:$G,6,FALSE)</f>
        <v>29.776679000000001</v>
      </c>
      <c r="I389" s="201">
        <f t="shared" si="54"/>
        <v>196049.65453600002</v>
      </c>
      <c r="J389" s="299"/>
    </row>
    <row r="390" spans="1:10" ht="28.8" x14ac:dyDescent="0.3">
      <c r="B390" s="197" t="s">
        <v>13697</v>
      </c>
      <c r="C390" s="197" t="s">
        <v>13039</v>
      </c>
      <c r="D390" s="198" t="s">
        <v>2740</v>
      </c>
      <c r="E390" s="199" t="str">
        <f>VLOOKUP($D390,'Preços Unitários'!$B:$G,2,FALSE)</f>
        <v>Corpo de BSTC D = 0,80 m PA1 - areia, brita e pedra de mão comerciais</v>
      </c>
      <c r="F390" s="197" t="str">
        <f>VLOOKUP($D390,'Preços Unitários'!$B:$G,3,FALSE)</f>
        <v>m</v>
      </c>
      <c r="G390" s="200">
        <f>+'MC Canais'!J448</f>
        <v>21</v>
      </c>
      <c r="H390" s="200">
        <f>VLOOKUP($D390,'Preços Unitários'!$B:$G,6,FALSE)</f>
        <v>799.67357200000004</v>
      </c>
      <c r="I390" s="201">
        <f t="shared" si="54"/>
        <v>16793.145012000001</v>
      </c>
      <c r="J390" s="299"/>
    </row>
    <row r="391" spans="1:10" ht="28.8" x14ac:dyDescent="0.3">
      <c r="B391" s="197" t="s">
        <v>13698</v>
      </c>
      <c r="C391" s="197" t="s">
        <v>13039</v>
      </c>
      <c r="D391" s="208" t="s">
        <v>2172</v>
      </c>
      <c r="E391" s="199" t="str">
        <f>VLOOKUP($D391,'Preços Unitários'!$B:$G,2,FALSE)</f>
        <v>Boca de BSTC D = 0,80 m - esconsidade 0° - areia e brita comerciais - alas retas</v>
      </c>
      <c r="F391" s="197" t="str">
        <f>VLOOKUP($D391,'Preços Unitários'!$B:$G,3,FALSE)</f>
        <v>un</v>
      </c>
      <c r="G391" s="200">
        <f>+'MC Canais'!J449</f>
        <v>2</v>
      </c>
      <c r="H391" s="200">
        <f>VLOOKUP($D391,'Preços Unitários'!$B:$G,6,FALSE)</f>
        <v>1606.687966</v>
      </c>
      <c r="I391" s="201">
        <f t="shared" si="54"/>
        <v>3213.3759319999999</v>
      </c>
      <c r="J391" s="299"/>
    </row>
    <row r="392" spans="1:10" s="243" customFormat="1" x14ac:dyDescent="0.3">
      <c r="B392" s="197" t="s">
        <v>13699</v>
      </c>
      <c r="C392" s="197" t="s">
        <v>13</v>
      </c>
      <c r="D392" s="198" t="s">
        <v>13</v>
      </c>
      <c r="E392" s="207" t="s">
        <v>13230</v>
      </c>
      <c r="F392" s="197"/>
      <c r="G392" s="200">
        <f>+'MC Canais'!J450</f>
        <v>0</v>
      </c>
      <c r="H392" s="201"/>
      <c r="I392" s="201"/>
      <c r="J392" s="299"/>
    </row>
    <row r="393" spans="1:10" ht="28.8" x14ac:dyDescent="0.3">
      <c r="B393" s="197" t="s">
        <v>13700</v>
      </c>
      <c r="C393" s="197" t="s">
        <v>13039</v>
      </c>
      <c r="D393" s="198" t="s">
        <v>11088</v>
      </c>
      <c r="E393" s="199" t="str">
        <f>VLOOKUP($D393,'Preços Unitários'!$B:$G,2,FALSE)</f>
        <v>Escavação mecânica com retroescavadeira em material de 1ª categoria</v>
      </c>
      <c r="F393" s="197" t="str">
        <f>VLOOKUP($D393,'Preços Unitários'!$B:$G,3,FALSE)</f>
        <v>m³</v>
      </c>
      <c r="G393" s="200">
        <f>+'MC Canais'!J451</f>
        <v>3456.6</v>
      </c>
      <c r="H393" s="200">
        <f>VLOOKUP($D393,'Preços Unitários'!$B:$G,6,FALSE)</f>
        <v>8.7313189999999992</v>
      </c>
      <c r="I393" s="201">
        <f t="shared" ref="I393:I397" si="55">+G393*H393</f>
        <v>30180.677255399998</v>
      </c>
      <c r="J393" s="299"/>
    </row>
    <row r="394" spans="1:10" x14ac:dyDescent="0.3">
      <c r="B394" s="197" t="s">
        <v>13701</v>
      </c>
      <c r="C394" s="197" t="s">
        <v>13039</v>
      </c>
      <c r="D394" s="198" t="s">
        <v>11046</v>
      </c>
      <c r="E394" s="199" t="str">
        <f>VLOOKUP($D394,'Preços Unitários'!$B:$G,2,FALSE)</f>
        <v>Compactação de aterros a 100% do Proctor normal</v>
      </c>
      <c r="F394" s="197" t="str">
        <f>VLOOKUP($D394,'Preços Unitários'!$B:$G,3,FALSE)</f>
        <v>m³</v>
      </c>
      <c r="G394" s="200">
        <f>+'MC Canais'!J452</f>
        <v>2304.4</v>
      </c>
      <c r="H394" s="200">
        <f>VLOOKUP($D394,'Preços Unitários'!$B:$G,6,FALSE)</f>
        <v>7.1028090000000006</v>
      </c>
      <c r="I394" s="201">
        <f t="shared" si="55"/>
        <v>16367.713059600002</v>
      </c>
      <c r="J394" s="299"/>
    </row>
    <row r="395" spans="1:10" ht="28.8" x14ac:dyDescent="0.3">
      <c r="B395" s="197" t="s">
        <v>13702</v>
      </c>
      <c r="C395" s="197" t="s">
        <v>13039</v>
      </c>
      <c r="D395" s="198" t="s">
        <v>11947</v>
      </c>
      <c r="E395" s="199" t="str">
        <f>VLOOKUP($D395,'Preços Unitários'!$B:$G,2,FALSE)</f>
        <v>Transporte com caminhão basculante de 14 m³ - rodovia em leito natural</v>
      </c>
      <c r="F395" s="197" t="str">
        <f>VLOOKUP($D395,'Preços Unitários'!$B:$G,3,FALSE)</f>
        <v>tkm</v>
      </c>
      <c r="G395" s="200">
        <f>+'MC Canais'!J453</f>
        <v>1152.1999999999998</v>
      </c>
      <c r="H395" s="200">
        <f>VLOOKUP($D395,'Preços Unitários'!$B:$G,6,FALSE)</f>
        <v>1.165011</v>
      </c>
      <c r="I395" s="201">
        <f t="shared" si="55"/>
        <v>1342.3256741999999</v>
      </c>
      <c r="J395" s="299"/>
    </row>
    <row r="396" spans="1:10" x14ac:dyDescent="0.3">
      <c r="B396" s="197" t="s">
        <v>13703</v>
      </c>
      <c r="C396" s="197" t="s">
        <v>13039</v>
      </c>
      <c r="D396" s="198" t="s">
        <v>9440</v>
      </c>
      <c r="E396" s="199" t="str">
        <f>VLOOKUP($D396,'Preços Unitários'!$B:$G,2,FALSE)</f>
        <v>Regularização de superfície com motoniveladora</v>
      </c>
      <c r="F396" s="197" t="str">
        <f>VLOOKUP($D396,'Preços Unitários'!$B:$G,3,FALSE)</f>
        <v>m²</v>
      </c>
      <c r="G396" s="200">
        <f>+'MC Canais'!J454</f>
        <v>23044</v>
      </c>
      <c r="H396" s="200">
        <f>VLOOKUP($D396,'Preços Unitários'!$B:$G,6,FALSE)</f>
        <v>0.100216</v>
      </c>
      <c r="I396" s="201">
        <f t="shared" si="55"/>
        <v>2309.377504</v>
      </c>
      <c r="J396" s="299"/>
    </row>
    <row r="397" spans="1:10" x14ac:dyDescent="0.3">
      <c r="B397" s="197" t="s">
        <v>13704</v>
      </c>
      <c r="C397" s="197" t="s">
        <v>12</v>
      </c>
      <c r="D397" s="198" t="s">
        <v>13232</v>
      </c>
      <c r="E397" s="199" t="s">
        <v>13231</v>
      </c>
      <c r="F397" s="197" t="s">
        <v>427</v>
      </c>
      <c r="G397" s="200">
        <f>+'MC Canais'!J455</f>
        <v>1728.3</v>
      </c>
      <c r="H397" s="200">
        <f>+'Composições de Preços'!$F$216</f>
        <v>214.40019935426301</v>
      </c>
      <c r="I397" s="201">
        <f t="shared" si="55"/>
        <v>370547.86454397277</v>
      </c>
      <c r="J397" s="299"/>
    </row>
    <row r="398" spans="1:10" s="243" customFormat="1" x14ac:dyDescent="0.3">
      <c r="B398" s="197" t="s">
        <v>13705</v>
      </c>
      <c r="C398" s="197" t="s">
        <v>13</v>
      </c>
      <c r="D398" s="198" t="s">
        <v>13</v>
      </c>
      <c r="E398" s="207" t="s">
        <v>13386</v>
      </c>
      <c r="F398" s="197"/>
      <c r="G398" s="200">
        <f>+'MC Canais'!J456</f>
        <v>0</v>
      </c>
      <c r="H398" s="201"/>
      <c r="I398" s="201"/>
      <c r="J398" s="299"/>
    </row>
    <row r="399" spans="1:10" ht="28.8" x14ac:dyDescent="0.3">
      <c r="B399" s="197" t="s">
        <v>13706</v>
      </c>
      <c r="C399" s="197" t="s">
        <v>13039</v>
      </c>
      <c r="D399" s="198" t="s">
        <v>8625</v>
      </c>
      <c r="E399" s="199" t="str">
        <f>VLOOKUP($D399,'Preços Unitários'!$B:$G,2,FALSE)</f>
        <v>Cerca com 4 fios de arame liso galvanizado e mourão de madeira a cada 2,5 m e esticador a cada 50 m</v>
      </c>
      <c r="F399" s="197" t="str">
        <f>VLOOKUP($D399,'Preços Unitários'!$B:$G,3,FALSE)</f>
        <v>m</v>
      </c>
      <c r="G399" s="200">
        <f>+'MC Canais'!J457</f>
        <v>6584</v>
      </c>
      <c r="H399" s="200">
        <f>VLOOKUP($D399,'Preços Unitários'!$B:$G,6,FALSE)</f>
        <v>27.146009000000003</v>
      </c>
      <c r="I399" s="201">
        <f t="shared" ref="I399" si="56">+G399*H399</f>
        <v>178729.32325600003</v>
      </c>
      <c r="J399" s="299"/>
    </row>
    <row r="400" spans="1:10" x14ac:dyDescent="0.3">
      <c r="A400" s="42" t="s">
        <v>14478</v>
      </c>
      <c r="B400" s="209" t="s">
        <v>13062</v>
      </c>
      <c r="C400" s="209" t="s">
        <v>13</v>
      </c>
      <c r="D400" s="210" t="s">
        <v>13</v>
      </c>
      <c r="E400" s="211" t="s">
        <v>13077</v>
      </c>
      <c r="F400" s="209" t="s">
        <v>13</v>
      </c>
      <c r="G400" s="212">
        <v>0</v>
      </c>
      <c r="H400" s="212">
        <v>0</v>
      </c>
      <c r="I400" s="212">
        <f>SUM(I401:I436)</f>
        <v>5463595.581271736</v>
      </c>
      <c r="J400" s="284" t="s">
        <v>14478</v>
      </c>
    </row>
    <row r="401" spans="2:10" x14ac:dyDescent="0.3">
      <c r="B401" s="202" t="s">
        <v>13707</v>
      </c>
      <c r="C401" s="202" t="s">
        <v>13</v>
      </c>
      <c r="D401" s="203" t="s">
        <v>13</v>
      </c>
      <c r="E401" s="204" t="s">
        <v>13203</v>
      </c>
      <c r="F401" s="202"/>
      <c r="G401" s="205"/>
      <c r="H401" s="205"/>
      <c r="I401" s="205"/>
      <c r="J401" s="299"/>
    </row>
    <row r="402" spans="2:10" ht="28.8" x14ac:dyDescent="0.3">
      <c r="B402" s="197" t="s">
        <v>13708</v>
      </c>
      <c r="C402" s="197" t="s">
        <v>13039</v>
      </c>
      <c r="D402" s="198" t="s">
        <v>11052</v>
      </c>
      <c r="E402" s="199" t="str">
        <f>VLOOKUP($D402,'Preços Unitários'!$B:$G,2,FALSE)</f>
        <v>Desmatamento, destocamento e limpeza de área com árvores de diâmetro até 0,15 m</v>
      </c>
      <c r="F402" s="197" t="str">
        <f>VLOOKUP($D402,'Preços Unitários'!$B:$G,3,FALSE)</f>
        <v>m²</v>
      </c>
      <c r="G402" s="200">
        <f>+'MC Canais'!J499</f>
        <v>90000</v>
      </c>
      <c r="H402" s="200">
        <f>VLOOKUP($D402,'Preços Unitários'!$B:$G,6,FALSE)</f>
        <v>0.87688999999999995</v>
      </c>
      <c r="I402" s="201">
        <f>+G402*H402</f>
        <v>78920.099999999991</v>
      </c>
      <c r="J402" s="299"/>
    </row>
    <row r="403" spans="2:10" ht="43.2" x14ac:dyDescent="0.3">
      <c r="B403" s="197" t="s">
        <v>13709</v>
      </c>
      <c r="C403" s="197" t="s">
        <v>13039</v>
      </c>
      <c r="D403" s="198" t="s">
        <v>11092</v>
      </c>
      <c r="E403" s="199" t="str">
        <f>VLOOKUP($D403,'Preços Unitários'!$B:$G,2,FALSE)</f>
        <v>Escavação, carga e transporte de material de 1ª categoria - DMT de 1.000 a 1.200 m - caminho de serviço em leito natural - com escavadeira e caminhão basculante de 14 m³</v>
      </c>
      <c r="F403" s="197" t="str">
        <f>VLOOKUP($D403,'Preços Unitários'!$B:$G,3,FALSE)</f>
        <v>m³</v>
      </c>
      <c r="G403" s="200">
        <f>+'MC Canais'!J500</f>
        <v>19148.11</v>
      </c>
      <c r="H403" s="200">
        <f>VLOOKUP($D403,'Preços Unitários'!$B:$G,6,FALSE)</f>
        <v>10.673003999999999</v>
      </c>
      <c r="I403" s="201">
        <f t="shared" ref="I403:I415" si="57">+G403*H403</f>
        <v>204367.85462243998</v>
      </c>
      <c r="J403" s="299"/>
    </row>
    <row r="404" spans="2:10" x14ac:dyDescent="0.3">
      <c r="B404" s="197" t="s">
        <v>13710</v>
      </c>
      <c r="C404" s="197" t="s">
        <v>13039</v>
      </c>
      <c r="D404" s="198" t="s">
        <v>11046</v>
      </c>
      <c r="E404" s="213" t="str">
        <f>VLOOKUP($D404,'Preços Unitários'!$B:$G,2,FALSE)</f>
        <v>Compactação de aterros a 100% do Proctor normal</v>
      </c>
      <c r="F404" s="197" t="str">
        <f>VLOOKUP($D404,'Preços Unitários'!$B:$G,3,FALSE)</f>
        <v>m³</v>
      </c>
      <c r="G404" s="200">
        <f>+'MC Canais'!J501</f>
        <v>21529</v>
      </c>
      <c r="H404" s="200">
        <f>VLOOKUP($D404,'Preços Unitários'!$B:$G,6,FALSE)</f>
        <v>7.1028090000000006</v>
      </c>
      <c r="I404" s="201">
        <f t="shared" si="57"/>
        <v>152916.37496100002</v>
      </c>
      <c r="J404" s="299"/>
    </row>
    <row r="405" spans="2:10" ht="28.8" x14ac:dyDescent="0.3">
      <c r="B405" s="197" t="s">
        <v>13711</v>
      </c>
      <c r="C405" s="197" t="s">
        <v>13039</v>
      </c>
      <c r="D405" s="198" t="s">
        <v>11947</v>
      </c>
      <c r="E405" s="199" t="str">
        <f>VLOOKUP($D405,'Preços Unitários'!$B:$G,2,FALSE)</f>
        <v>Transporte com caminhão basculante de 14 m³ - rodovia em leito natural</v>
      </c>
      <c r="F405" s="197" t="str">
        <f>VLOOKUP($D405,'Preços Unitários'!$B:$G,3,FALSE)</f>
        <v>tkm</v>
      </c>
      <c r="G405" s="200">
        <f>+'MC Canais'!J502</f>
        <v>16666.229999999996</v>
      </c>
      <c r="H405" s="200">
        <f>VLOOKUP($D405,'Preços Unitários'!$B:$G,6,FALSE)</f>
        <v>1.165011</v>
      </c>
      <c r="I405" s="201">
        <f t="shared" si="57"/>
        <v>19416.341278529995</v>
      </c>
      <c r="J405" s="299"/>
    </row>
    <row r="406" spans="2:10" x14ac:dyDescent="0.3">
      <c r="B406" s="197" t="s">
        <v>13712</v>
      </c>
      <c r="C406" s="197" t="s">
        <v>13039</v>
      </c>
      <c r="D406" s="198" t="s">
        <v>9440</v>
      </c>
      <c r="E406" s="199" t="str">
        <f>VLOOKUP($D406,'Preços Unitários'!$B:$G,2,FALSE)</f>
        <v>Regularização de superfície com motoniveladora</v>
      </c>
      <c r="F406" s="197" t="str">
        <f>VLOOKUP($D406,'Preços Unitários'!$B:$G,3,FALSE)</f>
        <v>m²</v>
      </c>
      <c r="G406" s="200">
        <f>+'MC Canais'!J503</f>
        <v>2700</v>
      </c>
      <c r="H406" s="200">
        <f>VLOOKUP($D406,'Preços Unitários'!$B:$G,6,FALSE)</f>
        <v>0.100216</v>
      </c>
      <c r="I406" s="201">
        <f>+G406*H406</f>
        <v>270.58319999999998</v>
      </c>
      <c r="J406" s="299"/>
    </row>
    <row r="407" spans="2:10" ht="28.8" x14ac:dyDescent="0.3">
      <c r="B407" s="197" t="s">
        <v>13713</v>
      </c>
      <c r="C407" s="197" t="s">
        <v>12</v>
      </c>
      <c r="D407" s="198" t="s">
        <v>13205</v>
      </c>
      <c r="E407" s="199" t="s">
        <v>13204</v>
      </c>
      <c r="F407" s="197" t="s">
        <v>2904</v>
      </c>
      <c r="G407" s="200">
        <f>+'MC Canais'!J504</f>
        <v>3722</v>
      </c>
      <c r="H407" s="200">
        <f>+'Composições de Preços'!$F$87</f>
        <v>59.387948601153852</v>
      </c>
      <c r="I407" s="201">
        <f t="shared" si="57"/>
        <v>221041.94469349465</v>
      </c>
      <c r="J407" s="299"/>
    </row>
    <row r="408" spans="2:10" ht="28.8" x14ac:dyDescent="0.3">
      <c r="B408" s="197" t="s">
        <v>13714</v>
      </c>
      <c r="C408" s="197" t="s">
        <v>12</v>
      </c>
      <c r="D408" s="198" t="s">
        <v>14504</v>
      </c>
      <c r="E408" s="199" t="s">
        <v>14497</v>
      </c>
      <c r="F408" s="197" t="s">
        <v>427</v>
      </c>
      <c r="G408" s="200">
        <f>+'MC Canais'!J505</f>
        <v>2977.8</v>
      </c>
      <c r="H408" s="200">
        <f>+'Composições de Preços'!$F$446</f>
        <v>99.894988108799993</v>
      </c>
      <c r="I408" s="201">
        <f t="shared" si="57"/>
        <v>297467.29559038463</v>
      </c>
      <c r="J408" s="299"/>
    </row>
    <row r="409" spans="2:10" ht="28.8" x14ac:dyDescent="0.3">
      <c r="B409" s="197" t="s">
        <v>13715</v>
      </c>
      <c r="C409" s="197" t="s">
        <v>12</v>
      </c>
      <c r="D409" s="198" t="s">
        <v>13192</v>
      </c>
      <c r="E409" s="199" t="s">
        <v>13191</v>
      </c>
      <c r="F409" s="197" t="s">
        <v>2904</v>
      </c>
      <c r="G409" s="200">
        <f>+'MC Canais'!J506</f>
        <v>14889</v>
      </c>
      <c r="H409" s="200">
        <f>+'Composições de Preços'!$F$44</f>
        <v>73.117919302000004</v>
      </c>
      <c r="I409" s="201">
        <f t="shared" si="57"/>
        <v>1088652.7004874782</v>
      </c>
      <c r="J409" s="299"/>
    </row>
    <row r="410" spans="2:10" ht="28.8" x14ac:dyDescent="0.3">
      <c r="B410" s="197" t="s">
        <v>13716</v>
      </c>
      <c r="C410" s="197" t="s">
        <v>12</v>
      </c>
      <c r="D410" s="198" t="s">
        <v>14506</v>
      </c>
      <c r="E410" s="199" t="s">
        <v>14505</v>
      </c>
      <c r="F410" s="197" t="s">
        <v>427</v>
      </c>
      <c r="G410" s="200">
        <f>+'MC Canais'!J507</f>
        <v>4500</v>
      </c>
      <c r="H410" s="200">
        <f>+'Composições de Preços'!$F$492</f>
        <v>107.93859485200001</v>
      </c>
      <c r="I410" s="201">
        <f t="shared" si="57"/>
        <v>485723.67683400004</v>
      </c>
      <c r="J410" s="299"/>
    </row>
    <row r="411" spans="2:10" ht="28.8" x14ac:dyDescent="0.3">
      <c r="B411" s="197" t="s">
        <v>14524</v>
      </c>
      <c r="C411" s="197" t="s">
        <v>13039</v>
      </c>
      <c r="D411" s="198" t="s">
        <v>3149</v>
      </c>
      <c r="E411" s="199" t="str">
        <f>VLOOKUP($D411,'Preços Unitários'!$B:$G,2,FALSE)</f>
        <v>Concreto para bombeamento fck = 30 MPa - confecção em central dosadora de 30 m³/h - areia e brita comerciais</v>
      </c>
      <c r="F411" s="197" t="str">
        <f>VLOOKUP($D411,'Preços Unitários'!$B:$G,3,FALSE)</f>
        <v>m³</v>
      </c>
      <c r="G411" s="200">
        <f>+'MC Canais'!J508</f>
        <v>1042.23</v>
      </c>
      <c r="H411" s="200">
        <f>VLOOKUP($D411,'Preços Unitários'!$B:$G,6,FALSE)</f>
        <v>575.92882499999996</v>
      </c>
      <c r="I411" s="201">
        <f t="shared" si="57"/>
        <v>600250.29927974998</v>
      </c>
      <c r="J411" s="297"/>
    </row>
    <row r="412" spans="2:10" ht="43.2" x14ac:dyDescent="0.3">
      <c r="B412" s="197" t="s">
        <v>13717</v>
      </c>
      <c r="C412" s="197" t="s">
        <v>13039</v>
      </c>
      <c r="D412" s="198" t="s">
        <v>3201</v>
      </c>
      <c r="E412" s="199" t="str">
        <f>VLOOKUP($D412,'Preços Unitários'!$B:$G,2,FALSE)</f>
        <v>Lançamento mecânico de concreto com bomba rebocável com capacidade de 30 m³/h - confecção em central dosadora de 30 m³/h</v>
      </c>
      <c r="F412" s="197" t="str">
        <f>VLOOKUP($D412,'Preços Unitários'!$B:$G,3,FALSE)</f>
        <v>m³</v>
      </c>
      <c r="G412" s="200">
        <f>+'MC Canais'!J509</f>
        <v>1042.23</v>
      </c>
      <c r="H412" s="200">
        <f>VLOOKUP($D412,'Preços Unitários'!$B:$G,6,FALSE)</f>
        <v>86.285976000000005</v>
      </c>
      <c r="I412" s="201">
        <f t="shared" si="57"/>
        <v>89929.832766480002</v>
      </c>
      <c r="J412" s="299"/>
    </row>
    <row r="413" spans="2:10" ht="28.8" x14ac:dyDescent="0.3">
      <c r="B413" s="197" t="s">
        <v>14525</v>
      </c>
      <c r="C413" s="197" t="s">
        <v>13039</v>
      </c>
      <c r="D413" s="198" t="s">
        <v>206</v>
      </c>
      <c r="E413" s="199" t="str">
        <f>VLOOKUP($D413,'Preços Unitários'!$B:$G,2,FALSE)</f>
        <v>Lábios poliméricos em junta de pavimento de concreto - L = 20 mm e H = 30 mm - confecção e assentamento</v>
      </c>
      <c r="F413" s="197" t="str">
        <f>VLOOKUP($D413,'Preços Unitários'!$B:$G,3,FALSE)</f>
        <v>m</v>
      </c>
      <c r="G413" s="200">
        <f>+'MC Canais'!J510</f>
        <v>9517.5000000000018</v>
      </c>
      <c r="H413" s="200">
        <f>VLOOKUP($D413,'Preços Unitários'!$B:$G,6,FALSE)</f>
        <v>39.635428000000005</v>
      </c>
      <c r="I413" s="201">
        <f t="shared" si="57"/>
        <v>377230.18599000014</v>
      </c>
      <c r="J413" s="299"/>
    </row>
    <row r="414" spans="2:10" x14ac:dyDescent="0.3">
      <c r="B414" s="197" t="s">
        <v>14526</v>
      </c>
      <c r="C414" s="197" t="s">
        <v>12</v>
      </c>
      <c r="D414" s="198" t="s">
        <v>13209</v>
      </c>
      <c r="E414" s="199" t="s">
        <v>13208</v>
      </c>
      <c r="F414" s="197" t="s">
        <v>195</v>
      </c>
      <c r="G414" s="200">
        <f>+'MC Canais'!J511</f>
        <v>4500</v>
      </c>
      <c r="H414" s="200">
        <f>+'Composições de Preços'!$F$130</f>
        <v>37.70076957596789</v>
      </c>
      <c r="I414" s="201">
        <f t="shared" si="57"/>
        <v>169653.46309185549</v>
      </c>
      <c r="J414" s="299"/>
    </row>
    <row r="415" spans="2:10" ht="28.8" x14ac:dyDescent="0.3">
      <c r="B415" s="197" t="s">
        <v>14583</v>
      </c>
      <c r="C415" s="197" t="s">
        <v>13039</v>
      </c>
      <c r="D415" s="198" t="s">
        <v>9446</v>
      </c>
      <c r="E415" s="199" t="str">
        <f>VLOOKUP($D415,'Preços Unitários'!$B:$G,2,FALSE)</f>
        <v>Revestimento vegetal com grama em mudas em superfícies inclinadas</v>
      </c>
      <c r="F415" s="197" t="str">
        <f>VLOOKUP($D415,'Preços Unitários'!$B:$G,3,FALSE)</f>
        <v>m²</v>
      </c>
      <c r="G415" s="200">
        <f>+'MC Canais'!J512</f>
        <v>27000</v>
      </c>
      <c r="H415" s="200">
        <f>VLOOKUP($D415,'Preços Unitários'!$B:$G,6,FALSE)</f>
        <v>9.984019</v>
      </c>
      <c r="I415" s="201">
        <f t="shared" si="57"/>
        <v>269568.51299999998</v>
      </c>
      <c r="J415" s="299"/>
    </row>
    <row r="416" spans="2:10" x14ac:dyDescent="0.3">
      <c r="B416" s="202" t="s">
        <v>13718</v>
      </c>
      <c r="C416" s="202" t="s">
        <v>13</v>
      </c>
      <c r="D416" s="203" t="s">
        <v>13</v>
      </c>
      <c r="E416" s="204" t="s">
        <v>13222</v>
      </c>
      <c r="F416" s="202"/>
      <c r="G416" s="200">
        <f>+'MC Canais'!J513</f>
        <v>0</v>
      </c>
      <c r="H416" s="205"/>
      <c r="I416" s="205"/>
      <c r="J416" s="299"/>
    </row>
    <row r="417" spans="2:10" x14ac:dyDescent="0.3">
      <c r="B417" s="197" t="s">
        <v>13719</v>
      </c>
      <c r="C417" s="197" t="s">
        <v>13039</v>
      </c>
      <c r="D417" s="198" t="s">
        <v>9806</v>
      </c>
      <c r="E417" s="199" t="str">
        <f>VLOOKUP($D417,'Preços Unitários'!$B:$G,2,FALSE)</f>
        <v>Escavação mecânica de vala em material de 1ª categoria</v>
      </c>
      <c r="F417" s="197" t="str">
        <f>VLOOKUP($D417,'Preços Unitários'!$B:$G,3,FALSE)</f>
        <v>m³</v>
      </c>
      <c r="G417" s="200">
        <f>+'MC Canais'!J514</f>
        <v>1889.9999999999998</v>
      </c>
      <c r="H417" s="200">
        <f>VLOOKUP($D417,'Preços Unitários'!$B:$G,6,FALSE)</f>
        <v>8.7313189999999992</v>
      </c>
      <c r="I417" s="201">
        <f t="shared" ref="I417:I423" si="58">+G417*H417</f>
        <v>16502.192909999998</v>
      </c>
      <c r="J417" s="299"/>
    </row>
    <row r="418" spans="2:10" x14ac:dyDescent="0.3">
      <c r="B418" s="197" t="s">
        <v>13720</v>
      </c>
      <c r="C418" s="197" t="s">
        <v>13039</v>
      </c>
      <c r="D418" s="198" t="s">
        <v>9830</v>
      </c>
      <c r="E418" s="199" t="str">
        <f>VLOOKUP($D418,'Preços Unitários'!$B:$G,2,FALSE)</f>
        <v>Reaterro e compactação com soquete vibratório</v>
      </c>
      <c r="F418" s="197" t="str">
        <f>VLOOKUP($D418,'Preços Unitários'!$B:$G,3,FALSE)</f>
        <v>m³</v>
      </c>
      <c r="G418" s="200">
        <f>+'MC Canais'!J515</f>
        <v>1079.9999999999998</v>
      </c>
      <c r="H418" s="200">
        <f>VLOOKUP($D418,'Preços Unitários'!$B:$G,6,FALSE)</f>
        <v>22.611235000000001</v>
      </c>
      <c r="I418" s="201">
        <f t="shared" si="58"/>
        <v>24420.133799999996</v>
      </c>
      <c r="J418" s="299"/>
    </row>
    <row r="419" spans="2:10" ht="28.8" x14ac:dyDescent="0.3">
      <c r="B419" s="197" t="s">
        <v>13721</v>
      </c>
      <c r="C419" s="197" t="s">
        <v>13039</v>
      </c>
      <c r="D419" s="198" t="s">
        <v>11947</v>
      </c>
      <c r="E419" s="199" t="str">
        <f>VLOOKUP($D419,'Preços Unitários'!$B:$G,2,FALSE)</f>
        <v>Transporte com caminhão basculante de 14 m³ - rodovia em leito natural</v>
      </c>
      <c r="F419" s="197" t="str">
        <f>VLOOKUP($D419,'Preços Unitários'!$B:$G,3,FALSE)</f>
        <v>tkm</v>
      </c>
      <c r="G419" s="200">
        <f>+'MC Canais'!J516</f>
        <v>5670</v>
      </c>
      <c r="H419" s="200">
        <f>VLOOKUP($D419,'Preços Unitários'!$B:$G,6,FALSE)</f>
        <v>1.165011</v>
      </c>
      <c r="I419" s="201">
        <f t="shared" si="58"/>
        <v>6605.6123699999998</v>
      </c>
      <c r="J419" s="299"/>
    </row>
    <row r="420" spans="2:10" ht="28.8" x14ac:dyDescent="0.3">
      <c r="B420" s="197" t="s">
        <v>13722</v>
      </c>
      <c r="C420" s="197" t="s">
        <v>12</v>
      </c>
      <c r="D420" s="198" t="s">
        <v>13224</v>
      </c>
      <c r="E420" s="199" t="s">
        <v>13223</v>
      </c>
      <c r="F420" s="197" t="s">
        <v>2904</v>
      </c>
      <c r="G420" s="200">
        <f>+'MC Canais'!J517</f>
        <v>5400</v>
      </c>
      <c r="H420" s="200">
        <f>+'Composições de Preços'!$F$173</f>
        <v>26.052132569499999</v>
      </c>
      <c r="I420" s="201">
        <f t="shared" si="58"/>
        <v>140681.51587529999</v>
      </c>
      <c r="J420" s="299"/>
    </row>
    <row r="421" spans="2:10" ht="28.8" x14ac:dyDescent="0.3">
      <c r="B421" s="197" t="s">
        <v>13723</v>
      </c>
      <c r="C421" s="197" t="s">
        <v>13039</v>
      </c>
      <c r="D421" s="198" t="s">
        <v>6908</v>
      </c>
      <c r="E421" s="199" t="str">
        <f>VLOOKUP($D421,'Preços Unitários'!$B:$G,2,FALSE)</f>
        <v>Tubo de concreto perfurado produzido na obra para drenagem - D = 0,40 m - fornecimento e instalação</v>
      </c>
      <c r="F421" s="197" t="str">
        <f>VLOOKUP($D421,'Preços Unitários'!$B:$G,3,FALSE)</f>
        <v>m</v>
      </c>
      <c r="G421" s="200">
        <f>+'MC Canais'!J518</f>
        <v>2250</v>
      </c>
      <c r="H421" s="200">
        <f>VLOOKUP($D421,'Preços Unitários'!$B:$G,6,FALSE)</f>
        <v>116.764167</v>
      </c>
      <c r="I421" s="201">
        <f t="shared" si="58"/>
        <v>262719.37575000001</v>
      </c>
      <c r="J421" s="299"/>
    </row>
    <row r="422" spans="2:10" ht="28.8" x14ac:dyDescent="0.3">
      <c r="B422" s="197" t="s">
        <v>13724</v>
      </c>
      <c r="C422" s="197" t="s">
        <v>13039</v>
      </c>
      <c r="D422" s="198" t="s">
        <v>6438</v>
      </c>
      <c r="E422" s="199" t="str">
        <f>VLOOKUP($D422,'Preços Unitários'!$B:$G,2,FALSE)</f>
        <v>Lastro de brita comercial compactado com soquete vibratório - espalhamento manual</v>
      </c>
      <c r="F422" s="197" t="str">
        <f>VLOOKUP($D422,'Preços Unitários'!$B:$G,3,FALSE)</f>
        <v>m³</v>
      </c>
      <c r="G422" s="200">
        <f>+'MC Canais'!J519</f>
        <v>527.4</v>
      </c>
      <c r="H422" s="200">
        <f>VLOOKUP($D422,'Preços Unitários'!$B:$G,6,FALSE)</f>
        <v>239.34086200000002</v>
      </c>
      <c r="I422" s="201">
        <f t="shared" si="58"/>
        <v>126228.37061880001</v>
      </c>
      <c r="J422" s="299"/>
    </row>
    <row r="423" spans="2:10" x14ac:dyDescent="0.3">
      <c r="B423" s="197" t="s">
        <v>13725</v>
      </c>
      <c r="C423" s="197" t="s">
        <v>13039</v>
      </c>
      <c r="D423" s="206" t="s">
        <v>6430</v>
      </c>
      <c r="E423" s="199" t="str">
        <f>VLOOKUP($D423,'Preços Unitários'!$B:$G,2,FALSE)</f>
        <v>Lastro de areia comercial - espalhamento manual</v>
      </c>
      <c r="F423" s="197" t="str">
        <f>VLOOKUP($D423,'Preços Unitários'!$B:$G,3,FALSE)</f>
        <v>m³</v>
      </c>
      <c r="G423" s="200">
        <f>+'MC Canais'!J520</f>
        <v>270</v>
      </c>
      <c r="H423" s="200">
        <f>VLOOKUP($D423,'Preços Unitários'!$B:$G,6,FALSE)</f>
        <v>198.06439700000001</v>
      </c>
      <c r="I423" s="201">
        <f t="shared" si="58"/>
        <v>53477.387190000001</v>
      </c>
      <c r="J423" s="299"/>
    </row>
    <row r="424" spans="2:10" s="243" customFormat="1" ht="28.8" x14ac:dyDescent="0.3">
      <c r="B424" s="197" t="s">
        <v>13726</v>
      </c>
      <c r="C424" s="197" t="s">
        <v>13</v>
      </c>
      <c r="D424" s="198" t="s">
        <v>13</v>
      </c>
      <c r="E424" s="207" t="s">
        <v>13228</v>
      </c>
      <c r="F424" s="197"/>
      <c r="G424" s="200">
        <f>+'MC Canais'!J521</f>
        <v>0</v>
      </c>
      <c r="H424" s="201"/>
      <c r="I424" s="201"/>
      <c r="J424" s="299"/>
    </row>
    <row r="425" spans="2:10" ht="28.8" x14ac:dyDescent="0.3">
      <c r="B425" s="197" t="s">
        <v>13727</v>
      </c>
      <c r="C425" s="197" t="s">
        <v>13039</v>
      </c>
      <c r="D425" s="198" t="s">
        <v>6964</v>
      </c>
      <c r="E425" s="199" t="str">
        <f>VLOOKUP($D425,'Preços Unitários'!$B:$G,2,FALSE)</f>
        <v>Valeta de proteção de cortes com revestimento vegetal - VPCG 120-30 - escavação mecânica</v>
      </c>
      <c r="F425" s="197" t="str">
        <f>VLOOKUP($D425,'Preços Unitários'!$B:$G,3,FALSE)</f>
        <v>m</v>
      </c>
      <c r="G425" s="200">
        <f>+'MC Canais'!J522</f>
        <v>4500</v>
      </c>
      <c r="H425" s="200">
        <f>VLOOKUP($D425,'Preços Unitários'!$B:$G,6,FALSE)</f>
        <v>51.961995999999999</v>
      </c>
      <c r="I425" s="201">
        <f t="shared" ref="I425:I428" si="59">+G425*H425</f>
        <v>233828.98199999999</v>
      </c>
      <c r="J425" s="299"/>
    </row>
    <row r="426" spans="2:10" ht="28.8" x14ac:dyDescent="0.3">
      <c r="B426" s="197" t="s">
        <v>13728</v>
      </c>
      <c r="C426" s="197" t="s">
        <v>13039</v>
      </c>
      <c r="D426" s="198" t="s">
        <v>6744</v>
      </c>
      <c r="E426" s="199" t="str">
        <f>VLOOKUP($D426,'Preços Unitários'!$B:$G,2,FALSE)</f>
        <v>Sarjeta triangular de grama - STG 125-25 - escavação mecânica</v>
      </c>
      <c r="F426" s="197" t="str">
        <f>VLOOKUP($D426,'Preços Unitários'!$B:$G,3,FALSE)</f>
        <v>m</v>
      </c>
      <c r="G426" s="200">
        <f>+'MC Canais'!J523</f>
        <v>4500</v>
      </c>
      <c r="H426" s="200">
        <f>VLOOKUP($D426,'Preços Unitários'!$B:$G,6,FALSE)</f>
        <v>29.776679000000001</v>
      </c>
      <c r="I426" s="201">
        <f t="shared" si="59"/>
        <v>133995.05550000002</v>
      </c>
      <c r="J426" s="299"/>
    </row>
    <row r="427" spans="2:10" ht="28.8" x14ac:dyDescent="0.3">
      <c r="B427" s="197" t="s">
        <v>13729</v>
      </c>
      <c r="C427" s="197" t="s">
        <v>13039</v>
      </c>
      <c r="D427" s="198" t="s">
        <v>2740</v>
      </c>
      <c r="E427" s="199" t="str">
        <f>VLOOKUP($D427,'Preços Unitários'!$B:$G,2,FALSE)</f>
        <v>Corpo de BSTC D = 0,80 m PA1 - areia, brita e pedra de mão comerciais</v>
      </c>
      <c r="F427" s="197" t="str">
        <f>VLOOKUP($D427,'Preços Unitários'!$B:$G,3,FALSE)</f>
        <v>m</v>
      </c>
      <c r="G427" s="200">
        <f>+'MC Canais'!J524</f>
        <v>0</v>
      </c>
      <c r="H427" s="200">
        <f>VLOOKUP($D427,'Preços Unitários'!$B:$G,6,FALSE)</f>
        <v>799.67357200000004</v>
      </c>
      <c r="I427" s="201">
        <f t="shared" si="59"/>
        <v>0</v>
      </c>
      <c r="J427" s="299"/>
    </row>
    <row r="428" spans="2:10" ht="28.8" x14ac:dyDescent="0.3">
      <c r="B428" s="197" t="s">
        <v>13730</v>
      </c>
      <c r="C428" s="197" t="s">
        <v>13039</v>
      </c>
      <c r="D428" s="208" t="s">
        <v>2172</v>
      </c>
      <c r="E428" s="199" t="str">
        <f>VLOOKUP($D428,'Preços Unitários'!$B:$G,2,FALSE)</f>
        <v>Boca de BSTC D = 0,80 m - esconsidade 0° - areia e brita comerciais - alas retas</v>
      </c>
      <c r="F428" s="197" t="str">
        <f>VLOOKUP($D428,'Preços Unitários'!$B:$G,3,FALSE)</f>
        <v>un</v>
      </c>
      <c r="G428" s="200">
        <f>+'MC Canais'!J525</f>
        <v>0</v>
      </c>
      <c r="H428" s="200">
        <f>VLOOKUP($D428,'Preços Unitários'!$B:$G,6,FALSE)</f>
        <v>1606.687966</v>
      </c>
      <c r="I428" s="201">
        <f t="shared" si="59"/>
        <v>0</v>
      </c>
      <c r="J428" s="299"/>
    </row>
    <row r="429" spans="2:10" s="243" customFormat="1" x14ac:dyDescent="0.3">
      <c r="B429" s="197" t="s">
        <v>13731</v>
      </c>
      <c r="C429" s="197" t="s">
        <v>13</v>
      </c>
      <c r="D429" s="198" t="s">
        <v>13</v>
      </c>
      <c r="E429" s="207" t="s">
        <v>13230</v>
      </c>
      <c r="F429" s="197"/>
      <c r="G429" s="200">
        <f>+'MC Canais'!J526</f>
        <v>0</v>
      </c>
      <c r="H429" s="201"/>
      <c r="I429" s="201"/>
      <c r="J429" s="299"/>
    </row>
    <row r="430" spans="2:10" ht="28.8" x14ac:dyDescent="0.3">
      <c r="B430" s="197" t="s">
        <v>13732</v>
      </c>
      <c r="C430" s="197" t="s">
        <v>13039</v>
      </c>
      <c r="D430" s="198" t="s">
        <v>11088</v>
      </c>
      <c r="E430" s="199" t="str">
        <f>VLOOKUP($D430,'Preços Unitários'!$B:$G,2,FALSE)</f>
        <v>Escavação mecânica com retroescavadeira em material de 1ª categoria</v>
      </c>
      <c r="F430" s="197" t="str">
        <f>VLOOKUP($D430,'Preços Unitários'!$B:$G,3,FALSE)</f>
        <v>m³</v>
      </c>
      <c r="G430" s="200">
        <f>+'MC Canais'!J527</f>
        <v>2362.5</v>
      </c>
      <c r="H430" s="200">
        <f>VLOOKUP($D430,'Preços Unitários'!$B:$G,6,FALSE)</f>
        <v>8.7313189999999992</v>
      </c>
      <c r="I430" s="201">
        <f t="shared" ref="I430:I434" si="60">+G430*H430</f>
        <v>20627.741137499997</v>
      </c>
      <c r="J430" s="299"/>
    </row>
    <row r="431" spans="2:10" x14ac:dyDescent="0.3">
      <c r="B431" s="197" t="s">
        <v>13733</v>
      </c>
      <c r="C431" s="197" t="s">
        <v>13039</v>
      </c>
      <c r="D431" s="198" t="s">
        <v>11046</v>
      </c>
      <c r="E431" s="199" t="str">
        <f>VLOOKUP($D431,'Preços Unitários'!$B:$G,2,FALSE)</f>
        <v>Compactação de aterros a 100% do Proctor normal</v>
      </c>
      <c r="F431" s="197" t="str">
        <f>VLOOKUP($D431,'Preços Unitários'!$B:$G,3,FALSE)</f>
        <v>m³</v>
      </c>
      <c r="G431" s="200">
        <f>+'MC Canais'!J528</f>
        <v>1575</v>
      </c>
      <c r="H431" s="200">
        <f>VLOOKUP($D431,'Preços Unitários'!$B:$G,6,FALSE)</f>
        <v>7.1028090000000006</v>
      </c>
      <c r="I431" s="201">
        <f t="shared" si="60"/>
        <v>11186.924175</v>
      </c>
      <c r="J431" s="299"/>
    </row>
    <row r="432" spans="2:10" ht="28.8" x14ac:dyDescent="0.3">
      <c r="B432" s="197" t="s">
        <v>13734</v>
      </c>
      <c r="C432" s="197" t="s">
        <v>13039</v>
      </c>
      <c r="D432" s="198" t="s">
        <v>11947</v>
      </c>
      <c r="E432" s="199" t="str">
        <f>VLOOKUP($D432,'Preços Unitários'!$B:$G,2,FALSE)</f>
        <v>Transporte com caminhão basculante de 14 m³ - rodovia em leito natural</v>
      </c>
      <c r="F432" s="197" t="str">
        <f>VLOOKUP($D432,'Preços Unitários'!$B:$G,3,FALSE)</f>
        <v>tkm</v>
      </c>
      <c r="G432" s="200">
        <f>+'MC Canais'!J529</f>
        <v>787.5</v>
      </c>
      <c r="H432" s="200">
        <f>VLOOKUP($D432,'Preços Unitários'!$B:$G,6,FALSE)</f>
        <v>1.165011</v>
      </c>
      <c r="I432" s="201">
        <f t="shared" si="60"/>
        <v>917.44616250000001</v>
      </c>
      <c r="J432" s="297"/>
    </row>
    <row r="433" spans="1:10" x14ac:dyDescent="0.3">
      <c r="B433" s="197" t="s">
        <v>13735</v>
      </c>
      <c r="C433" s="197" t="s">
        <v>13039</v>
      </c>
      <c r="D433" s="198" t="s">
        <v>9440</v>
      </c>
      <c r="E433" s="199" t="str">
        <f>VLOOKUP($D433,'Preços Unitários'!$B:$G,2,FALSE)</f>
        <v>Regularização de superfície com motoniveladora</v>
      </c>
      <c r="F433" s="197" t="str">
        <f>VLOOKUP($D433,'Preços Unitários'!$B:$G,3,FALSE)</f>
        <v>m²</v>
      </c>
      <c r="G433" s="200">
        <f>+'MC Canais'!J530</f>
        <v>15750</v>
      </c>
      <c r="H433" s="200">
        <f>VLOOKUP($D433,'Preços Unitários'!$B:$G,6,FALSE)</f>
        <v>0.100216</v>
      </c>
      <c r="I433" s="201">
        <f t="shared" si="60"/>
        <v>1578.402</v>
      </c>
      <c r="J433" s="291"/>
    </row>
    <row r="434" spans="1:10" x14ac:dyDescent="0.3">
      <c r="B434" s="197" t="s">
        <v>13736</v>
      </c>
      <c r="C434" s="197" t="s">
        <v>12</v>
      </c>
      <c r="D434" s="198" t="s">
        <v>13232</v>
      </c>
      <c r="E434" s="199" t="s">
        <v>13231</v>
      </c>
      <c r="F434" s="197" t="s">
        <v>427</v>
      </c>
      <c r="G434" s="200">
        <f>+'MC Canais'!J531</f>
        <v>1181.25</v>
      </c>
      <c r="H434" s="200">
        <f>+'Composições de Preços'!$F$216</f>
        <v>214.40019935426301</v>
      </c>
      <c r="I434" s="201">
        <f t="shared" si="60"/>
        <v>253260.23548722317</v>
      </c>
      <c r="J434" s="297"/>
    </row>
    <row r="435" spans="1:10" s="243" customFormat="1" x14ac:dyDescent="0.3">
      <c r="B435" s="197" t="s">
        <v>13737</v>
      </c>
      <c r="C435" s="197" t="s">
        <v>13</v>
      </c>
      <c r="D435" s="198" t="s">
        <v>13</v>
      </c>
      <c r="E435" s="207" t="s">
        <v>13386</v>
      </c>
      <c r="F435" s="197"/>
      <c r="G435" s="200">
        <f>+'MC Canais'!J532</f>
        <v>0</v>
      </c>
      <c r="H435" s="201"/>
      <c r="I435" s="201"/>
      <c r="J435" s="299"/>
    </row>
    <row r="436" spans="1:10" ht="28.8" x14ac:dyDescent="0.3">
      <c r="B436" s="197" t="s">
        <v>13738</v>
      </c>
      <c r="C436" s="197" t="s">
        <v>13039</v>
      </c>
      <c r="D436" s="198" t="s">
        <v>8625</v>
      </c>
      <c r="E436" s="199" t="str">
        <f>VLOOKUP($D436,'Preços Unitários'!$B:$G,2,FALSE)</f>
        <v>Cerca com 4 fios de arame liso galvanizado e mourão de madeira a cada 2,5 m e esticador a cada 50 m</v>
      </c>
      <c r="F436" s="197" t="str">
        <f>VLOOKUP($D436,'Preços Unitários'!$B:$G,3,FALSE)</f>
        <v>m</v>
      </c>
      <c r="G436" s="200">
        <f>+'MC Canais'!J533</f>
        <v>4500</v>
      </c>
      <c r="H436" s="200">
        <f>VLOOKUP($D436,'Preços Unitários'!$B:$G,6,FALSE)</f>
        <v>27.146009000000003</v>
      </c>
      <c r="I436" s="201">
        <f t="shared" ref="I436" si="61">+G436*H436</f>
        <v>122157.04050000002</v>
      </c>
      <c r="J436" s="299"/>
    </row>
    <row r="437" spans="1:10" x14ac:dyDescent="0.3">
      <c r="A437" s="42" t="s">
        <v>14478</v>
      </c>
      <c r="B437" s="209" t="s">
        <v>13063</v>
      </c>
      <c r="C437" s="209" t="s">
        <v>13</v>
      </c>
      <c r="D437" s="210" t="s">
        <v>13</v>
      </c>
      <c r="E437" s="211" t="s">
        <v>13078</v>
      </c>
      <c r="F437" s="209" t="s">
        <v>13</v>
      </c>
      <c r="G437" s="212">
        <v>0</v>
      </c>
      <c r="H437" s="212">
        <v>0</v>
      </c>
      <c r="I437" s="212">
        <f>SUM(I438:I473)</f>
        <v>10736194.207752254</v>
      </c>
      <c r="J437" s="284" t="s">
        <v>14478</v>
      </c>
    </row>
    <row r="438" spans="1:10" x14ac:dyDescent="0.3">
      <c r="B438" s="202" t="s">
        <v>13739</v>
      </c>
      <c r="C438" s="202" t="s">
        <v>13</v>
      </c>
      <c r="D438" s="203" t="s">
        <v>13</v>
      </c>
      <c r="E438" s="204" t="s">
        <v>13203</v>
      </c>
      <c r="F438" s="202"/>
      <c r="G438" s="205"/>
      <c r="H438" s="205"/>
      <c r="I438" s="205"/>
      <c r="J438" s="299"/>
    </row>
    <row r="439" spans="1:10" ht="28.8" x14ac:dyDescent="0.3">
      <c r="B439" s="197" t="s">
        <v>13740</v>
      </c>
      <c r="C439" s="197" t="s">
        <v>13039</v>
      </c>
      <c r="D439" s="198" t="s">
        <v>11052</v>
      </c>
      <c r="E439" s="199" t="str">
        <f>VLOOKUP($D439,'Preços Unitários'!$B:$G,2,FALSE)</f>
        <v>Desmatamento, destocamento e limpeza de área com árvores de diâmetro até 0,15 m</v>
      </c>
      <c r="F439" s="197" t="str">
        <f>VLOOKUP($D439,'Preços Unitários'!$B:$G,3,FALSE)</f>
        <v>m²</v>
      </c>
      <c r="G439" s="200">
        <f>+'MC Canais'!J537</f>
        <v>189880</v>
      </c>
      <c r="H439" s="200">
        <f>VLOOKUP($D439,'Preços Unitários'!$B:$G,6,FALSE)</f>
        <v>0.87688999999999995</v>
      </c>
      <c r="I439" s="201">
        <f>+G439*H439</f>
        <v>166503.8732</v>
      </c>
      <c r="J439" s="299"/>
    </row>
    <row r="440" spans="1:10" ht="43.2" x14ac:dyDescent="0.3">
      <c r="B440" s="197" t="s">
        <v>13741</v>
      </c>
      <c r="C440" s="197" t="s">
        <v>13039</v>
      </c>
      <c r="D440" s="198" t="s">
        <v>11092</v>
      </c>
      <c r="E440" s="199" t="str">
        <f>VLOOKUP($D440,'Preços Unitários'!$B:$G,2,FALSE)</f>
        <v>Escavação, carga e transporte de material de 1ª categoria - DMT de 1.000 a 1.200 m - caminho de serviço em leito natural - com escavadeira e caminhão basculante de 14 m³</v>
      </c>
      <c r="F440" s="197" t="str">
        <f>VLOOKUP($D440,'Preços Unitários'!$B:$G,3,FALSE)</f>
        <v>m³</v>
      </c>
      <c r="G440" s="200">
        <f>+'MC Canais'!J538</f>
        <v>14982.62</v>
      </c>
      <c r="H440" s="200">
        <f>VLOOKUP($D440,'Preços Unitários'!$B:$G,6,FALSE)</f>
        <v>10.673003999999999</v>
      </c>
      <c r="I440" s="201">
        <f t="shared" ref="I440:I452" si="62">+G440*H440</f>
        <v>159909.56319048</v>
      </c>
      <c r="J440" s="299"/>
    </row>
    <row r="441" spans="1:10" x14ac:dyDescent="0.3">
      <c r="B441" s="197" t="s">
        <v>13742</v>
      </c>
      <c r="C441" s="197" t="s">
        <v>13039</v>
      </c>
      <c r="D441" s="198" t="s">
        <v>11046</v>
      </c>
      <c r="E441" s="213" t="str">
        <f>VLOOKUP($D441,'Preços Unitários'!$B:$G,2,FALSE)</f>
        <v>Compactação de aterros a 100% do Proctor normal</v>
      </c>
      <c r="F441" s="197" t="str">
        <f>VLOOKUP($D441,'Preços Unitários'!$B:$G,3,FALSE)</f>
        <v>m³</v>
      </c>
      <c r="G441" s="200">
        <f>+'MC Canais'!J539</f>
        <v>58408.31</v>
      </c>
      <c r="H441" s="200">
        <f>VLOOKUP($D441,'Preços Unitários'!$B:$G,6,FALSE)</f>
        <v>7.1028090000000006</v>
      </c>
      <c r="I441" s="201">
        <f t="shared" si="62"/>
        <v>414863.06994279003</v>
      </c>
      <c r="J441" s="299"/>
    </row>
    <row r="442" spans="1:10" ht="28.8" x14ac:dyDescent="0.3">
      <c r="B442" s="197" t="s">
        <v>13743</v>
      </c>
      <c r="C442" s="197" t="s">
        <v>13039</v>
      </c>
      <c r="D442" s="198" t="s">
        <v>11947</v>
      </c>
      <c r="E442" s="199" t="str">
        <f>VLOOKUP($D442,'Preços Unitários'!$B:$G,2,FALSE)</f>
        <v>Transporte com caminhão basculante de 14 m³ - rodovia em leito natural</v>
      </c>
      <c r="F442" s="197" t="str">
        <f>VLOOKUP($D442,'Preços Unitários'!$B:$G,3,FALSE)</f>
        <v>tkm</v>
      </c>
      <c r="G442" s="200">
        <f>+'MC Canais'!J540</f>
        <v>303979.82999999996</v>
      </c>
      <c r="H442" s="200">
        <f>VLOOKUP($D442,'Preços Unitários'!$B:$G,6,FALSE)</f>
        <v>1.165011</v>
      </c>
      <c r="I442" s="201">
        <f t="shared" si="62"/>
        <v>354139.84572812996</v>
      </c>
      <c r="J442" s="299"/>
    </row>
    <row r="443" spans="1:10" x14ac:dyDescent="0.3">
      <c r="B443" s="197" t="s">
        <v>13744</v>
      </c>
      <c r="C443" s="197" t="s">
        <v>13039</v>
      </c>
      <c r="D443" s="198" t="s">
        <v>9440</v>
      </c>
      <c r="E443" s="199" t="str">
        <f>VLOOKUP($D443,'Preços Unitários'!$B:$G,2,FALSE)</f>
        <v>Regularização de superfície com motoniveladora</v>
      </c>
      <c r="F443" s="197" t="str">
        <f>VLOOKUP($D443,'Preços Unitários'!$B:$G,3,FALSE)</f>
        <v>m²</v>
      </c>
      <c r="G443" s="200">
        <f>+'MC Canais'!J541</f>
        <v>3797.6000000000004</v>
      </c>
      <c r="H443" s="200">
        <f>VLOOKUP($D443,'Preços Unitários'!$B:$G,6,FALSE)</f>
        <v>0.100216</v>
      </c>
      <c r="I443" s="201">
        <f>+G443*H443</f>
        <v>380.58028160000003</v>
      </c>
      <c r="J443" s="299"/>
    </row>
    <row r="444" spans="1:10" ht="28.8" x14ac:dyDescent="0.3">
      <c r="B444" s="197" t="s">
        <v>13745</v>
      </c>
      <c r="C444" s="197" t="s">
        <v>12</v>
      </c>
      <c r="D444" s="198" t="s">
        <v>13205</v>
      </c>
      <c r="E444" s="199" t="s">
        <v>13204</v>
      </c>
      <c r="F444" s="197" t="s">
        <v>2904</v>
      </c>
      <c r="G444" s="200">
        <f>+'MC Canais'!J542</f>
        <v>6396</v>
      </c>
      <c r="H444" s="200">
        <f>+'Composições de Preços'!$F$87</f>
        <v>59.387948601153852</v>
      </c>
      <c r="I444" s="201">
        <f t="shared" si="62"/>
        <v>379845.31925298006</v>
      </c>
      <c r="J444" s="299"/>
    </row>
    <row r="445" spans="1:10" ht="28.8" x14ac:dyDescent="0.3">
      <c r="B445" s="197" t="s">
        <v>13746</v>
      </c>
      <c r="C445" s="197" t="s">
        <v>12</v>
      </c>
      <c r="D445" s="198" t="s">
        <v>14504</v>
      </c>
      <c r="E445" s="199" t="s">
        <v>14497</v>
      </c>
      <c r="F445" s="197" t="s">
        <v>427</v>
      </c>
      <c r="G445" s="200">
        <f>+'MC Canais'!J543</f>
        <v>5117</v>
      </c>
      <c r="H445" s="200">
        <f>+'Composições de Preços'!$F$446</f>
        <v>99.894988108799993</v>
      </c>
      <c r="I445" s="201">
        <f t="shared" si="62"/>
        <v>511162.65415272955</v>
      </c>
      <c r="J445" s="299"/>
    </row>
    <row r="446" spans="1:10" ht="28.8" x14ac:dyDescent="0.3">
      <c r="B446" s="197" t="s">
        <v>13747</v>
      </c>
      <c r="C446" s="197" t="s">
        <v>12</v>
      </c>
      <c r="D446" s="198" t="s">
        <v>13192</v>
      </c>
      <c r="E446" s="199" t="s">
        <v>13191</v>
      </c>
      <c r="F446" s="197" t="s">
        <v>2904</v>
      </c>
      <c r="G446" s="200">
        <f>+'MC Canais'!J544</f>
        <v>25585</v>
      </c>
      <c r="H446" s="200">
        <f>+'Composições de Preços'!$F$44</f>
        <v>73.117919302000004</v>
      </c>
      <c r="I446" s="201">
        <f t="shared" si="62"/>
        <v>1870721.9653416702</v>
      </c>
      <c r="J446" s="297"/>
    </row>
    <row r="447" spans="1:10" ht="28.8" x14ac:dyDescent="0.3">
      <c r="B447" s="197" t="s">
        <v>13748</v>
      </c>
      <c r="C447" s="197" t="s">
        <v>12</v>
      </c>
      <c r="D447" s="198" t="s">
        <v>14506</v>
      </c>
      <c r="E447" s="199" t="s">
        <v>14505</v>
      </c>
      <c r="F447" s="197" t="s">
        <v>427</v>
      </c>
      <c r="G447" s="200">
        <f>+'MC Canais'!J545</f>
        <v>9494</v>
      </c>
      <c r="H447" s="200">
        <f>+'Composições de Preços'!$F$492</f>
        <v>107.93859485200001</v>
      </c>
      <c r="I447" s="201">
        <f t="shared" si="62"/>
        <v>1024769.0195248881</v>
      </c>
      <c r="J447" s="299"/>
    </row>
    <row r="448" spans="1:10" ht="28.8" x14ac:dyDescent="0.3">
      <c r="B448" s="197" t="s">
        <v>14521</v>
      </c>
      <c r="C448" s="197" t="s">
        <v>13039</v>
      </c>
      <c r="D448" s="198" t="s">
        <v>3149</v>
      </c>
      <c r="E448" s="199" t="str">
        <f>VLOOKUP($D448,'Preços Unitários'!$B:$G,2,FALSE)</f>
        <v>Concreto para bombeamento fck = 30 MPa - confecção em central dosadora de 30 m³/h - areia e brita comerciais</v>
      </c>
      <c r="F448" s="197" t="str">
        <f>VLOOKUP($D448,'Preços Unitários'!$B:$G,3,FALSE)</f>
        <v>m³</v>
      </c>
      <c r="G448" s="200">
        <f>+'MC Canais'!J546</f>
        <v>1790.9500000000003</v>
      </c>
      <c r="H448" s="200">
        <f>VLOOKUP($D448,'Preços Unitários'!$B:$G,6,FALSE)</f>
        <v>575.92882499999996</v>
      </c>
      <c r="I448" s="201">
        <f t="shared" si="62"/>
        <v>1031459.7291337501</v>
      </c>
      <c r="J448" s="299"/>
    </row>
    <row r="449" spans="2:10" ht="43.2" x14ac:dyDescent="0.3">
      <c r="B449" s="197" t="s">
        <v>13749</v>
      </c>
      <c r="C449" s="197" t="s">
        <v>13039</v>
      </c>
      <c r="D449" s="198" t="s">
        <v>3201</v>
      </c>
      <c r="E449" s="199" t="str">
        <f>VLOOKUP($D449,'Preços Unitários'!$B:$G,2,FALSE)</f>
        <v>Lançamento mecânico de concreto com bomba rebocável com capacidade de 30 m³/h - confecção em central dosadora de 30 m³/h</v>
      </c>
      <c r="F449" s="197" t="str">
        <f>VLOOKUP($D449,'Preços Unitários'!$B:$G,3,FALSE)</f>
        <v>m³</v>
      </c>
      <c r="G449" s="200">
        <f>+'MC Canais'!J547</f>
        <v>1790.9500000000003</v>
      </c>
      <c r="H449" s="200">
        <f>VLOOKUP($D449,'Preços Unitários'!$B:$G,6,FALSE)</f>
        <v>86.285976000000005</v>
      </c>
      <c r="I449" s="201">
        <f t="shared" si="62"/>
        <v>154533.86871720004</v>
      </c>
      <c r="J449" s="299"/>
    </row>
    <row r="450" spans="2:10" ht="28.8" x14ac:dyDescent="0.3">
      <c r="B450" s="197" t="s">
        <v>14522</v>
      </c>
      <c r="C450" s="197" t="s">
        <v>13039</v>
      </c>
      <c r="D450" s="198" t="s">
        <v>206</v>
      </c>
      <c r="E450" s="199" t="str">
        <f>VLOOKUP($D450,'Preços Unitários'!$B:$G,2,FALSE)</f>
        <v>Lábios poliméricos em junta de pavimento de concreto - L = 20 mm e H = 30 mm - confecção e assentamento</v>
      </c>
      <c r="F450" s="197" t="str">
        <f>VLOOKUP($D450,'Preços Unitários'!$B:$G,3,FALSE)</f>
        <v>m</v>
      </c>
      <c r="G450" s="200">
        <f>+'MC Canais'!J548</f>
        <v>19434.218000000001</v>
      </c>
      <c r="H450" s="200">
        <f>VLOOKUP($D450,'Preços Unitários'!$B:$G,6,FALSE)</f>
        <v>39.635428000000005</v>
      </c>
      <c r="I450" s="201">
        <f t="shared" si="62"/>
        <v>770283.54827530414</v>
      </c>
      <c r="J450" s="299"/>
    </row>
    <row r="451" spans="2:10" x14ac:dyDescent="0.3">
      <c r="B451" s="197" t="s">
        <v>14523</v>
      </c>
      <c r="C451" s="197" t="s">
        <v>12</v>
      </c>
      <c r="D451" s="198" t="s">
        <v>13209</v>
      </c>
      <c r="E451" s="199" t="s">
        <v>13208</v>
      </c>
      <c r="F451" s="197" t="s">
        <v>195</v>
      </c>
      <c r="G451" s="200">
        <f>+'MC Canais'!J549</f>
        <v>9494</v>
      </c>
      <c r="H451" s="200">
        <f>+'Composições de Preços'!$F$130</f>
        <v>37.70076957596789</v>
      </c>
      <c r="I451" s="201">
        <f t="shared" si="62"/>
        <v>357931.10635423916</v>
      </c>
      <c r="J451" s="299"/>
    </row>
    <row r="452" spans="2:10" ht="28.8" x14ac:dyDescent="0.3">
      <c r="B452" s="197" t="s">
        <v>14584</v>
      </c>
      <c r="C452" s="197" t="s">
        <v>13039</v>
      </c>
      <c r="D452" s="198" t="s">
        <v>9446</v>
      </c>
      <c r="E452" s="199" t="str">
        <f>VLOOKUP($D452,'Preços Unitários'!$B:$G,2,FALSE)</f>
        <v>Revestimento vegetal com grama em mudas em superfícies inclinadas</v>
      </c>
      <c r="F452" s="197" t="str">
        <f>VLOOKUP($D452,'Preços Unitários'!$B:$G,3,FALSE)</f>
        <v>m²</v>
      </c>
      <c r="G452" s="200">
        <f>+'MC Canais'!J550</f>
        <v>56964</v>
      </c>
      <c r="H452" s="200">
        <f>VLOOKUP($D452,'Preços Unitários'!$B:$G,6,FALSE)</f>
        <v>9.984019</v>
      </c>
      <c r="I452" s="201">
        <f t="shared" si="62"/>
        <v>568729.65831600002</v>
      </c>
      <c r="J452" s="299"/>
    </row>
    <row r="453" spans="2:10" x14ac:dyDescent="0.3">
      <c r="B453" s="202" t="s">
        <v>13750</v>
      </c>
      <c r="C453" s="202" t="s">
        <v>13</v>
      </c>
      <c r="D453" s="203" t="s">
        <v>13</v>
      </c>
      <c r="E453" s="204" t="s">
        <v>13222</v>
      </c>
      <c r="F453" s="202"/>
      <c r="G453" s="200">
        <f>+'MC Canais'!J551</f>
        <v>0</v>
      </c>
      <c r="H453" s="205"/>
      <c r="I453" s="205"/>
      <c r="J453" s="299"/>
    </row>
    <row r="454" spans="2:10" x14ac:dyDescent="0.3">
      <c r="B454" s="197" t="s">
        <v>13751</v>
      </c>
      <c r="C454" s="197" t="s">
        <v>13039</v>
      </c>
      <c r="D454" s="198" t="s">
        <v>9806</v>
      </c>
      <c r="E454" s="199" t="str">
        <f>VLOOKUP($D454,'Preços Unitários'!$B:$G,2,FALSE)</f>
        <v>Escavação mecânica de vala em material de 1ª categoria</v>
      </c>
      <c r="F454" s="197" t="str">
        <f>VLOOKUP($D454,'Preços Unitários'!$B:$G,3,FALSE)</f>
        <v>m³</v>
      </c>
      <c r="G454" s="200">
        <f>+'MC Canais'!J552</f>
        <v>3987.4799999999996</v>
      </c>
      <c r="H454" s="200">
        <f>VLOOKUP($D454,'Preços Unitários'!$B:$G,6,FALSE)</f>
        <v>8.7313189999999992</v>
      </c>
      <c r="I454" s="201">
        <f t="shared" ref="I454:I460" si="63">+G454*H454</f>
        <v>34815.959886119992</v>
      </c>
      <c r="J454" s="299"/>
    </row>
    <row r="455" spans="2:10" x14ac:dyDescent="0.3">
      <c r="B455" s="197" t="s">
        <v>13752</v>
      </c>
      <c r="C455" s="197" t="s">
        <v>13039</v>
      </c>
      <c r="D455" s="198" t="s">
        <v>9830</v>
      </c>
      <c r="E455" s="199" t="str">
        <f>VLOOKUP($D455,'Preços Unitários'!$B:$G,2,FALSE)</f>
        <v>Reaterro e compactação com soquete vibratório</v>
      </c>
      <c r="F455" s="197" t="str">
        <f>VLOOKUP($D455,'Preços Unitários'!$B:$G,3,FALSE)</f>
        <v>m³</v>
      </c>
      <c r="G455" s="200">
        <f>+'MC Canais'!J553</f>
        <v>2278.5599999999995</v>
      </c>
      <c r="H455" s="200">
        <f>VLOOKUP($D455,'Preços Unitários'!$B:$G,6,FALSE)</f>
        <v>22.611235000000001</v>
      </c>
      <c r="I455" s="201">
        <f t="shared" si="63"/>
        <v>51521.05562159999</v>
      </c>
      <c r="J455" s="299"/>
    </row>
    <row r="456" spans="2:10" ht="28.8" x14ac:dyDescent="0.3">
      <c r="B456" s="197" t="s">
        <v>13753</v>
      </c>
      <c r="C456" s="197" t="s">
        <v>13039</v>
      </c>
      <c r="D456" s="198" t="s">
        <v>11947</v>
      </c>
      <c r="E456" s="199" t="str">
        <f>VLOOKUP($D456,'Preços Unitários'!$B:$G,2,FALSE)</f>
        <v>Transporte com caminhão basculante de 14 m³ - rodovia em leito natural</v>
      </c>
      <c r="F456" s="197" t="str">
        <f>VLOOKUP($D456,'Preços Unitários'!$B:$G,3,FALSE)</f>
        <v>tkm</v>
      </c>
      <c r="G456" s="200">
        <f>+'MC Canais'!J554</f>
        <v>11962.439999999999</v>
      </c>
      <c r="H456" s="200">
        <f>VLOOKUP($D456,'Preços Unitários'!$B:$G,6,FALSE)</f>
        <v>1.165011</v>
      </c>
      <c r="I456" s="201">
        <f t="shared" si="63"/>
        <v>13936.374186839999</v>
      </c>
      <c r="J456" s="299"/>
    </row>
    <row r="457" spans="2:10" ht="28.8" x14ac:dyDescent="0.3">
      <c r="B457" s="197" t="s">
        <v>13754</v>
      </c>
      <c r="C457" s="197" t="s">
        <v>12</v>
      </c>
      <c r="D457" s="198" t="s">
        <v>13224</v>
      </c>
      <c r="E457" s="199" t="s">
        <v>13223</v>
      </c>
      <c r="F457" s="197" t="s">
        <v>2904</v>
      </c>
      <c r="G457" s="200">
        <f>+'MC Canais'!J555</f>
        <v>11392.8</v>
      </c>
      <c r="H457" s="200">
        <f>+'Composições de Preços'!$F$173</f>
        <v>26.052132569499999</v>
      </c>
      <c r="I457" s="201">
        <f t="shared" si="63"/>
        <v>296806.73593779956</v>
      </c>
      <c r="J457" s="299"/>
    </row>
    <row r="458" spans="2:10" ht="28.8" x14ac:dyDescent="0.3">
      <c r="B458" s="197" t="s">
        <v>13755</v>
      </c>
      <c r="C458" s="197" t="s">
        <v>13039</v>
      </c>
      <c r="D458" s="198" t="s">
        <v>6908</v>
      </c>
      <c r="E458" s="199" t="str">
        <f>VLOOKUP($D458,'Preços Unitários'!$B:$G,2,FALSE)</f>
        <v>Tubo de concreto perfurado produzido na obra para drenagem - D = 0,40 m - fornecimento e instalação</v>
      </c>
      <c r="F458" s="197" t="str">
        <f>VLOOKUP($D458,'Preços Unitários'!$B:$G,3,FALSE)</f>
        <v>m</v>
      </c>
      <c r="G458" s="200">
        <f>+'MC Canais'!J556</f>
        <v>4747</v>
      </c>
      <c r="H458" s="200">
        <f>VLOOKUP($D458,'Preços Unitários'!$B:$G,6,FALSE)</f>
        <v>116.764167</v>
      </c>
      <c r="I458" s="201">
        <f t="shared" si="63"/>
        <v>554279.500749</v>
      </c>
      <c r="J458" s="299"/>
    </row>
    <row r="459" spans="2:10" ht="28.8" x14ac:dyDescent="0.3">
      <c r="B459" s="197" t="s">
        <v>13756</v>
      </c>
      <c r="C459" s="197" t="s">
        <v>13039</v>
      </c>
      <c r="D459" s="198" t="s">
        <v>6438</v>
      </c>
      <c r="E459" s="199" t="str">
        <f>VLOOKUP($D459,'Preços Unitários'!$B:$G,2,FALSE)</f>
        <v>Lastro de brita comercial compactado com soquete vibratório - espalhamento manual</v>
      </c>
      <c r="F459" s="197" t="str">
        <f>VLOOKUP($D459,'Preços Unitários'!$B:$G,3,FALSE)</f>
        <v>m³</v>
      </c>
      <c r="G459" s="200">
        <f>+'MC Canais'!J557</f>
        <v>1112.6967999999997</v>
      </c>
      <c r="H459" s="200">
        <f>VLOOKUP($D459,'Preços Unitários'!$B:$G,6,FALSE)</f>
        <v>239.34086200000002</v>
      </c>
      <c r="I459" s="201">
        <f t="shared" si="63"/>
        <v>266313.81125664152</v>
      </c>
      <c r="J459" s="299"/>
    </row>
    <row r="460" spans="2:10" x14ac:dyDescent="0.3">
      <c r="B460" s="197" t="s">
        <v>13757</v>
      </c>
      <c r="C460" s="197" t="s">
        <v>13039</v>
      </c>
      <c r="D460" s="206" t="s">
        <v>6430</v>
      </c>
      <c r="E460" s="199" t="str">
        <f>VLOOKUP($D460,'Preços Unitários'!$B:$G,2,FALSE)</f>
        <v>Lastro de areia comercial - espalhamento manual</v>
      </c>
      <c r="F460" s="197" t="str">
        <f>VLOOKUP($D460,'Preços Unitários'!$B:$G,3,FALSE)</f>
        <v>m³</v>
      </c>
      <c r="G460" s="200">
        <f>+'MC Canais'!J558</f>
        <v>569.64</v>
      </c>
      <c r="H460" s="200">
        <f>VLOOKUP($D460,'Preços Unitários'!$B:$G,6,FALSE)</f>
        <v>198.06439700000001</v>
      </c>
      <c r="I460" s="201">
        <f t="shared" si="63"/>
        <v>112825.40310708001</v>
      </c>
      <c r="J460" s="299"/>
    </row>
    <row r="461" spans="2:10" s="243" customFormat="1" ht="28.8" x14ac:dyDescent="0.3">
      <c r="B461" s="197" t="s">
        <v>13758</v>
      </c>
      <c r="C461" s="197" t="s">
        <v>13</v>
      </c>
      <c r="D461" s="198" t="s">
        <v>13</v>
      </c>
      <c r="E461" s="207" t="s">
        <v>13228</v>
      </c>
      <c r="F461" s="197"/>
      <c r="G461" s="200">
        <f>+'MC Canais'!J559</f>
        <v>0</v>
      </c>
      <c r="H461" s="201"/>
      <c r="I461" s="201"/>
      <c r="J461" s="299"/>
    </row>
    <row r="462" spans="2:10" ht="28.8" x14ac:dyDescent="0.3">
      <c r="B462" s="197" t="s">
        <v>13759</v>
      </c>
      <c r="C462" s="197" t="s">
        <v>13039</v>
      </c>
      <c r="D462" s="198" t="s">
        <v>6964</v>
      </c>
      <c r="E462" s="199" t="str">
        <f>VLOOKUP($D462,'Preços Unitários'!$B:$G,2,FALSE)</f>
        <v>Valeta de proteção de cortes com revestimento vegetal - VPCG 120-30 - escavação mecânica</v>
      </c>
      <c r="F462" s="197" t="str">
        <f>VLOOKUP($D462,'Preços Unitários'!$B:$G,3,FALSE)</f>
        <v>m</v>
      </c>
      <c r="G462" s="200">
        <f>+'MC Canais'!J560</f>
        <v>9494</v>
      </c>
      <c r="H462" s="200">
        <f>VLOOKUP($D462,'Preços Unitários'!$B:$G,6,FALSE)</f>
        <v>51.961995999999999</v>
      </c>
      <c r="I462" s="201">
        <f t="shared" ref="I462:I465" si="64">+G462*H462</f>
        <v>493327.19002400001</v>
      </c>
      <c r="J462" s="299"/>
    </row>
    <row r="463" spans="2:10" ht="28.8" x14ac:dyDescent="0.3">
      <c r="B463" s="197" t="s">
        <v>13760</v>
      </c>
      <c r="C463" s="197" t="s">
        <v>13039</v>
      </c>
      <c r="D463" s="198" t="s">
        <v>6744</v>
      </c>
      <c r="E463" s="199" t="str">
        <f>VLOOKUP($D463,'Preços Unitários'!$B:$G,2,FALSE)</f>
        <v>Sarjeta triangular de grama - STG 125-25 - escavação mecânica</v>
      </c>
      <c r="F463" s="197" t="str">
        <f>VLOOKUP($D463,'Preços Unitários'!$B:$G,3,FALSE)</f>
        <v>m</v>
      </c>
      <c r="G463" s="200">
        <f>+'MC Canais'!J561</f>
        <v>9494</v>
      </c>
      <c r="H463" s="200">
        <f>VLOOKUP($D463,'Preços Unitários'!$B:$G,6,FALSE)</f>
        <v>29.776679000000001</v>
      </c>
      <c r="I463" s="201">
        <f t="shared" si="64"/>
        <v>282699.79042600002</v>
      </c>
      <c r="J463" s="299"/>
    </row>
    <row r="464" spans="2:10" ht="28.8" x14ac:dyDescent="0.3">
      <c r="B464" s="197" t="s">
        <v>13761</v>
      </c>
      <c r="C464" s="197" t="s">
        <v>13039</v>
      </c>
      <c r="D464" s="198" t="s">
        <v>2740</v>
      </c>
      <c r="E464" s="199" t="str">
        <f>VLOOKUP($D464,'Preços Unitários'!$B:$G,2,FALSE)</f>
        <v>Corpo de BSTC D = 0,80 m PA1 - areia, brita e pedra de mão comerciais</v>
      </c>
      <c r="F464" s="197" t="str">
        <f>VLOOKUP($D464,'Preços Unitários'!$B:$G,3,FALSE)</f>
        <v>m</v>
      </c>
      <c r="G464" s="200">
        <f>+'MC Canais'!J562</f>
        <v>0</v>
      </c>
      <c r="H464" s="200">
        <f>VLOOKUP($D464,'Preços Unitários'!$B:$G,6,FALSE)</f>
        <v>799.67357200000004</v>
      </c>
      <c r="I464" s="201">
        <f t="shared" si="64"/>
        <v>0</v>
      </c>
      <c r="J464" s="299"/>
    </row>
    <row r="465" spans="1:10" ht="28.8" x14ac:dyDescent="0.3">
      <c r="B465" s="197" t="s">
        <v>13762</v>
      </c>
      <c r="C465" s="197" t="s">
        <v>13039</v>
      </c>
      <c r="D465" s="208" t="s">
        <v>2172</v>
      </c>
      <c r="E465" s="199" t="str">
        <f>VLOOKUP($D465,'Preços Unitários'!$B:$G,2,FALSE)</f>
        <v>Boca de BSTC D = 0,80 m - esconsidade 0° - areia e brita comerciais - alas retas</v>
      </c>
      <c r="F465" s="197" t="str">
        <f>VLOOKUP($D465,'Preços Unitários'!$B:$G,3,FALSE)</f>
        <v>un</v>
      </c>
      <c r="G465" s="200">
        <f>+'MC Canais'!J563</f>
        <v>0</v>
      </c>
      <c r="H465" s="200">
        <f>VLOOKUP($D465,'Preços Unitários'!$B:$G,6,FALSE)</f>
        <v>1606.687966</v>
      </c>
      <c r="I465" s="201">
        <f t="shared" si="64"/>
        <v>0</v>
      </c>
      <c r="J465" s="299"/>
    </row>
    <row r="466" spans="1:10" s="243" customFormat="1" x14ac:dyDescent="0.3">
      <c r="B466" s="197" t="s">
        <v>13763</v>
      </c>
      <c r="C466" s="197" t="s">
        <v>13</v>
      </c>
      <c r="D466" s="198" t="s">
        <v>13</v>
      </c>
      <c r="E466" s="207" t="s">
        <v>13230</v>
      </c>
      <c r="F466" s="197"/>
      <c r="G466" s="200">
        <f>+'MC Canais'!J564</f>
        <v>0</v>
      </c>
      <c r="H466" s="201"/>
      <c r="I466" s="201"/>
      <c r="J466" s="299"/>
    </row>
    <row r="467" spans="1:10" ht="28.8" x14ac:dyDescent="0.3">
      <c r="B467" s="197" t="s">
        <v>13764</v>
      </c>
      <c r="C467" s="197" t="s">
        <v>13039</v>
      </c>
      <c r="D467" s="198" t="s">
        <v>11088</v>
      </c>
      <c r="E467" s="199" t="str">
        <f>VLOOKUP($D467,'Preços Unitários'!$B:$G,2,FALSE)</f>
        <v>Escavação mecânica com retroescavadeira em material de 1ª categoria</v>
      </c>
      <c r="F467" s="197" t="str">
        <f>VLOOKUP($D467,'Preços Unitários'!$B:$G,3,FALSE)</f>
        <v>m³</v>
      </c>
      <c r="G467" s="200">
        <f>+'MC Canais'!J565</f>
        <v>4984.3499999999995</v>
      </c>
      <c r="H467" s="200">
        <f>VLOOKUP($D467,'Preços Unitários'!$B:$G,6,FALSE)</f>
        <v>8.7313189999999992</v>
      </c>
      <c r="I467" s="201">
        <f t="shared" ref="I467:I471" si="65">+G467*H467</f>
        <v>43519.94985764999</v>
      </c>
      <c r="J467" s="296"/>
    </row>
    <row r="468" spans="1:10" x14ac:dyDescent="0.3">
      <c r="B468" s="197" t="s">
        <v>13765</v>
      </c>
      <c r="C468" s="197" t="s">
        <v>13039</v>
      </c>
      <c r="D468" s="198" t="s">
        <v>11046</v>
      </c>
      <c r="E468" s="199" t="str">
        <f>VLOOKUP($D468,'Preços Unitários'!$B:$G,2,FALSE)</f>
        <v>Compactação de aterros a 100% do Proctor normal</v>
      </c>
      <c r="F468" s="197" t="str">
        <f>VLOOKUP($D468,'Preços Unitários'!$B:$G,3,FALSE)</f>
        <v>m³</v>
      </c>
      <c r="G468" s="200">
        <f>+'MC Canais'!J566</f>
        <v>3322.9</v>
      </c>
      <c r="H468" s="200">
        <f>VLOOKUP($D468,'Preços Unitários'!$B:$G,6,FALSE)</f>
        <v>7.1028090000000006</v>
      </c>
      <c r="I468" s="201">
        <f t="shared" si="65"/>
        <v>23601.924026100001</v>
      </c>
      <c r="J468" s="297"/>
    </row>
    <row r="469" spans="1:10" ht="28.8" x14ac:dyDescent="0.3">
      <c r="B469" s="197" t="s">
        <v>13766</v>
      </c>
      <c r="C469" s="197" t="s">
        <v>13039</v>
      </c>
      <c r="D469" s="198" t="s">
        <v>11947</v>
      </c>
      <c r="E469" s="199" t="str">
        <f>VLOOKUP($D469,'Preços Unitários'!$B:$G,2,FALSE)</f>
        <v>Transporte com caminhão basculante de 14 m³ - rodovia em leito natural</v>
      </c>
      <c r="F469" s="197" t="str">
        <f>VLOOKUP($D469,'Preços Unitários'!$B:$G,3,FALSE)</f>
        <v>tkm</v>
      </c>
      <c r="G469" s="200">
        <f>+'MC Canais'!J567</f>
        <v>1661.4499999999994</v>
      </c>
      <c r="H469" s="200">
        <f>VLOOKUP($D469,'Preços Unitários'!$B:$G,6,FALSE)</f>
        <v>1.165011</v>
      </c>
      <c r="I469" s="201">
        <f t="shared" si="65"/>
        <v>1935.6075259499994</v>
      </c>
      <c r="J469" s="297"/>
    </row>
    <row r="470" spans="1:10" x14ac:dyDescent="0.3">
      <c r="B470" s="197" t="s">
        <v>13767</v>
      </c>
      <c r="C470" s="197" t="s">
        <v>13039</v>
      </c>
      <c r="D470" s="198" t="s">
        <v>9440</v>
      </c>
      <c r="E470" s="199" t="str">
        <f>VLOOKUP($D470,'Preços Unitários'!$B:$G,2,FALSE)</f>
        <v>Regularização de superfície com motoniveladora</v>
      </c>
      <c r="F470" s="197" t="str">
        <f>VLOOKUP($D470,'Preços Unitários'!$B:$G,3,FALSE)</f>
        <v>m²</v>
      </c>
      <c r="G470" s="200">
        <f>+'MC Canais'!J568</f>
        <v>33229</v>
      </c>
      <c r="H470" s="200">
        <f>VLOOKUP($D470,'Preços Unitários'!$B:$G,6,FALSE)</f>
        <v>0.100216</v>
      </c>
      <c r="I470" s="201">
        <f t="shared" si="65"/>
        <v>3330.077464</v>
      </c>
      <c r="J470" s="291"/>
    </row>
    <row r="471" spans="1:10" x14ac:dyDescent="0.3">
      <c r="B471" s="197" t="s">
        <v>13768</v>
      </c>
      <c r="C471" s="197" t="s">
        <v>12</v>
      </c>
      <c r="D471" s="198" t="s">
        <v>13232</v>
      </c>
      <c r="E471" s="199" t="s">
        <v>13231</v>
      </c>
      <c r="F471" s="197" t="s">
        <v>427</v>
      </c>
      <c r="G471" s="200">
        <f>+'MC Canais'!J569</f>
        <v>2492.1749999999997</v>
      </c>
      <c r="H471" s="200">
        <f>+'Composições de Preços'!$F$216</f>
        <v>214.40019935426301</v>
      </c>
      <c r="I471" s="201">
        <f t="shared" si="65"/>
        <v>534322.81682571035</v>
      </c>
      <c r="J471" s="299"/>
    </row>
    <row r="472" spans="1:10" s="243" customFormat="1" x14ac:dyDescent="0.3">
      <c r="B472" s="197" t="s">
        <v>13769</v>
      </c>
      <c r="C472" s="197" t="s">
        <v>13</v>
      </c>
      <c r="D472" s="198" t="s">
        <v>13</v>
      </c>
      <c r="E472" s="207" t="s">
        <v>13386</v>
      </c>
      <c r="F472" s="197"/>
      <c r="G472" s="200">
        <f>+'MC Canais'!J570</f>
        <v>0</v>
      </c>
      <c r="H472" s="201"/>
      <c r="I472" s="201"/>
      <c r="J472" s="299"/>
    </row>
    <row r="473" spans="1:10" ht="28.8" x14ac:dyDescent="0.3">
      <c r="B473" s="197" t="s">
        <v>13770</v>
      </c>
      <c r="C473" s="197" t="s">
        <v>13039</v>
      </c>
      <c r="D473" s="198" t="s">
        <v>8625</v>
      </c>
      <c r="E473" s="199" t="str">
        <f>VLOOKUP($D473,'Preços Unitários'!$B:$G,2,FALSE)</f>
        <v>Cerca com 4 fios de arame liso galvanizado e mourão de madeira a cada 2,5 m e esticador a cada 50 m</v>
      </c>
      <c r="F473" s="197" t="str">
        <f>VLOOKUP($D473,'Preços Unitários'!$B:$G,3,FALSE)</f>
        <v>m</v>
      </c>
      <c r="G473" s="200">
        <f>+'MC Canais'!J571</f>
        <v>9494</v>
      </c>
      <c r="H473" s="200">
        <f>VLOOKUP($D473,'Preços Unitários'!$B:$G,6,FALSE)</f>
        <v>27.146009000000003</v>
      </c>
      <c r="I473" s="201">
        <f t="shared" ref="I473" si="66">+G473*H473</f>
        <v>257724.20944600002</v>
      </c>
      <c r="J473" s="299"/>
    </row>
    <row r="474" spans="1:10" s="219" customFormat="1" x14ac:dyDescent="0.3">
      <c r="B474" s="214">
        <v>0</v>
      </c>
      <c r="C474" s="215" t="s">
        <v>13</v>
      </c>
      <c r="D474" s="216" t="s">
        <v>13</v>
      </c>
      <c r="E474" s="217" t="s">
        <v>13079</v>
      </c>
      <c r="F474" s="215" t="s">
        <v>13</v>
      </c>
      <c r="G474" s="214">
        <v>0</v>
      </c>
      <c r="H474" s="214">
        <v>0</v>
      </c>
      <c r="I474" s="214">
        <f>+I475</f>
        <v>5837894.6146721691</v>
      </c>
      <c r="J474" s="299"/>
    </row>
    <row r="475" spans="1:10" x14ac:dyDescent="0.3">
      <c r="A475" s="42" t="s">
        <v>14476</v>
      </c>
      <c r="B475" s="209" t="s">
        <v>13064</v>
      </c>
      <c r="C475" s="209" t="s">
        <v>13</v>
      </c>
      <c r="D475" s="210" t="s">
        <v>13</v>
      </c>
      <c r="E475" s="211" t="s">
        <v>13079</v>
      </c>
      <c r="F475" s="209" t="s">
        <v>13</v>
      </c>
      <c r="G475" s="212">
        <v>0</v>
      </c>
      <c r="H475" s="212">
        <v>0</v>
      </c>
      <c r="I475" s="212">
        <f>SUM(I476:I511)</f>
        <v>5837894.6146721691</v>
      </c>
      <c r="J475" s="284" t="s">
        <v>14476</v>
      </c>
    </row>
    <row r="476" spans="1:10" x14ac:dyDescent="0.3">
      <c r="B476" s="202" t="s">
        <v>13771</v>
      </c>
      <c r="C476" s="202" t="s">
        <v>13</v>
      </c>
      <c r="D476" s="203" t="s">
        <v>13</v>
      </c>
      <c r="E476" s="204" t="s">
        <v>13203</v>
      </c>
      <c r="F476" s="202"/>
      <c r="G476" s="205"/>
      <c r="H476" s="205"/>
      <c r="I476" s="205"/>
      <c r="J476" s="299"/>
    </row>
    <row r="477" spans="1:10" ht="28.8" x14ac:dyDescent="0.3">
      <c r="B477" s="197" t="s">
        <v>13772</v>
      </c>
      <c r="C477" s="197" t="s">
        <v>13039</v>
      </c>
      <c r="D477" s="198" t="s">
        <v>11052</v>
      </c>
      <c r="E477" s="199" t="str">
        <f>VLOOKUP($D477,'Preços Unitários'!$B:$G,2,FALSE)</f>
        <v>Desmatamento, destocamento e limpeza de área com árvores de diâmetro até 0,15 m</v>
      </c>
      <c r="F477" s="197" t="str">
        <f>VLOOKUP($D477,'Preços Unitários'!$B:$G,3,FALSE)</f>
        <v>m²</v>
      </c>
      <c r="G477" s="200">
        <f>+'MC Canais'!J575</f>
        <v>104000</v>
      </c>
      <c r="H477" s="200">
        <f>VLOOKUP($D477,'Preços Unitários'!$B:$G,6,FALSE)</f>
        <v>0.87688999999999995</v>
      </c>
      <c r="I477" s="201">
        <f>+G477*H477</f>
        <v>91196.56</v>
      </c>
      <c r="J477" s="299"/>
    </row>
    <row r="478" spans="1:10" ht="43.2" x14ac:dyDescent="0.3">
      <c r="B478" s="197" t="s">
        <v>13773</v>
      </c>
      <c r="C478" s="197" t="s">
        <v>13039</v>
      </c>
      <c r="D478" s="198" t="s">
        <v>11092</v>
      </c>
      <c r="E478" s="199" t="str">
        <f>VLOOKUP($D478,'Preços Unitários'!$B:$G,2,FALSE)</f>
        <v>Escavação, carga e transporte de material de 1ª categoria - DMT de 1.000 a 1.200 m - caminho de serviço em leito natural - com escavadeira e caminhão basculante de 14 m³</v>
      </c>
      <c r="F478" s="197" t="str">
        <f>VLOOKUP($D478,'Preços Unitários'!$B:$G,3,FALSE)</f>
        <v>m³</v>
      </c>
      <c r="G478" s="200">
        <f>+'MC Canais'!J576</f>
        <v>33821.54</v>
      </c>
      <c r="H478" s="200">
        <f>VLOOKUP($D478,'Preços Unitários'!$B:$G,6,FALSE)</f>
        <v>10.673003999999999</v>
      </c>
      <c r="I478" s="201">
        <f t="shared" ref="I478:I490" si="67">+G478*H478</f>
        <v>360977.43170615996</v>
      </c>
      <c r="J478" s="299"/>
    </row>
    <row r="479" spans="1:10" x14ac:dyDescent="0.3">
      <c r="B479" s="197" t="s">
        <v>13774</v>
      </c>
      <c r="C479" s="197" t="s">
        <v>13039</v>
      </c>
      <c r="D479" s="198" t="s">
        <v>11046</v>
      </c>
      <c r="E479" s="213" t="str">
        <f>VLOOKUP($D479,'Preços Unitários'!$B:$G,2,FALSE)</f>
        <v>Compactação de aterros a 100% do Proctor normal</v>
      </c>
      <c r="F479" s="197" t="str">
        <f>VLOOKUP($D479,'Preços Unitários'!$B:$G,3,FALSE)</f>
        <v>m³</v>
      </c>
      <c r="G479" s="200">
        <f>+'MC Canais'!J577</f>
        <v>13007.64</v>
      </c>
      <c r="H479" s="200">
        <f>VLOOKUP($D479,'Preços Unitários'!$B:$G,6,FALSE)</f>
        <v>7.1028090000000006</v>
      </c>
      <c r="I479" s="201">
        <f t="shared" si="67"/>
        <v>92390.782460760005</v>
      </c>
      <c r="J479" s="299"/>
    </row>
    <row r="480" spans="1:10" ht="28.8" x14ac:dyDescent="0.3">
      <c r="B480" s="197" t="s">
        <v>13775</v>
      </c>
      <c r="C480" s="197" t="s">
        <v>13039</v>
      </c>
      <c r="D480" s="198" t="s">
        <v>11947</v>
      </c>
      <c r="E480" s="199" t="str">
        <f>VLOOKUP($D480,'Preços Unitários'!$B:$G,2,FALSE)</f>
        <v>Transporte com caminhão basculante de 14 m³ - rodovia em leito natural</v>
      </c>
      <c r="F480" s="197" t="str">
        <f>VLOOKUP($D480,'Preços Unitários'!$B:$G,3,FALSE)</f>
        <v>tkm</v>
      </c>
      <c r="G480" s="200">
        <f>+'MC Canais'!J578</f>
        <v>145697.29999999999</v>
      </c>
      <c r="H480" s="200">
        <f>VLOOKUP($D480,'Preços Unitários'!$B:$G,6,FALSE)</f>
        <v>1.165011</v>
      </c>
      <c r="I480" s="201">
        <f t="shared" si="67"/>
        <v>169738.95717029998</v>
      </c>
      <c r="J480" s="299"/>
    </row>
    <row r="481" spans="2:10" x14ac:dyDescent="0.3">
      <c r="B481" s="197" t="s">
        <v>13776</v>
      </c>
      <c r="C481" s="197" t="s">
        <v>13039</v>
      </c>
      <c r="D481" s="198" t="s">
        <v>9440</v>
      </c>
      <c r="E481" s="199" t="str">
        <f>VLOOKUP($D481,'Preços Unitários'!$B:$G,2,FALSE)</f>
        <v>Regularização de superfície com motoniveladora</v>
      </c>
      <c r="F481" s="197" t="str">
        <f>VLOOKUP($D481,'Preços Unitários'!$B:$G,3,FALSE)</f>
        <v>m²</v>
      </c>
      <c r="G481" s="200">
        <f>+'MC Canais'!J579</f>
        <v>2080</v>
      </c>
      <c r="H481" s="200">
        <f>VLOOKUP($D481,'Preços Unitários'!$B:$G,6,FALSE)</f>
        <v>0.100216</v>
      </c>
      <c r="I481" s="201">
        <f>+G481*H481</f>
        <v>208.44927999999999</v>
      </c>
      <c r="J481" s="299"/>
    </row>
    <row r="482" spans="2:10" ht="28.8" x14ac:dyDescent="0.3">
      <c r="B482" s="197" t="s">
        <v>13777</v>
      </c>
      <c r="C482" s="197" t="s">
        <v>12</v>
      </c>
      <c r="D482" s="198" t="s">
        <v>13205</v>
      </c>
      <c r="E482" s="199" t="s">
        <v>13204</v>
      </c>
      <c r="F482" s="197" t="s">
        <v>2904</v>
      </c>
      <c r="G482" s="200">
        <f>+'MC Canais'!J580</f>
        <v>3313.17</v>
      </c>
      <c r="H482" s="200">
        <f>+'Composições de Preços'!$F$87</f>
        <v>59.387948601153852</v>
      </c>
      <c r="I482" s="201">
        <f t="shared" si="67"/>
        <v>196762.36966688492</v>
      </c>
      <c r="J482" s="299"/>
    </row>
    <row r="483" spans="2:10" ht="28.8" x14ac:dyDescent="0.3">
      <c r="B483" s="197" t="s">
        <v>13778</v>
      </c>
      <c r="C483" s="197" t="s">
        <v>12</v>
      </c>
      <c r="D483" s="198" t="s">
        <v>14504</v>
      </c>
      <c r="E483" s="199" t="s">
        <v>14497</v>
      </c>
      <c r="F483" s="197" t="s">
        <v>427</v>
      </c>
      <c r="G483" s="200">
        <f>+'MC Canais'!J581</f>
        <v>2650.6000000000004</v>
      </c>
      <c r="H483" s="200">
        <f>+'Composições de Preços'!$F$446</f>
        <v>99.894988108799993</v>
      </c>
      <c r="I483" s="201">
        <f t="shared" si="67"/>
        <v>264781.6554811853</v>
      </c>
      <c r="J483" s="299"/>
    </row>
    <row r="484" spans="2:10" ht="28.8" x14ac:dyDescent="0.3">
      <c r="B484" s="197" t="s">
        <v>13779</v>
      </c>
      <c r="C484" s="197" t="s">
        <v>12</v>
      </c>
      <c r="D484" s="198" t="s">
        <v>13192</v>
      </c>
      <c r="E484" s="199" t="s">
        <v>13191</v>
      </c>
      <c r="F484" s="197" t="s">
        <v>2904</v>
      </c>
      <c r="G484" s="200">
        <f>+'MC Canais'!J582</f>
        <v>13253</v>
      </c>
      <c r="H484" s="200">
        <f>+'Composições de Preços'!$F$44</f>
        <v>73.117919302000004</v>
      </c>
      <c r="I484" s="201">
        <f t="shared" si="67"/>
        <v>969031.78450940608</v>
      </c>
      <c r="J484" s="291"/>
    </row>
    <row r="485" spans="2:10" ht="28.8" x14ac:dyDescent="0.3">
      <c r="B485" s="197" t="s">
        <v>13780</v>
      </c>
      <c r="C485" s="197" t="s">
        <v>12</v>
      </c>
      <c r="D485" s="198" t="s">
        <v>14506</v>
      </c>
      <c r="E485" s="199" t="s">
        <v>14505</v>
      </c>
      <c r="F485" s="197" t="s">
        <v>427</v>
      </c>
      <c r="G485" s="200">
        <f>+'MC Canais'!J583</f>
        <v>5200</v>
      </c>
      <c r="H485" s="200">
        <f>+'Composições de Preços'!$F$492</f>
        <v>107.93859485200001</v>
      </c>
      <c r="I485" s="201">
        <f t="shared" si="67"/>
        <v>561280.69323040009</v>
      </c>
      <c r="J485" s="299"/>
    </row>
    <row r="486" spans="2:10" ht="28.8" x14ac:dyDescent="0.3">
      <c r="B486" s="197" t="s">
        <v>14518</v>
      </c>
      <c r="C486" s="197" t="s">
        <v>13039</v>
      </c>
      <c r="D486" s="198" t="s">
        <v>3149</v>
      </c>
      <c r="E486" s="199" t="str">
        <f>VLOOKUP($D486,'Preços Unitários'!$B:$G,2,FALSE)</f>
        <v>Concreto para bombeamento fck = 30 MPa - confecção em central dosadora de 30 m³/h - areia e brita comerciais</v>
      </c>
      <c r="F486" s="197" t="str">
        <f>VLOOKUP($D486,'Preços Unitários'!$B:$G,3,FALSE)</f>
        <v>m³</v>
      </c>
      <c r="G486" s="200">
        <f>+'MC Canais'!J584</f>
        <v>927.71</v>
      </c>
      <c r="H486" s="200">
        <f>VLOOKUP($D486,'Preços Unitários'!$B:$G,6,FALSE)</f>
        <v>575.92882499999996</v>
      </c>
      <c r="I486" s="201">
        <f t="shared" si="67"/>
        <v>534294.93024074996</v>
      </c>
      <c r="J486" s="299"/>
    </row>
    <row r="487" spans="2:10" ht="43.2" x14ac:dyDescent="0.3">
      <c r="B487" s="197" t="s">
        <v>13781</v>
      </c>
      <c r="C487" s="197" t="s">
        <v>13039</v>
      </c>
      <c r="D487" s="198" t="s">
        <v>3201</v>
      </c>
      <c r="E487" s="199" t="str">
        <f>VLOOKUP($D487,'Preços Unitários'!$B:$G,2,FALSE)</f>
        <v>Lançamento mecânico de concreto com bomba rebocável com capacidade de 30 m³/h - confecção em central dosadora de 30 m³/h</v>
      </c>
      <c r="F487" s="197" t="str">
        <f>VLOOKUP($D487,'Preços Unitários'!$B:$G,3,FALSE)</f>
        <v>m³</v>
      </c>
      <c r="G487" s="200">
        <f>+'MC Canais'!J585</f>
        <v>927.71</v>
      </c>
      <c r="H487" s="200">
        <f>VLOOKUP($D487,'Preços Unitários'!$B:$G,6,FALSE)</f>
        <v>86.285976000000005</v>
      </c>
      <c r="I487" s="201">
        <f t="shared" si="67"/>
        <v>80048.362794960005</v>
      </c>
      <c r="J487" s="299"/>
    </row>
    <row r="488" spans="2:10" ht="28.8" x14ac:dyDescent="0.3">
      <c r="B488" s="197" t="s">
        <v>14519</v>
      </c>
      <c r="C488" s="197" t="s">
        <v>13039</v>
      </c>
      <c r="D488" s="198" t="s">
        <v>206</v>
      </c>
      <c r="E488" s="199" t="str">
        <f>VLOOKUP($D488,'Preços Unitários'!$B:$G,2,FALSE)</f>
        <v>Lábios poliméricos em junta de pavimento de concreto - L = 20 mm e H = 30 mm - confecção e assentamento</v>
      </c>
      <c r="F488" s="197" t="str">
        <f>VLOOKUP($D488,'Preços Unitários'!$B:$G,3,FALSE)</f>
        <v>m</v>
      </c>
      <c r="G488" s="200">
        <f>+'MC Canais'!J586</f>
        <v>9193.6</v>
      </c>
      <c r="H488" s="200">
        <f>VLOOKUP($D488,'Preços Unitários'!$B:$G,6,FALSE)</f>
        <v>39.635428000000005</v>
      </c>
      <c r="I488" s="201">
        <f t="shared" si="67"/>
        <v>364392.27086080005</v>
      </c>
      <c r="J488" s="299"/>
    </row>
    <row r="489" spans="2:10" x14ac:dyDescent="0.3">
      <c r="B489" s="197" t="s">
        <v>14520</v>
      </c>
      <c r="C489" s="197" t="s">
        <v>12</v>
      </c>
      <c r="D489" s="198" t="s">
        <v>13209</v>
      </c>
      <c r="E489" s="199" t="s">
        <v>13208</v>
      </c>
      <c r="F489" s="197" t="s">
        <v>195</v>
      </c>
      <c r="G489" s="200">
        <f>+'MC Canais'!J587</f>
        <v>5200</v>
      </c>
      <c r="H489" s="200">
        <f>+'Composições de Preços'!$F$130</f>
        <v>37.70076957596789</v>
      </c>
      <c r="I489" s="201">
        <f t="shared" si="67"/>
        <v>196044.00179503302</v>
      </c>
      <c r="J489" s="299"/>
    </row>
    <row r="490" spans="2:10" ht="28.8" x14ac:dyDescent="0.3">
      <c r="B490" s="197" t="s">
        <v>14585</v>
      </c>
      <c r="C490" s="197" t="s">
        <v>13039</v>
      </c>
      <c r="D490" s="198" t="s">
        <v>9446</v>
      </c>
      <c r="E490" s="199" t="str">
        <f>VLOOKUP($D490,'Preços Unitários'!$B:$G,2,FALSE)</f>
        <v>Revestimento vegetal com grama em mudas em superfícies inclinadas</v>
      </c>
      <c r="F490" s="197" t="str">
        <f>VLOOKUP($D490,'Preços Unitários'!$B:$G,3,FALSE)</f>
        <v>m²</v>
      </c>
      <c r="G490" s="200">
        <f>+'MC Canais'!J588</f>
        <v>31200</v>
      </c>
      <c r="H490" s="200">
        <f>VLOOKUP($D490,'Preços Unitários'!$B:$G,6,FALSE)</f>
        <v>9.984019</v>
      </c>
      <c r="I490" s="201">
        <f t="shared" si="67"/>
        <v>311501.39279999997</v>
      </c>
      <c r="J490" s="299"/>
    </row>
    <row r="491" spans="2:10" x14ac:dyDescent="0.3">
      <c r="B491" s="202" t="s">
        <v>13782</v>
      </c>
      <c r="C491" s="202" t="s">
        <v>13</v>
      </c>
      <c r="D491" s="203" t="s">
        <v>13</v>
      </c>
      <c r="E491" s="204" t="s">
        <v>13222</v>
      </c>
      <c r="F491" s="202"/>
      <c r="G491" s="200">
        <f>+'MC Canais'!J589</f>
        <v>0</v>
      </c>
      <c r="H491" s="205"/>
      <c r="I491" s="205"/>
      <c r="J491" s="299"/>
    </row>
    <row r="492" spans="2:10" x14ac:dyDescent="0.3">
      <c r="B492" s="197" t="s">
        <v>13783</v>
      </c>
      <c r="C492" s="197" t="s">
        <v>13039</v>
      </c>
      <c r="D492" s="198" t="s">
        <v>9806</v>
      </c>
      <c r="E492" s="199" t="str">
        <f>VLOOKUP($D492,'Preços Unitários'!$B:$G,2,FALSE)</f>
        <v>Escavação mecânica de vala em material de 1ª categoria</v>
      </c>
      <c r="F492" s="197" t="str">
        <f>VLOOKUP($D492,'Preços Unitários'!$B:$G,3,FALSE)</f>
        <v>m³</v>
      </c>
      <c r="G492" s="200">
        <f>+'MC Canais'!J590</f>
        <v>2184</v>
      </c>
      <c r="H492" s="200">
        <f>VLOOKUP($D492,'Preços Unitários'!$B:$G,6,FALSE)</f>
        <v>8.7313189999999992</v>
      </c>
      <c r="I492" s="201">
        <f t="shared" ref="I492:I498" si="68">+G492*H492</f>
        <v>19069.200696</v>
      </c>
      <c r="J492" s="299"/>
    </row>
    <row r="493" spans="2:10" x14ac:dyDescent="0.3">
      <c r="B493" s="197" t="s">
        <v>13784</v>
      </c>
      <c r="C493" s="197" t="s">
        <v>13039</v>
      </c>
      <c r="D493" s="198" t="s">
        <v>9830</v>
      </c>
      <c r="E493" s="199" t="str">
        <f>VLOOKUP($D493,'Preços Unitários'!$B:$G,2,FALSE)</f>
        <v>Reaterro e compactação com soquete vibratório</v>
      </c>
      <c r="F493" s="197" t="str">
        <f>VLOOKUP($D493,'Preços Unitários'!$B:$G,3,FALSE)</f>
        <v>m³</v>
      </c>
      <c r="G493" s="200">
        <f>+'MC Canais'!J591</f>
        <v>1248</v>
      </c>
      <c r="H493" s="200">
        <f>VLOOKUP($D493,'Preços Unitários'!$B:$G,6,FALSE)</f>
        <v>22.611235000000001</v>
      </c>
      <c r="I493" s="201">
        <f t="shared" si="68"/>
        <v>28218.82128</v>
      </c>
      <c r="J493" s="299"/>
    </row>
    <row r="494" spans="2:10" ht="28.8" x14ac:dyDescent="0.3">
      <c r="B494" s="197" t="s">
        <v>13785</v>
      </c>
      <c r="C494" s="197" t="s">
        <v>13039</v>
      </c>
      <c r="D494" s="198" t="s">
        <v>11947</v>
      </c>
      <c r="E494" s="199" t="str">
        <f>VLOOKUP($D494,'Preços Unitários'!$B:$G,2,FALSE)</f>
        <v>Transporte com caminhão basculante de 14 m³ - rodovia em leito natural</v>
      </c>
      <c r="F494" s="197" t="str">
        <f>VLOOKUP($D494,'Preços Unitários'!$B:$G,3,FALSE)</f>
        <v>tkm</v>
      </c>
      <c r="G494" s="200">
        <f>+'MC Canais'!J592</f>
        <v>6551.9999999999991</v>
      </c>
      <c r="H494" s="200">
        <f>VLOOKUP($D494,'Preços Unitários'!$B:$G,6,FALSE)</f>
        <v>1.165011</v>
      </c>
      <c r="I494" s="201">
        <f t="shared" si="68"/>
        <v>7633.152071999999</v>
      </c>
      <c r="J494" s="299"/>
    </row>
    <row r="495" spans="2:10" ht="28.8" x14ac:dyDescent="0.3">
      <c r="B495" s="197" t="s">
        <v>13786</v>
      </c>
      <c r="C495" s="197" t="s">
        <v>12</v>
      </c>
      <c r="D495" s="198" t="s">
        <v>13224</v>
      </c>
      <c r="E495" s="199" t="s">
        <v>13223</v>
      </c>
      <c r="F495" s="197" t="s">
        <v>2904</v>
      </c>
      <c r="G495" s="200">
        <f>+'MC Canais'!J593</f>
        <v>6240</v>
      </c>
      <c r="H495" s="200">
        <f>+'Composições de Preços'!$F$173</f>
        <v>26.052132569499999</v>
      </c>
      <c r="I495" s="201">
        <f t="shared" si="68"/>
        <v>162565.30723368001</v>
      </c>
      <c r="J495" s="299"/>
    </row>
    <row r="496" spans="2:10" ht="28.8" x14ac:dyDescent="0.3">
      <c r="B496" s="197" t="s">
        <v>13787</v>
      </c>
      <c r="C496" s="197" t="s">
        <v>13039</v>
      </c>
      <c r="D496" s="198" t="s">
        <v>6908</v>
      </c>
      <c r="E496" s="199" t="str">
        <f>VLOOKUP($D496,'Preços Unitários'!$B:$G,2,FALSE)</f>
        <v>Tubo de concreto perfurado produzido na obra para drenagem - D = 0,40 m - fornecimento e instalação</v>
      </c>
      <c r="F496" s="197" t="str">
        <f>VLOOKUP($D496,'Preços Unitários'!$B:$G,3,FALSE)</f>
        <v>m</v>
      </c>
      <c r="G496" s="200">
        <f>+'MC Canais'!J594</f>
        <v>2600</v>
      </c>
      <c r="H496" s="200">
        <f>VLOOKUP($D496,'Preços Unitários'!$B:$G,6,FALSE)</f>
        <v>116.764167</v>
      </c>
      <c r="I496" s="201">
        <f t="shared" si="68"/>
        <v>303586.83419999998</v>
      </c>
      <c r="J496" s="299"/>
    </row>
    <row r="497" spans="2:10" ht="28.8" x14ac:dyDescent="0.3">
      <c r="B497" s="197" t="s">
        <v>13788</v>
      </c>
      <c r="C497" s="197" t="s">
        <v>13039</v>
      </c>
      <c r="D497" s="198" t="s">
        <v>6438</v>
      </c>
      <c r="E497" s="199" t="str">
        <f>VLOOKUP($D497,'Preços Unitários'!$B:$G,2,FALSE)</f>
        <v>Lastro de brita comercial compactado com soquete vibratório - espalhamento manual</v>
      </c>
      <c r="F497" s="197" t="str">
        <f>VLOOKUP($D497,'Preços Unitários'!$B:$G,3,FALSE)</f>
        <v>m³</v>
      </c>
      <c r="G497" s="200">
        <f>+'MC Canais'!J595</f>
        <v>609.43999999999994</v>
      </c>
      <c r="H497" s="200">
        <f>VLOOKUP($D497,'Preços Unitários'!$B:$G,6,FALSE)</f>
        <v>239.34086200000002</v>
      </c>
      <c r="I497" s="201">
        <f t="shared" si="68"/>
        <v>145863.89493727998</v>
      </c>
      <c r="J497" s="299"/>
    </row>
    <row r="498" spans="2:10" x14ac:dyDescent="0.3">
      <c r="B498" s="197" t="s">
        <v>13789</v>
      </c>
      <c r="C498" s="197" t="s">
        <v>13039</v>
      </c>
      <c r="D498" s="206" t="s">
        <v>6430</v>
      </c>
      <c r="E498" s="199" t="str">
        <f>VLOOKUP($D498,'Preços Unitários'!$B:$G,2,FALSE)</f>
        <v>Lastro de areia comercial - espalhamento manual</v>
      </c>
      <c r="F498" s="197" t="str">
        <f>VLOOKUP($D498,'Preços Unitários'!$B:$G,3,FALSE)</f>
        <v>m³</v>
      </c>
      <c r="G498" s="200">
        <f>+'MC Canais'!J596</f>
        <v>312</v>
      </c>
      <c r="H498" s="200">
        <f>VLOOKUP($D498,'Preços Unitários'!$B:$G,6,FALSE)</f>
        <v>198.06439700000001</v>
      </c>
      <c r="I498" s="201">
        <f t="shared" si="68"/>
        <v>61796.091864000002</v>
      </c>
      <c r="J498" s="291"/>
    </row>
    <row r="499" spans="2:10" s="243" customFormat="1" ht="28.8" x14ac:dyDescent="0.3">
      <c r="B499" s="197" t="s">
        <v>13790</v>
      </c>
      <c r="C499" s="197" t="s">
        <v>13</v>
      </c>
      <c r="D499" s="198" t="s">
        <v>13</v>
      </c>
      <c r="E499" s="207" t="s">
        <v>13228</v>
      </c>
      <c r="F499" s="197"/>
      <c r="G499" s="200">
        <f>+'MC Canais'!J597</f>
        <v>0</v>
      </c>
      <c r="H499" s="201"/>
      <c r="I499" s="201"/>
      <c r="J499" s="299"/>
    </row>
    <row r="500" spans="2:10" ht="28.8" x14ac:dyDescent="0.3">
      <c r="B500" s="197" t="s">
        <v>13791</v>
      </c>
      <c r="C500" s="197" t="s">
        <v>13039</v>
      </c>
      <c r="D500" s="198" t="s">
        <v>6964</v>
      </c>
      <c r="E500" s="199" t="str">
        <f>VLOOKUP($D500,'Preços Unitários'!$B:$G,2,FALSE)</f>
        <v>Valeta de proteção de cortes com revestimento vegetal - VPCG 120-30 - escavação mecânica</v>
      </c>
      <c r="F500" s="197" t="str">
        <f>VLOOKUP($D500,'Preços Unitários'!$B:$G,3,FALSE)</f>
        <v>m</v>
      </c>
      <c r="G500" s="200">
        <f>+'MC Canais'!J598</f>
        <v>5200</v>
      </c>
      <c r="H500" s="200">
        <f>VLOOKUP($D500,'Preços Unitários'!$B:$G,6,FALSE)</f>
        <v>51.961995999999999</v>
      </c>
      <c r="I500" s="201">
        <f t="shared" ref="I500:I503" si="69">+G500*H500</f>
        <v>270202.37919999997</v>
      </c>
      <c r="J500" s="299"/>
    </row>
    <row r="501" spans="2:10" ht="28.8" x14ac:dyDescent="0.3">
      <c r="B501" s="197" t="s">
        <v>13792</v>
      </c>
      <c r="C501" s="197" t="s">
        <v>13039</v>
      </c>
      <c r="D501" s="198" t="s">
        <v>6744</v>
      </c>
      <c r="E501" s="199" t="str">
        <f>VLOOKUP($D501,'Preços Unitários'!$B:$G,2,FALSE)</f>
        <v>Sarjeta triangular de grama - STG 125-25 - escavação mecânica</v>
      </c>
      <c r="F501" s="197" t="str">
        <f>VLOOKUP($D501,'Preços Unitários'!$B:$G,3,FALSE)</f>
        <v>m</v>
      </c>
      <c r="G501" s="200">
        <f>+'MC Canais'!J599</f>
        <v>5200</v>
      </c>
      <c r="H501" s="200">
        <f>VLOOKUP($D501,'Preços Unitários'!$B:$G,6,FALSE)</f>
        <v>29.776679000000001</v>
      </c>
      <c r="I501" s="201">
        <f t="shared" si="69"/>
        <v>154838.73080000002</v>
      </c>
      <c r="J501" s="299"/>
    </row>
    <row r="502" spans="2:10" ht="28.8" x14ac:dyDescent="0.3">
      <c r="B502" s="197" t="s">
        <v>13793</v>
      </c>
      <c r="C502" s="197" t="s">
        <v>13039</v>
      </c>
      <c r="D502" s="198" t="s">
        <v>2740</v>
      </c>
      <c r="E502" s="199" t="str">
        <f>VLOOKUP($D502,'Preços Unitários'!$B:$G,2,FALSE)</f>
        <v>Corpo de BSTC D = 0,80 m PA1 - areia, brita e pedra de mão comerciais</v>
      </c>
      <c r="F502" s="197" t="str">
        <f>VLOOKUP($D502,'Preços Unitários'!$B:$G,3,FALSE)</f>
        <v>m</v>
      </c>
      <c r="G502" s="200">
        <f>+'MC Canais'!J600</f>
        <v>18.5</v>
      </c>
      <c r="H502" s="200">
        <f>VLOOKUP($D502,'Preços Unitários'!$B:$G,6,FALSE)</f>
        <v>799.67357200000004</v>
      </c>
      <c r="I502" s="201">
        <f t="shared" si="69"/>
        <v>14793.961082</v>
      </c>
      <c r="J502" s="299"/>
    </row>
    <row r="503" spans="2:10" ht="28.8" x14ac:dyDescent="0.3">
      <c r="B503" s="197" t="s">
        <v>13794</v>
      </c>
      <c r="C503" s="197" t="s">
        <v>13039</v>
      </c>
      <c r="D503" s="208" t="s">
        <v>2172</v>
      </c>
      <c r="E503" s="199" t="str">
        <f>VLOOKUP($D503,'Preços Unitários'!$B:$G,2,FALSE)</f>
        <v>Boca de BSTC D = 0,80 m - esconsidade 0° - areia e brita comerciais - alas retas</v>
      </c>
      <c r="F503" s="197" t="str">
        <f>VLOOKUP($D503,'Preços Unitários'!$B:$G,3,FALSE)</f>
        <v>un</v>
      </c>
      <c r="G503" s="200">
        <f>+'MC Canais'!J601</f>
        <v>2</v>
      </c>
      <c r="H503" s="200">
        <f>VLOOKUP($D503,'Preços Unitários'!$B:$G,6,FALSE)</f>
        <v>1606.687966</v>
      </c>
      <c r="I503" s="201">
        <f t="shared" si="69"/>
        <v>3213.3759319999999</v>
      </c>
      <c r="J503" s="299"/>
    </row>
    <row r="504" spans="2:10" s="243" customFormat="1" x14ac:dyDescent="0.3">
      <c r="B504" s="197" t="s">
        <v>13795</v>
      </c>
      <c r="C504" s="197" t="s">
        <v>13</v>
      </c>
      <c r="D504" s="198" t="s">
        <v>13</v>
      </c>
      <c r="E504" s="207" t="s">
        <v>13230</v>
      </c>
      <c r="F504" s="197"/>
      <c r="G504" s="200">
        <f>+'MC Canais'!J602</f>
        <v>0</v>
      </c>
      <c r="H504" s="201"/>
      <c r="I504" s="201"/>
      <c r="J504" s="299"/>
    </row>
    <row r="505" spans="2:10" ht="28.8" x14ac:dyDescent="0.3">
      <c r="B505" s="197" t="s">
        <v>13796</v>
      </c>
      <c r="C505" s="197" t="s">
        <v>13039</v>
      </c>
      <c r="D505" s="198" t="s">
        <v>11088</v>
      </c>
      <c r="E505" s="199" t="str">
        <f>VLOOKUP($D505,'Preços Unitários'!$B:$G,2,FALSE)</f>
        <v>Escavação mecânica com retroescavadeira em material de 1ª categoria</v>
      </c>
      <c r="F505" s="197" t="str">
        <f>VLOOKUP($D505,'Preços Unitários'!$B:$G,3,FALSE)</f>
        <v>m³</v>
      </c>
      <c r="G505" s="200">
        <f>+'MC Canais'!J603</f>
        <v>2730</v>
      </c>
      <c r="H505" s="200">
        <f>VLOOKUP($D505,'Preços Unitários'!$B:$G,6,FALSE)</f>
        <v>8.7313189999999992</v>
      </c>
      <c r="I505" s="201">
        <f t="shared" ref="I505:I509" si="70">+G505*H505</f>
        <v>23836.500869999996</v>
      </c>
      <c r="J505" s="299"/>
    </row>
    <row r="506" spans="2:10" x14ac:dyDescent="0.3">
      <c r="B506" s="197" t="s">
        <v>13797</v>
      </c>
      <c r="C506" s="197" t="s">
        <v>13039</v>
      </c>
      <c r="D506" s="198" t="s">
        <v>11046</v>
      </c>
      <c r="E506" s="199" t="str">
        <f>VLOOKUP($D506,'Preços Unitários'!$B:$G,2,FALSE)</f>
        <v>Compactação de aterros a 100% do Proctor normal</v>
      </c>
      <c r="F506" s="197" t="str">
        <f>VLOOKUP($D506,'Preços Unitários'!$B:$G,3,FALSE)</f>
        <v>m³</v>
      </c>
      <c r="G506" s="200">
        <f>+'MC Canais'!J604</f>
        <v>1820</v>
      </c>
      <c r="H506" s="200">
        <f>VLOOKUP($D506,'Preços Unitários'!$B:$G,6,FALSE)</f>
        <v>7.1028090000000006</v>
      </c>
      <c r="I506" s="201">
        <f t="shared" si="70"/>
        <v>12927.11238</v>
      </c>
      <c r="J506" s="299"/>
    </row>
    <row r="507" spans="2:10" ht="28.8" x14ac:dyDescent="0.3">
      <c r="B507" s="197" t="s">
        <v>13798</v>
      </c>
      <c r="C507" s="197" t="s">
        <v>13039</v>
      </c>
      <c r="D507" s="198" t="s">
        <v>11947</v>
      </c>
      <c r="E507" s="199" t="str">
        <f>VLOOKUP($D507,'Preços Unitários'!$B:$G,2,FALSE)</f>
        <v>Transporte com caminhão basculante de 14 m³ - rodovia em leito natural</v>
      </c>
      <c r="F507" s="197" t="str">
        <f>VLOOKUP($D507,'Preços Unitários'!$B:$G,3,FALSE)</f>
        <v>tkm</v>
      </c>
      <c r="G507" s="200">
        <f>+'MC Canais'!J605</f>
        <v>910</v>
      </c>
      <c r="H507" s="200">
        <f>VLOOKUP($D507,'Preços Unitários'!$B:$G,6,FALSE)</f>
        <v>1.165011</v>
      </c>
      <c r="I507" s="201">
        <f t="shared" si="70"/>
        <v>1060.1600100000001</v>
      </c>
      <c r="J507" s="299"/>
    </row>
    <row r="508" spans="2:10" x14ac:dyDescent="0.3">
      <c r="B508" s="197" t="s">
        <v>13799</v>
      </c>
      <c r="C508" s="197" t="s">
        <v>13039</v>
      </c>
      <c r="D508" s="198" t="s">
        <v>9440</v>
      </c>
      <c r="E508" s="199" t="str">
        <f>VLOOKUP($D508,'Preços Unitários'!$B:$G,2,FALSE)</f>
        <v>Regularização de superfície com motoniveladora</v>
      </c>
      <c r="F508" s="197" t="str">
        <f>VLOOKUP($D508,'Preços Unitários'!$B:$G,3,FALSE)</f>
        <v>m²</v>
      </c>
      <c r="G508" s="200">
        <f>+'MC Canais'!J606</f>
        <v>18200</v>
      </c>
      <c r="H508" s="200">
        <f>VLOOKUP($D508,'Preços Unitários'!$B:$G,6,FALSE)</f>
        <v>0.100216</v>
      </c>
      <c r="I508" s="201">
        <f t="shared" si="70"/>
        <v>1823.9312</v>
      </c>
      <c r="J508" s="299"/>
    </row>
    <row r="509" spans="2:10" x14ac:dyDescent="0.3">
      <c r="B509" s="197" t="s">
        <v>13800</v>
      </c>
      <c r="C509" s="197" t="s">
        <v>12</v>
      </c>
      <c r="D509" s="198" t="s">
        <v>13232</v>
      </c>
      <c r="E509" s="199" t="s">
        <v>13231</v>
      </c>
      <c r="F509" s="197" t="s">
        <v>427</v>
      </c>
      <c r="G509" s="200">
        <f>+'MC Canais'!J607</f>
        <v>1365</v>
      </c>
      <c r="H509" s="200">
        <f>+'Composições de Preços'!$F$216</f>
        <v>214.40019935426301</v>
      </c>
      <c r="I509" s="201">
        <f t="shared" si="70"/>
        <v>292656.272118569</v>
      </c>
      <c r="J509" s="299"/>
    </row>
    <row r="510" spans="2:10" s="243" customFormat="1" x14ac:dyDescent="0.3">
      <c r="B510" s="197" t="s">
        <v>13801</v>
      </c>
      <c r="C510" s="197" t="s">
        <v>13</v>
      </c>
      <c r="D510" s="198" t="s">
        <v>13</v>
      </c>
      <c r="E510" s="207" t="s">
        <v>13386</v>
      </c>
      <c r="F510" s="197"/>
      <c r="G510" s="200">
        <f>+'MC Canais'!J608</f>
        <v>0</v>
      </c>
      <c r="H510" s="201"/>
      <c r="I510" s="201"/>
      <c r="J510" s="299"/>
    </row>
    <row r="511" spans="2:10" ht="28.8" x14ac:dyDescent="0.3">
      <c r="B511" s="197" t="s">
        <v>13802</v>
      </c>
      <c r="C511" s="197" t="s">
        <v>13039</v>
      </c>
      <c r="D511" s="198" t="s">
        <v>8625</v>
      </c>
      <c r="E511" s="199" t="str">
        <f>VLOOKUP($D511,'Preços Unitários'!$B:$G,2,FALSE)</f>
        <v>Cerca com 4 fios de arame liso galvanizado e mourão de madeira a cada 2,5 m e esticador a cada 50 m</v>
      </c>
      <c r="F511" s="197" t="str">
        <f>VLOOKUP($D511,'Preços Unitários'!$B:$G,3,FALSE)</f>
        <v>m</v>
      </c>
      <c r="G511" s="200">
        <f>+'MC Canais'!J609</f>
        <v>5200</v>
      </c>
      <c r="H511" s="200">
        <f>VLOOKUP($D511,'Preços Unitários'!$B:$G,6,FALSE)</f>
        <v>27.146009000000003</v>
      </c>
      <c r="I511" s="201">
        <f t="shared" ref="I511" si="71">+G511*H511</f>
        <v>141159.24680000002</v>
      </c>
      <c r="J511" s="299"/>
    </row>
    <row r="512" spans="2:10" x14ac:dyDescent="0.3">
      <c r="B512" s="202"/>
      <c r="C512" s="204"/>
      <c r="D512" s="204"/>
      <c r="E512" s="204"/>
      <c r="F512" s="204"/>
      <c r="G512" s="204"/>
      <c r="H512" s="204"/>
      <c r="I512" s="204"/>
      <c r="J512" s="291"/>
    </row>
    <row r="513" spans="1:10" x14ac:dyDescent="0.3">
      <c r="B513" s="202">
        <v>2</v>
      </c>
      <c r="C513" s="202" t="s">
        <v>13</v>
      </c>
      <c r="D513" s="203" t="s">
        <v>13</v>
      </c>
      <c r="E513" s="204" t="s">
        <v>13080</v>
      </c>
      <c r="F513" s="202" t="s">
        <v>13</v>
      </c>
      <c r="G513" s="205">
        <v>0</v>
      </c>
      <c r="H513" s="205">
        <v>0</v>
      </c>
      <c r="I513" s="205">
        <f>+I514+I575</f>
        <v>1505387.6303242664</v>
      </c>
      <c r="J513" s="299"/>
    </row>
    <row r="514" spans="1:10" s="219" customFormat="1" x14ac:dyDescent="0.3">
      <c r="B514" s="214">
        <v>0</v>
      </c>
      <c r="C514" s="215" t="s">
        <v>13</v>
      </c>
      <c r="D514" s="216" t="s">
        <v>13</v>
      </c>
      <c r="E514" s="217" t="s">
        <v>13343</v>
      </c>
      <c r="F514" s="215" t="s">
        <v>13</v>
      </c>
      <c r="G514" s="214">
        <v>0</v>
      </c>
      <c r="H514" s="214">
        <v>0</v>
      </c>
      <c r="I514" s="214">
        <f>+I515+I530+I545+I560</f>
        <v>716959.09272624459</v>
      </c>
      <c r="J514" s="299"/>
    </row>
    <row r="515" spans="1:10" x14ac:dyDescent="0.3">
      <c r="A515" s="42" t="s">
        <v>14475</v>
      </c>
      <c r="B515" s="209" t="s">
        <v>13101</v>
      </c>
      <c r="C515" s="209" t="s">
        <v>13</v>
      </c>
      <c r="D515" s="210" t="s">
        <v>13</v>
      </c>
      <c r="E515" s="211" t="s">
        <v>13092</v>
      </c>
      <c r="F515" s="209" t="s">
        <v>13</v>
      </c>
      <c r="G515" s="212">
        <v>0</v>
      </c>
      <c r="H515" s="212">
        <v>0</v>
      </c>
      <c r="I515" s="212">
        <f>SUM(I516:I529)</f>
        <v>195266.40499358543</v>
      </c>
      <c r="J515" s="284" t="s">
        <v>14475</v>
      </c>
    </row>
    <row r="516" spans="1:10" ht="28.8" x14ac:dyDescent="0.3">
      <c r="B516" s="197" t="s">
        <v>13803</v>
      </c>
      <c r="C516" s="197" t="s">
        <v>13039</v>
      </c>
      <c r="D516" s="198" t="s">
        <v>11052</v>
      </c>
      <c r="E516" s="199" t="str">
        <f>VLOOKUP($D516,'Preços Unitários'!$B:$G,2,FALSE)</f>
        <v>Desmatamento, destocamento e limpeza de área com árvores de diâmetro até 0,15 m</v>
      </c>
      <c r="F516" s="197" t="str">
        <f>VLOOKUP($D516,'Preços Unitários'!$B:$G,3,FALSE)</f>
        <v>m²</v>
      </c>
      <c r="G516" s="200">
        <f>+'MC EC'!I5</f>
        <v>185.6</v>
      </c>
      <c r="H516" s="200">
        <f>VLOOKUP($D516,'Preços Unitários'!$B:$G,6,FALSE)</f>
        <v>0.87688999999999995</v>
      </c>
      <c r="I516" s="201">
        <f t="shared" ref="I516:I527" si="72">+G516*H516</f>
        <v>162.75078399999998</v>
      </c>
      <c r="J516" s="299"/>
    </row>
    <row r="517" spans="1:10" ht="43.2" x14ac:dyDescent="0.3">
      <c r="B517" s="197" t="s">
        <v>13804</v>
      </c>
      <c r="C517" s="197" t="s">
        <v>13039</v>
      </c>
      <c r="D517" s="198" t="s">
        <v>11092</v>
      </c>
      <c r="E517" s="199" t="str">
        <f>VLOOKUP($D517,'Preços Unitários'!$B:$G,2,FALSE)</f>
        <v>Escavação, carga e transporte de material de 1ª categoria - DMT de 1.000 a 1.200 m - caminho de serviço em leito natural - com escavadeira e caminhão basculante de 14 m³</v>
      </c>
      <c r="F517" s="197" t="str">
        <f>VLOOKUP($D517,'Preços Unitários'!$B:$G,3,FALSE)</f>
        <v>m³</v>
      </c>
      <c r="G517" s="200">
        <f>+'MC EC'!I6</f>
        <v>102.33600000000014</v>
      </c>
      <c r="H517" s="200">
        <f>VLOOKUP($D517,'Preços Unitários'!$B:$G,6,FALSE)</f>
        <v>10.673003999999999</v>
      </c>
      <c r="I517" s="201">
        <f t="shared" si="72"/>
        <v>1092.2325373440015</v>
      </c>
      <c r="J517" s="299"/>
    </row>
    <row r="518" spans="1:10" x14ac:dyDescent="0.3">
      <c r="B518" s="197" t="s">
        <v>13805</v>
      </c>
      <c r="C518" s="197" t="s">
        <v>13039</v>
      </c>
      <c r="D518" s="198" t="s">
        <v>11046</v>
      </c>
      <c r="E518" s="199" t="str">
        <f>VLOOKUP($D518,'Preços Unitários'!$B:$G,2,FALSE)</f>
        <v>Compactação de aterros a 100% do Proctor normal</v>
      </c>
      <c r="F518" s="197" t="str">
        <f>VLOOKUP($D518,'Preços Unitários'!$B:$G,3,FALSE)</f>
        <v>m³</v>
      </c>
      <c r="G518" s="200">
        <f>+'MC EC'!I7</f>
        <v>39.936000000000064</v>
      </c>
      <c r="H518" s="200">
        <f>VLOOKUP($D518,'Preços Unitários'!$B:$G,6,FALSE)</f>
        <v>7.1028090000000006</v>
      </c>
      <c r="I518" s="201">
        <f t="shared" si="72"/>
        <v>283.65778022400048</v>
      </c>
      <c r="J518" s="299"/>
    </row>
    <row r="519" spans="1:10" ht="28.8" x14ac:dyDescent="0.3">
      <c r="B519" s="197" t="s">
        <v>13806</v>
      </c>
      <c r="C519" s="197" t="s">
        <v>13039</v>
      </c>
      <c r="D519" s="198" t="s">
        <v>11947</v>
      </c>
      <c r="E519" s="199" t="str">
        <f>VLOOKUP($D519,'Preços Unitários'!$B:$G,2,FALSE)</f>
        <v>Transporte com caminhão basculante de 14 m³ - rodovia em leito natural</v>
      </c>
      <c r="F519" s="197" t="str">
        <f>VLOOKUP($D519,'Preços Unitários'!$B:$G,3,FALSE)</f>
        <v>tkm</v>
      </c>
      <c r="G519" s="200">
        <f>+'MC EC'!I8</f>
        <v>436.80000000000052</v>
      </c>
      <c r="H519" s="200">
        <f>VLOOKUP($D519,'Preços Unitários'!$B:$G,6,FALSE)</f>
        <v>1.165011</v>
      </c>
      <c r="I519" s="201">
        <f t="shared" si="72"/>
        <v>508.87680480000063</v>
      </c>
      <c r="J519" s="299"/>
    </row>
    <row r="520" spans="1:10" ht="28.8" x14ac:dyDescent="0.3">
      <c r="B520" s="197" t="s">
        <v>13807</v>
      </c>
      <c r="C520" s="197" t="s">
        <v>13039</v>
      </c>
      <c r="D520" s="198" t="s">
        <v>3137</v>
      </c>
      <c r="E520" s="199" t="str">
        <f>VLOOKUP($D520,'Preços Unitários'!$B:$G,2,FALSE)</f>
        <v>Concreto magro - confecção em betoneira e lançamento manual - areia e brita comerciais</v>
      </c>
      <c r="F520" s="197" t="str">
        <f>VLOOKUP($D520,'Preços Unitários'!$B:$G,3,FALSE)</f>
        <v>m³</v>
      </c>
      <c r="G520" s="200">
        <f>+'MC EC'!I9</f>
        <v>8.4</v>
      </c>
      <c r="H520" s="200">
        <f>VLOOKUP($D520,'Preços Unitários'!$B:$G,6,FALSE)</f>
        <v>573.22299299999997</v>
      </c>
      <c r="I520" s="201">
        <f t="shared" ref="I520" si="73">+G520*H520</f>
        <v>4815.0731411999996</v>
      </c>
      <c r="J520" s="299"/>
    </row>
    <row r="521" spans="1:10" ht="28.8" x14ac:dyDescent="0.3">
      <c r="B521" s="197" t="s">
        <v>13808</v>
      </c>
      <c r="C521" s="197" t="s">
        <v>13039</v>
      </c>
      <c r="D521" s="198" t="s">
        <v>3149</v>
      </c>
      <c r="E521" s="199" t="str">
        <f>VLOOKUP($D521,'Preços Unitários'!$B:$G,2,FALSE)</f>
        <v>Concreto para bombeamento fck = 30 MPa - confecção em central dosadora de 30 m³/h - areia e brita comerciais</v>
      </c>
      <c r="F521" s="197" t="str">
        <f>VLOOKUP($D521,'Preços Unitários'!$B:$G,3,FALSE)</f>
        <v>m³</v>
      </c>
      <c r="G521" s="200">
        <f>+'MC EC'!I10</f>
        <v>18.912000000000017</v>
      </c>
      <c r="H521" s="200">
        <f>VLOOKUP($D521,'Preços Unitários'!$B:$G,6,FALSE)</f>
        <v>575.92882499999996</v>
      </c>
      <c r="I521" s="201">
        <f t="shared" si="72"/>
        <v>10891.96593840001</v>
      </c>
      <c r="J521" s="299"/>
    </row>
    <row r="522" spans="1:10" ht="43.2" x14ac:dyDescent="0.3">
      <c r="B522" s="197" t="s">
        <v>13809</v>
      </c>
      <c r="C522" s="197" t="s">
        <v>13039</v>
      </c>
      <c r="D522" s="198" t="s">
        <v>3201</v>
      </c>
      <c r="E522" s="199" t="str">
        <f>VLOOKUP($D522,'Preços Unitários'!$B:$G,2,FALSE)</f>
        <v>Lançamento mecânico de concreto com bomba rebocável com capacidade de 30 m³/h - confecção em central dosadora de 30 m³/h</v>
      </c>
      <c r="F522" s="197" t="str">
        <f>VLOOKUP($D522,'Preços Unitários'!$B:$G,3,FALSE)</f>
        <v>m³</v>
      </c>
      <c r="G522" s="200">
        <f>+'MC EC'!I11</f>
        <v>18.912000000000017</v>
      </c>
      <c r="H522" s="200">
        <f>VLOOKUP($D522,'Preços Unitários'!$B:$G,6,FALSE)</f>
        <v>86.285976000000005</v>
      </c>
      <c r="I522" s="201">
        <f t="shared" si="72"/>
        <v>1631.8403781120016</v>
      </c>
      <c r="J522" s="299"/>
    </row>
    <row r="523" spans="1:10" ht="28.8" x14ac:dyDescent="0.3">
      <c r="B523" s="197" t="s">
        <v>13810</v>
      </c>
      <c r="C523" s="197" t="s">
        <v>13039</v>
      </c>
      <c r="D523" s="198" t="s">
        <v>8335</v>
      </c>
      <c r="E523" s="199" t="str">
        <f>VLOOKUP($D523,'Preços Unitários'!$B:$G,2,FALSE)</f>
        <v>Fôrmas de compensado plastificado 12 mm - uso geral - utilização de 1 vez - confecção, instalação e retirada</v>
      </c>
      <c r="F523" s="197" t="str">
        <f>VLOOKUP($D523,'Preços Unitários'!$B:$G,3,FALSE)</f>
        <v>m²</v>
      </c>
      <c r="G523" s="200">
        <f>+'MC EC'!I12</f>
        <v>126.08000000000011</v>
      </c>
      <c r="H523" s="200">
        <f>VLOOKUP($D523,'Preços Unitários'!$B:$G,6,FALSE)</f>
        <v>175.71622900000003</v>
      </c>
      <c r="I523" s="201">
        <f t="shared" si="72"/>
        <v>22154.302152320022</v>
      </c>
      <c r="J523" s="299"/>
    </row>
    <row r="524" spans="1:10" ht="28.8" x14ac:dyDescent="0.3">
      <c r="B524" s="197" t="s">
        <v>13811</v>
      </c>
      <c r="C524" s="197" t="s">
        <v>13039</v>
      </c>
      <c r="D524" s="198" t="s">
        <v>211</v>
      </c>
      <c r="E524" s="199" t="str">
        <f>VLOOKUP($D524,'Preços Unitários'!$B:$G,2,FALSE)</f>
        <v>Armação em aço CA-50 - fornecimento, preparo e colocação</v>
      </c>
      <c r="F524" s="197" t="str">
        <f>VLOOKUP($D524,'Preços Unitários'!$B:$G,3,FALSE)</f>
        <v>kg</v>
      </c>
      <c r="G524" s="200">
        <f>+'MC EC'!I13</f>
        <v>2269.4400000000019</v>
      </c>
      <c r="H524" s="200">
        <f>VLOOKUP($D524,'Preços Unitários'!$B:$G,6,FALSE)</f>
        <v>15.846655000000002</v>
      </c>
      <c r="I524" s="201">
        <f t="shared" si="72"/>
        <v>35963.032723200035</v>
      </c>
      <c r="J524" s="299"/>
    </row>
    <row r="525" spans="1:10" ht="28.8" x14ac:dyDescent="0.3">
      <c r="B525" s="197" t="s">
        <v>13812</v>
      </c>
      <c r="C525" s="197" t="s">
        <v>13039</v>
      </c>
      <c r="D525" s="198" t="s">
        <v>8761</v>
      </c>
      <c r="E525" s="199" t="str">
        <f>VLOOKUP($D525,'Preços Unitários'!$B:$G,2,FALSE)</f>
        <v>Guarda-corpo e corrimão metálico para passarelas para pedestres - fornecimento e instalação</v>
      </c>
      <c r="F525" s="197" t="str">
        <f>VLOOKUP($D525,'Preços Unitários'!$B:$G,3,FALSE)</f>
        <v>m</v>
      </c>
      <c r="G525" s="200">
        <f>+'MC EC'!I14</f>
        <v>12.8</v>
      </c>
      <c r="H525" s="200">
        <f>VLOOKUP($D525,'Preços Unitários'!$B:$G,6,FALSE)</f>
        <v>928.91463099999999</v>
      </c>
      <c r="I525" s="201">
        <f t="shared" si="72"/>
        <v>11890.107276800001</v>
      </c>
      <c r="J525" s="299"/>
    </row>
    <row r="526" spans="1:10" x14ac:dyDescent="0.3">
      <c r="B526" s="197" t="s">
        <v>13813</v>
      </c>
      <c r="C526" s="197" t="s">
        <v>12</v>
      </c>
      <c r="D526" s="198" t="s">
        <v>13249</v>
      </c>
      <c r="E526" s="199" t="s">
        <v>13242</v>
      </c>
      <c r="F526" s="197" t="s">
        <v>2904</v>
      </c>
      <c r="G526" s="200">
        <f>+'MC EC'!I15</f>
        <v>35.200000000000003</v>
      </c>
      <c r="H526" s="200">
        <f>+'Composições de Preços'!$F$262</f>
        <v>97.457885715492935</v>
      </c>
      <c r="I526" s="201">
        <f t="shared" si="72"/>
        <v>3430.5175771853515</v>
      </c>
      <c r="J526" s="297"/>
    </row>
    <row r="527" spans="1:10" x14ac:dyDescent="0.3">
      <c r="B527" s="197" t="s">
        <v>13814</v>
      </c>
      <c r="C527" s="197" t="s">
        <v>12</v>
      </c>
      <c r="D527" s="198" t="s">
        <v>13257</v>
      </c>
      <c r="E527" s="199" t="s">
        <v>13256</v>
      </c>
      <c r="F527" s="197" t="s">
        <v>13258</v>
      </c>
      <c r="G527" s="200">
        <v>1</v>
      </c>
      <c r="H527" s="200">
        <f>+'Composições de Preços'!$F$308</f>
        <v>26933.050000000003</v>
      </c>
      <c r="I527" s="201">
        <f t="shared" si="72"/>
        <v>26933.050000000003</v>
      </c>
      <c r="J527" s="291"/>
    </row>
    <row r="528" spans="1:10" x14ac:dyDescent="0.3">
      <c r="B528" s="197" t="s">
        <v>13815</v>
      </c>
      <c r="C528" s="197" t="s">
        <v>12</v>
      </c>
      <c r="D528" s="198" t="s">
        <v>13262</v>
      </c>
      <c r="E528" s="199" t="s">
        <v>13259</v>
      </c>
      <c r="F528" s="197" t="s">
        <v>13258</v>
      </c>
      <c r="G528" s="200">
        <v>1</v>
      </c>
      <c r="H528" s="200">
        <f>+'Composições de Preços'!$F$354</f>
        <v>51849.252999999997</v>
      </c>
      <c r="I528" s="201">
        <f t="shared" ref="I528" si="74">+G528*H528</f>
        <v>51849.252999999997</v>
      </c>
      <c r="J528" s="299"/>
    </row>
    <row r="529" spans="1:10" x14ac:dyDescent="0.3">
      <c r="B529" s="197" t="s">
        <v>14546</v>
      </c>
      <c r="C529" s="197" t="s">
        <v>12</v>
      </c>
      <c r="D529" s="198" t="s">
        <v>13263</v>
      </c>
      <c r="E529" s="199" t="s">
        <v>13260</v>
      </c>
      <c r="F529" s="197" t="s">
        <v>13258</v>
      </c>
      <c r="G529" s="200">
        <v>1</v>
      </c>
      <c r="H529" s="200">
        <f>+'Composições de Preços'!$F$400</f>
        <v>23659.744900000002</v>
      </c>
      <c r="I529" s="201">
        <f t="shared" ref="I529" si="75">+G529*H529</f>
        <v>23659.744900000002</v>
      </c>
      <c r="J529" s="299"/>
    </row>
    <row r="530" spans="1:10" x14ac:dyDescent="0.3">
      <c r="A530" s="42" t="s">
        <v>14475</v>
      </c>
      <c r="B530" s="209" t="s">
        <v>13102</v>
      </c>
      <c r="C530" s="209" t="s">
        <v>13</v>
      </c>
      <c r="D530" s="210" t="s">
        <v>13</v>
      </c>
      <c r="E530" s="211" t="s">
        <v>13093</v>
      </c>
      <c r="F530" s="209" t="s">
        <v>13</v>
      </c>
      <c r="G530" s="212">
        <v>0</v>
      </c>
      <c r="H530" s="212">
        <v>0</v>
      </c>
      <c r="I530" s="212">
        <f>SUM(I531:I544)</f>
        <v>181932.64905664895</v>
      </c>
      <c r="J530" s="284" t="s">
        <v>14477</v>
      </c>
    </row>
    <row r="531" spans="1:10" ht="28.8" x14ac:dyDescent="0.3">
      <c r="B531" s="197" t="s">
        <v>13816</v>
      </c>
      <c r="C531" s="197" t="s">
        <v>13039</v>
      </c>
      <c r="D531" s="198" t="s">
        <v>11052</v>
      </c>
      <c r="E531" s="199" t="str">
        <f>VLOOKUP($D531,'Preços Unitários'!$B:$G,2,FALSE)</f>
        <v>Desmatamento, destocamento e limpeza de área com árvores de diâmetro até 0,15 m</v>
      </c>
      <c r="F531" s="197" t="str">
        <f>VLOOKUP($D531,'Preços Unitários'!$B:$G,3,FALSE)</f>
        <v>m²</v>
      </c>
      <c r="G531" s="200">
        <f>+'MC EC'!I19</f>
        <v>180.8</v>
      </c>
      <c r="H531" s="200">
        <f>VLOOKUP($D531,'Preços Unitários'!$B:$G,6,FALSE)</f>
        <v>0.87688999999999995</v>
      </c>
      <c r="I531" s="201">
        <f t="shared" ref="I531:I544" si="76">+G531*H531</f>
        <v>158.54171199999999</v>
      </c>
      <c r="J531" s="299"/>
    </row>
    <row r="532" spans="1:10" ht="43.2" x14ac:dyDescent="0.3">
      <c r="B532" s="197" t="s">
        <v>13817</v>
      </c>
      <c r="C532" s="197" t="s">
        <v>13039</v>
      </c>
      <c r="D532" s="198" t="s">
        <v>11092</v>
      </c>
      <c r="E532" s="199" t="str">
        <f>VLOOKUP($D532,'Preços Unitários'!$B:$G,2,FALSE)</f>
        <v>Escavação, carga e transporte de material de 1ª categoria - DMT de 1.000 a 1.200 m - caminho de serviço em leito natural - com escavadeira e caminhão basculante de 14 m³</v>
      </c>
      <c r="F532" s="197" t="str">
        <f>VLOOKUP($D532,'Preços Unitários'!$B:$G,3,FALSE)</f>
        <v>m³</v>
      </c>
      <c r="G532" s="200">
        <f>+'MC EC'!I20</f>
        <v>84.511999999999162</v>
      </c>
      <c r="H532" s="200">
        <f>VLOOKUP($D532,'Preços Unitários'!$B:$G,6,FALSE)</f>
        <v>10.673003999999999</v>
      </c>
      <c r="I532" s="201">
        <f t="shared" si="76"/>
        <v>901.99691404799091</v>
      </c>
      <c r="J532" s="299"/>
    </row>
    <row r="533" spans="1:10" x14ac:dyDescent="0.3">
      <c r="B533" s="197" t="s">
        <v>13818</v>
      </c>
      <c r="C533" s="197" t="s">
        <v>13039</v>
      </c>
      <c r="D533" s="198" t="s">
        <v>11046</v>
      </c>
      <c r="E533" s="199" t="str">
        <f>VLOOKUP($D533,'Preços Unitários'!$B:$G,2,FALSE)</f>
        <v>Compactação de aterros a 100% do Proctor normal</v>
      </c>
      <c r="F533" s="197" t="str">
        <f>VLOOKUP($D533,'Preços Unitários'!$B:$G,3,FALSE)</f>
        <v>m³</v>
      </c>
      <c r="G533" s="200">
        <f>+'MC EC'!I21</f>
        <v>28.911999999999718</v>
      </c>
      <c r="H533" s="200">
        <f>VLOOKUP($D533,'Preços Unitários'!$B:$G,6,FALSE)</f>
        <v>7.1028090000000006</v>
      </c>
      <c r="I533" s="201">
        <f t="shared" si="76"/>
        <v>205.35641380799802</v>
      </c>
      <c r="J533" s="299"/>
    </row>
    <row r="534" spans="1:10" ht="28.8" x14ac:dyDescent="0.3">
      <c r="B534" s="197" t="s">
        <v>13819</v>
      </c>
      <c r="C534" s="197" t="s">
        <v>13039</v>
      </c>
      <c r="D534" s="198" t="s">
        <v>11947</v>
      </c>
      <c r="E534" s="199" t="str">
        <f>VLOOKUP($D534,'Preços Unitários'!$B:$G,2,FALSE)</f>
        <v>Transporte com caminhão basculante de 14 m³ - rodovia em leito natural</v>
      </c>
      <c r="F534" s="197" t="str">
        <f>VLOOKUP($D534,'Preços Unitários'!$B:$G,3,FALSE)</f>
        <v>tkm</v>
      </c>
      <c r="G534" s="200">
        <f>+'MC EC'!I22</f>
        <v>389.19999999999607</v>
      </c>
      <c r="H534" s="200">
        <f>VLOOKUP($D534,'Preços Unitários'!$B:$G,6,FALSE)</f>
        <v>1.165011</v>
      </c>
      <c r="I534" s="201">
        <f t="shared" si="76"/>
        <v>453.42228119999544</v>
      </c>
      <c r="J534" s="299"/>
    </row>
    <row r="535" spans="1:10" ht="28.8" x14ac:dyDescent="0.3">
      <c r="B535" s="197" t="s">
        <v>13820</v>
      </c>
      <c r="C535" s="197" t="s">
        <v>13039</v>
      </c>
      <c r="D535" s="198" t="s">
        <v>3137</v>
      </c>
      <c r="E535" s="199" t="str">
        <f>VLOOKUP($D535,'Preços Unitários'!$B:$G,2,FALSE)</f>
        <v>Concreto magro - confecção em betoneira e lançamento manual - areia e brita comerciais</v>
      </c>
      <c r="F535" s="197" t="str">
        <f>VLOOKUP($D535,'Preços Unitários'!$B:$G,3,FALSE)</f>
        <v>m³</v>
      </c>
      <c r="G535" s="200">
        <f>+'MC EC'!I23</f>
        <v>6.9600000000000009</v>
      </c>
      <c r="H535" s="200">
        <f>VLOOKUP($D535,'Preços Unitários'!$B:$G,6,FALSE)</f>
        <v>573.22299299999997</v>
      </c>
      <c r="I535" s="201">
        <f t="shared" si="76"/>
        <v>3989.6320312800003</v>
      </c>
      <c r="J535" s="299"/>
    </row>
    <row r="536" spans="1:10" ht="28.8" x14ac:dyDescent="0.3">
      <c r="B536" s="197" t="s">
        <v>13821</v>
      </c>
      <c r="C536" s="197" t="s">
        <v>13039</v>
      </c>
      <c r="D536" s="198" t="s">
        <v>3149</v>
      </c>
      <c r="E536" s="199" t="str">
        <f>VLOOKUP($D536,'Preços Unitários'!$B:$G,2,FALSE)</f>
        <v>Concreto para bombeamento fck = 30 MPa - confecção em central dosadora de 30 m³/h - areia e brita comerciais</v>
      </c>
      <c r="F536" s="197" t="str">
        <f>VLOOKUP($D536,'Preços Unitários'!$B:$G,3,FALSE)</f>
        <v>m³</v>
      </c>
      <c r="G536" s="200">
        <f>+'MC EC'!I24</f>
        <v>16.247999999999902</v>
      </c>
      <c r="H536" s="200">
        <f>VLOOKUP($D536,'Preços Unitários'!$B:$G,6,FALSE)</f>
        <v>575.92882499999996</v>
      </c>
      <c r="I536" s="201">
        <f t="shared" si="76"/>
        <v>9357.6915485999434</v>
      </c>
      <c r="J536" s="299"/>
    </row>
    <row r="537" spans="1:10" ht="43.2" x14ac:dyDescent="0.3">
      <c r="B537" s="197" t="s">
        <v>13822</v>
      </c>
      <c r="C537" s="197" t="s">
        <v>13039</v>
      </c>
      <c r="D537" s="198" t="s">
        <v>3201</v>
      </c>
      <c r="E537" s="199" t="str">
        <f>VLOOKUP($D537,'Preços Unitários'!$B:$G,2,FALSE)</f>
        <v>Lançamento mecânico de concreto com bomba rebocável com capacidade de 30 m³/h - confecção em central dosadora de 30 m³/h</v>
      </c>
      <c r="F537" s="197" t="str">
        <f>VLOOKUP($D537,'Preços Unitários'!$B:$G,3,FALSE)</f>
        <v>m³</v>
      </c>
      <c r="G537" s="200">
        <f>+'MC EC'!I25</f>
        <v>16.247999999999902</v>
      </c>
      <c r="H537" s="200">
        <f>VLOOKUP($D537,'Preços Unitários'!$B:$G,6,FALSE)</f>
        <v>86.285976000000005</v>
      </c>
      <c r="I537" s="201">
        <f t="shared" si="76"/>
        <v>1401.9745380479917</v>
      </c>
      <c r="J537" s="299"/>
    </row>
    <row r="538" spans="1:10" ht="28.8" x14ac:dyDescent="0.3">
      <c r="B538" s="197" t="s">
        <v>13823</v>
      </c>
      <c r="C538" s="197" t="s">
        <v>13039</v>
      </c>
      <c r="D538" s="198" t="s">
        <v>8335</v>
      </c>
      <c r="E538" s="199" t="str">
        <f>VLOOKUP($D538,'Preços Unitários'!$B:$G,2,FALSE)</f>
        <v>Fôrmas de compensado plastificado 12 mm - uso geral - utilização de 1 vez - confecção, instalação e retirada</v>
      </c>
      <c r="F538" s="197" t="str">
        <f>VLOOKUP($D538,'Preços Unitários'!$B:$G,3,FALSE)</f>
        <v>m²</v>
      </c>
      <c r="G538" s="200">
        <f>+'MC EC'!I26</f>
        <v>108.31999999999934</v>
      </c>
      <c r="H538" s="200">
        <f>VLOOKUP($D538,'Preços Unitários'!$B:$G,6,FALSE)</f>
        <v>175.71622900000003</v>
      </c>
      <c r="I538" s="201">
        <f t="shared" si="76"/>
        <v>19033.581925279886</v>
      </c>
      <c r="J538" s="299"/>
    </row>
    <row r="539" spans="1:10" ht="28.8" x14ac:dyDescent="0.3">
      <c r="B539" s="197" t="s">
        <v>13824</v>
      </c>
      <c r="C539" s="197" t="s">
        <v>13039</v>
      </c>
      <c r="D539" s="198" t="s">
        <v>211</v>
      </c>
      <c r="E539" s="199" t="str">
        <f>VLOOKUP($D539,'Preços Unitários'!$B:$G,2,FALSE)</f>
        <v>Armação em aço CA-50 - fornecimento, preparo e colocação</v>
      </c>
      <c r="F539" s="197" t="str">
        <f>VLOOKUP($D539,'Preços Unitários'!$B:$G,3,FALSE)</f>
        <v>kg</v>
      </c>
      <c r="G539" s="200">
        <f>+'MC EC'!I27</f>
        <v>1949.7599999999882</v>
      </c>
      <c r="H539" s="200">
        <f>VLOOKUP($D539,'Preços Unitários'!$B:$G,6,FALSE)</f>
        <v>15.846655000000002</v>
      </c>
      <c r="I539" s="201">
        <f t="shared" si="76"/>
        <v>30897.174052799815</v>
      </c>
      <c r="J539" s="299"/>
    </row>
    <row r="540" spans="1:10" ht="28.8" x14ac:dyDescent="0.3">
      <c r="B540" s="197" t="s">
        <v>13825</v>
      </c>
      <c r="C540" s="197" t="s">
        <v>13039</v>
      </c>
      <c r="D540" s="198" t="s">
        <v>8761</v>
      </c>
      <c r="E540" s="199" t="str">
        <f>VLOOKUP($D540,'Preços Unitários'!$B:$G,2,FALSE)</f>
        <v>Guarda-corpo e corrimão metálico para passarelas para pedestres - fornecimento e instalação</v>
      </c>
      <c r="F540" s="197" t="str">
        <f>VLOOKUP($D540,'Preços Unitários'!$B:$G,3,FALSE)</f>
        <v>m</v>
      </c>
      <c r="G540" s="200">
        <f>+'MC EC'!I28</f>
        <v>10.4</v>
      </c>
      <c r="H540" s="200">
        <f>VLOOKUP($D540,'Preços Unitários'!$B:$G,6,FALSE)</f>
        <v>928.91463099999999</v>
      </c>
      <c r="I540" s="201">
        <f t="shared" si="76"/>
        <v>9660.712162400001</v>
      </c>
      <c r="J540" s="299"/>
    </row>
    <row r="541" spans="1:10" x14ac:dyDescent="0.3">
      <c r="B541" s="197" t="s">
        <v>13826</v>
      </c>
      <c r="C541" s="197" t="s">
        <v>12</v>
      </c>
      <c r="D541" s="198" t="s">
        <v>13249</v>
      </c>
      <c r="E541" s="199" t="s">
        <v>13242</v>
      </c>
      <c r="F541" s="197" t="s">
        <v>2904</v>
      </c>
      <c r="G541" s="200">
        <f>+'MC EC'!I29</f>
        <v>35.200000000000003</v>
      </c>
      <c r="H541" s="200">
        <f>+'Composições de Preços'!$F$262</f>
        <v>97.457885715492935</v>
      </c>
      <c r="I541" s="201">
        <f t="shared" si="76"/>
        <v>3430.5175771853515</v>
      </c>
      <c r="J541" s="297"/>
    </row>
    <row r="542" spans="1:10" x14ac:dyDescent="0.3">
      <c r="B542" s="197" t="s">
        <v>13827</v>
      </c>
      <c r="C542" s="197" t="s">
        <v>12</v>
      </c>
      <c r="D542" s="198" t="s">
        <v>13257</v>
      </c>
      <c r="E542" s="199" t="s">
        <v>13256</v>
      </c>
      <c r="F542" s="197" t="s">
        <v>13258</v>
      </c>
      <c r="G542" s="200">
        <v>1</v>
      </c>
      <c r="H542" s="200">
        <f>+'Composições de Preços'!$F$308</f>
        <v>26933.050000000003</v>
      </c>
      <c r="I542" s="201">
        <f t="shared" si="76"/>
        <v>26933.050000000003</v>
      </c>
      <c r="J542" s="291"/>
    </row>
    <row r="543" spans="1:10" x14ac:dyDescent="0.3">
      <c r="B543" s="197" t="s">
        <v>13828</v>
      </c>
      <c r="C543" s="197" t="s">
        <v>12</v>
      </c>
      <c r="D543" s="198" t="s">
        <v>13262</v>
      </c>
      <c r="E543" s="199" t="s">
        <v>13259</v>
      </c>
      <c r="F543" s="197" t="s">
        <v>13258</v>
      </c>
      <c r="G543" s="200">
        <v>1</v>
      </c>
      <c r="H543" s="200">
        <f>+'Composições de Preços'!$F$354</f>
        <v>51849.252999999997</v>
      </c>
      <c r="I543" s="201">
        <f t="shared" si="76"/>
        <v>51849.252999999997</v>
      </c>
      <c r="J543" s="299"/>
    </row>
    <row r="544" spans="1:10" x14ac:dyDescent="0.3">
      <c r="B544" s="197" t="s">
        <v>14547</v>
      </c>
      <c r="C544" s="197" t="s">
        <v>12</v>
      </c>
      <c r="D544" s="198" t="s">
        <v>13263</v>
      </c>
      <c r="E544" s="199" t="s">
        <v>13260</v>
      </c>
      <c r="F544" s="197" t="s">
        <v>13258</v>
      </c>
      <c r="G544" s="200">
        <v>1</v>
      </c>
      <c r="H544" s="200">
        <f>+'Composições de Preços'!$F$400</f>
        <v>23659.744900000002</v>
      </c>
      <c r="I544" s="201">
        <f t="shared" si="76"/>
        <v>23659.744900000002</v>
      </c>
      <c r="J544" s="299"/>
    </row>
    <row r="545" spans="1:10" x14ac:dyDescent="0.3">
      <c r="A545" s="42" t="s">
        <v>14477</v>
      </c>
      <c r="B545" s="209" t="s">
        <v>13103</v>
      </c>
      <c r="C545" s="209" t="s">
        <v>13</v>
      </c>
      <c r="D545" s="210" t="s">
        <v>13</v>
      </c>
      <c r="E545" s="211" t="s">
        <v>13094</v>
      </c>
      <c r="F545" s="209" t="s">
        <v>13</v>
      </c>
      <c r="G545" s="212">
        <v>0</v>
      </c>
      <c r="H545" s="212">
        <v>0</v>
      </c>
      <c r="I545" s="212">
        <f>SUM(I546:I559)</f>
        <v>181932.64905664895</v>
      </c>
      <c r="J545" s="284" t="s">
        <v>14477</v>
      </c>
    </row>
    <row r="546" spans="1:10" ht="28.8" x14ac:dyDescent="0.3">
      <c r="B546" s="197" t="s">
        <v>13829</v>
      </c>
      <c r="C546" s="197" t="s">
        <v>13039</v>
      </c>
      <c r="D546" s="198" t="s">
        <v>11052</v>
      </c>
      <c r="E546" s="199" t="str">
        <f>VLOOKUP($D546,'Preços Unitários'!$B:$G,2,FALSE)</f>
        <v>Desmatamento, destocamento e limpeza de área com árvores de diâmetro até 0,15 m</v>
      </c>
      <c r="F546" s="197" t="str">
        <f>VLOOKUP($D546,'Preços Unitários'!$B:$G,3,FALSE)</f>
        <v>m²</v>
      </c>
      <c r="G546" s="200">
        <f>+'MC EC'!I33</f>
        <v>180.8</v>
      </c>
      <c r="H546" s="200">
        <f>VLOOKUP($D546,'Preços Unitários'!$B:$G,6,FALSE)</f>
        <v>0.87688999999999995</v>
      </c>
      <c r="I546" s="201">
        <f t="shared" ref="I546:I559" si="77">+G546*H546</f>
        <v>158.54171199999999</v>
      </c>
      <c r="J546" s="299"/>
    </row>
    <row r="547" spans="1:10" ht="43.2" x14ac:dyDescent="0.3">
      <c r="B547" s="197" t="s">
        <v>13830</v>
      </c>
      <c r="C547" s="197" t="s">
        <v>13039</v>
      </c>
      <c r="D547" s="198" t="s">
        <v>11092</v>
      </c>
      <c r="E547" s="199" t="str">
        <f>VLOOKUP($D547,'Preços Unitários'!$B:$G,2,FALSE)</f>
        <v>Escavação, carga e transporte de material de 1ª categoria - DMT de 1.000 a 1.200 m - caminho de serviço em leito natural - com escavadeira e caminhão basculante de 14 m³</v>
      </c>
      <c r="F547" s="197" t="str">
        <f>VLOOKUP($D547,'Preços Unitários'!$B:$G,3,FALSE)</f>
        <v>m³</v>
      </c>
      <c r="G547" s="200">
        <f>+'MC EC'!I34</f>
        <v>84.511999999999162</v>
      </c>
      <c r="H547" s="200">
        <f>VLOOKUP($D547,'Preços Unitários'!$B:$G,6,FALSE)</f>
        <v>10.673003999999999</v>
      </c>
      <c r="I547" s="201">
        <f t="shared" si="77"/>
        <v>901.99691404799091</v>
      </c>
      <c r="J547" s="299"/>
    </row>
    <row r="548" spans="1:10" x14ac:dyDescent="0.3">
      <c r="B548" s="197" t="s">
        <v>13831</v>
      </c>
      <c r="C548" s="197" t="s">
        <v>13039</v>
      </c>
      <c r="D548" s="198" t="s">
        <v>11046</v>
      </c>
      <c r="E548" s="199" t="str">
        <f>VLOOKUP($D548,'Preços Unitários'!$B:$G,2,FALSE)</f>
        <v>Compactação de aterros a 100% do Proctor normal</v>
      </c>
      <c r="F548" s="197" t="str">
        <f>VLOOKUP($D548,'Preços Unitários'!$B:$G,3,FALSE)</f>
        <v>m³</v>
      </c>
      <c r="G548" s="200">
        <f>+'MC EC'!I35</f>
        <v>28.911999999999718</v>
      </c>
      <c r="H548" s="200">
        <f>VLOOKUP($D548,'Preços Unitários'!$B:$G,6,FALSE)</f>
        <v>7.1028090000000006</v>
      </c>
      <c r="I548" s="201">
        <f t="shared" si="77"/>
        <v>205.35641380799802</v>
      </c>
      <c r="J548" s="299"/>
    </row>
    <row r="549" spans="1:10" ht="28.8" x14ac:dyDescent="0.3">
      <c r="B549" s="197" t="s">
        <v>13832</v>
      </c>
      <c r="C549" s="197" t="s">
        <v>13039</v>
      </c>
      <c r="D549" s="198" t="s">
        <v>11947</v>
      </c>
      <c r="E549" s="199" t="str">
        <f>VLOOKUP($D549,'Preços Unitários'!$B:$G,2,FALSE)</f>
        <v>Transporte com caminhão basculante de 14 m³ - rodovia em leito natural</v>
      </c>
      <c r="F549" s="197" t="str">
        <f>VLOOKUP($D549,'Preços Unitários'!$B:$G,3,FALSE)</f>
        <v>tkm</v>
      </c>
      <c r="G549" s="200">
        <f>+'MC EC'!I36</f>
        <v>389.19999999999607</v>
      </c>
      <c r="H549" s="200">
        <f>VLOOKUP($D549,'Preços Unitários'!$B:$G,6,FALSE)</f>
        <v>1.165011</v>
      </c>
      <c r="I549" s="201">
        <f t="shared" si="77"/>
        <v>453.42228119999544</v>
      </c>
      <c r="J549" s="299"/>
    </row>
    <row r="550" spans="1:10" ht="28.8" x14ac:dyDescent="0.3">
      <c r="B550" s="197" t="s">
        <v>13833</v>
      </c>
      <c r="C550" s="197" t="s">
        <v>13039</v>
      </c>
      <c r="D550" s="198" t="s">
        <v>3137</v>
      </c>
      <c r="E550" s="199" t="str">
        <f>VLOOKUP($D550,'Preços Unitários'!$B:$G,2,FALSE)</f>
        <v>Concreto magro - confecção em betoneira e lançamento manual - areia e brita comerciais</v>
      </c>
      <c r="F550" s="197" t="str">
        <f>VLOOKUP($D550,'Preços Unitários'!$B:$G,3,FALSE)</f>
        <v>m³</v>
      </c>
      <c r="G550" s="200">
        <f>+'MC EC'!I37</f>
        <v>6.9600000000000009</v>
      </c>
      <c r="H550" s="200">
        <f>VLOOKUP($D550,'Preços Unitários'!$B:$G,6,FALSE)</f>
        <v>573.22299299999997</v>
      </c>
      <c r="I550" s="201">
        <f t="shared" si="77"/>
        <v>3989.6320312800003</v>
      </c>
      <c r="J550" s="299"/>
    </row>
    <row r="551" spans="1:10" ht="28.8" x14ac:dyDescent="0.3">
      <c r="B551" s="197" t="s">
        <v>13834</v>
      </c>
      <c r="C551" s="197" t="s">
        <v>13039</v>
      </c>
      <c r="D551" s="198" t="s">
        <v>3149</v>
      </c>
      <c r="E551" s="199" t="str">
        <f>VLOOKUP($D551,'Preços Unitários'!$B:$G,2,FALSE)</f>
        <v>Concreto para bombeamento fck = 30 MPa - confecção em central dosadora de 30 m³/h - areia e brita comerciais</v>
      </c>
      <c r="F551" s="197" t="str">
        <f>VLOOKUP($D551,'Preços Unitários'!$B:$G,3,FALSE)</f>
        <v>m³</v>
      </c>
      <c r="G551" s="200">
        <f>+'MC EC'!I38</f>
        <v>16.247999999999902</v>
      </c>
      <c r="H551" s="200">
        <f>VLOOKUP($D551,'Preços Unitários'!$B:$G,6,FALSE)</f>
        <v>575.92882499999996</v>
      </c>
      <c r="I551" s="201">
        <f t="shared" si="77"/>
        <v>9357.6915485999434</v>
      </c>
      <c r="J551" s="299"/>
    </row>
    <row r="552" spans="1:10" ht="43.2" x14ac:dyDescent="0.3">
      <c r="B552" s="197" t="s">
        <v>13835</v>
      </c>
      <c r="C552" s="197" t="s">
        <v>13039</v>
      </c>
      <c r="D552" s="198" t="s">
        <v>3201</v>
      </c>
      <c r="E552" s="199" t="str">
        <f>VLOOKUP($D552,'Preços Unitários'!$B:$G,2,FALSE)</f>
        <v>Lançamento mecânico de concreto com bomba rebocável com capacidade de 30 m³/h - confecção em central dosadora de 30 m³/h</v>
      </c>
      <c r="F552" s="197" t="str">
        <f>VLOOKUP($D552,'Preços Unitários'!$B:$G,3,FALSE)</f>
        <v>m³</v>
      </c>
      <c r="G552" s="200">
        <f>+'MC EC'!I39</f>
        <v>16.247999999999902</v>
      </c>
      <c r="H552" s="200">
        <f>VLOOKUP($D552,'Preços Unitários'!$B:$G,6,FALSE)</f>
        <v>86.285976000000005</v>
      </c>
      <c r="I552" s="201">
        <f t="shared" si="77"/>
        <v>1401.9745380479917</v>
      </c>
      <c r="J552" s="299"/>
    </row>
    <row r="553" spans="1:10" ht="28.8" x14ac:dyDescent="0.3">
      <c r="B553" s="197" t="s">
        <v>13836</v>
      </c>
      <c r="C553" s="197" t="s">
        <v>13039</v>
      </c>
      <c r="D553" s="198" t="s">
        <v>8335</v>
      </c>
      <c r="E553" s="199" t="str">
        <f>VLOOKUP($D553,'Preços Unitários'!$B:$G,2,FALSE)</f>
        <v>Fôrmas de compensado plastificado 12 mm - uso geral - utilização de 1 vez - confecção, instalação e retirada</v>
      </c>
      <c r="F553" s="197" t="str">
        <f>VLOOKUP($D553,'Preços Unitários'!$B:$G,3,FALSE)</f>
        <v>m²</v>
      </c>
      <c r="G553" s="200">
        <f>+'MC EC'!I40</f>
        <v>108.31999999999934</v>
      </c>
      <c r="H553" s="200">
        <f>VLOOKUP($D553,'Preços Unitários'!$B:$G,6,FALSE)</f>
        <v>175.71622900000003</v>
      </c>
      <c r="I553" s="201">
        <f t="shared" si="77"/>
        <v>19033.581925279886</v>
      </c>
      <c r="J553" s="299"/>
    </row>
    <row r="554" spans="1:10" ht="28.8" x14ac:dyDescent="0.3">
      <c r="B554" s="197" t="s">
        <v>13837</v>
      </c>
      <c r="C554" s="197" t="s">
        <v>13039</v>
      </c>
      <c r="D554" s="198" t="s">
        <v>211</v>
      </c>
      <c r="E554" s="199" t="str">
        <f>VLOOKUP($D554,'Preços Unitários'!$B:$G,2,FALSE)</f>
        <v>Armação em aço CA-50 - fornecimento, preparo e colocação</v>
      </c>
      <c r="F554" s="197" t="str">
        <f>VLOOKUP($D554,'Preços Unitários'!$B:$G,3,FALSE)</f>
        <v>kg</v>
      </c>
      <c r="G554" s="200">
        <f>+'MC EC'!I41</f>
        <v>1949.7599999999882</v>
      </c>
      <c r="H554" s="200">
        <f>VLOOKUP($D554,'Preços Unitários'!$B:$G,6,FALSE)</f>
        <v>15.846655000000002</v>
      </c>
      <c r="I554" s="201">
        <f t="shared" si="77"/>
        <v>30897.174052799815</v>
      </c>
      <c r="J554" s="299"/>
    </row>
    <row r="555" spans="1:10" ht="28.8" x14ac:dyDescent="0.3">
      <c r="B555" s="197" t="s">
        <v>13838</v>
      </c>
      <c r="C555" s="197" t="s">
        <v>13039</v>
      </c>
      <c r="D555" s="198" t="s">
        <v>8761</v>
      </c>
      <c r="E555" s="199" t="str">
        <f>VLOOKUP($D555,'Preços Unitários'!$B:$G,2,FALSE)</f>
        <v>Guarda-corpo e corrimão metálico para passarelas para pedestres - fornecimento e instalação</v>
      </c>
      <c r="F555" s="197" t="str">
        <f>VLOOKUP($D555,'Preços Unitários'!$B:$G,3,FALSE)</f>
        <v>m</v>
      </c>
      <c r="G555" s="200">
        <f>+'MC EC'!I42</f>
        <v>10.4</v>
      </c>
      <c r="H555" s="200">
        <f>VLOOKUP($D555,'Preços Unitários'!$B:$G,6,FALSE)</f>
        <v>928.91463099999999</v>
      </c>
      <c r="I555" s="201">
        <f t="shared" si="77"/>
        <v>9660.712162400001</v>
      </c>
      <c r="J555" s="299"/>
    </row>
    <row r="556" spans="1:10" x14ac:dyDescent="0.3">
      <c r="B556" s="197" t="s">
        <v>13839</v>
      </c>
      <c r="C556" s="197" t="s">
        <v>12</v>
      </c>
      <c r="D556" s="198" t="s">
        <v>13249</v>
      </c>
      <c r="E556" s="199" t="s">
        <v>13242</v>
      </c>
      <c r="F556" s="197" t="s">
        <v>2904</v>
      </c>
      <c r="G556" s="200">
        <f>+'MC EC'!I43</f>
        <v>35.200000000000003</v>
      </c>
      <c r="H556" s="200">
        <f>+'Composições de Preços'!$F$262</f>
        <v>97.457885715492935</v>
      </c>
      <c r="I556" s="201">
        <f t="shared" si="77"/>
        <v>3430.5175771853515</v>
      </c>
      <c r="J556" s="291"/>
    </row>
    <row r="557" spans="1:10" x14ac:dyDescent="0.3">
      <c r="B557" s="197" t="s">
        <v>13840</v>
      </c>
      <c r="C557" s="197" t="s">
        <v>12</v>
      </c>
      <c r="D557" s="198" t="s">
        <v>13257</v>
      </c>
      <c r="E557" s="199" t="s">
        <v>13256</v>
      </c>
      <c r="F557" s="197" t="s">
        <v>13258</v>
      </c>
      <c r="G557" s="200">
        <v>1</v>
      </c>
      <c r="H557" s="200">
        <f>+'Composições de Preços'!$F$308</f>
        <v>26933.050000000003</v>
      </c>
      <c r="I557" s="201">
        <f t="shared" si="77"/>
        <v>26933.050000000003</v>
      </c>
      <c r="J557" s="299"/>
    </row>
    <row r="558" spans="1:10" x14ac:dyDescent="0.3">
      <c r="B558" s="197" t="s">
        <v>13841</v>
      </c>
      <c r="C558" s="197" t="s">
        <v>12</v>
      </c>
      <c r="D558" s="198" t="s">
        <v>13262</v>
      </c>
      <c r="E558" s="199" t="s">
        <v>13259</v>
      </c>
      <c r="F558" s="197" t="s">
        <v>13258</v>
      </c>
      <c r="G558" s="200">
        <v>1</v>
      </c>
      <c r="H558" s="200">
        <f>+'Composições de Preços'!$F$354</f>
        <v>51849.252999999997</v>
      </c>
      <c r="I558" s="201">
        <f t="shared" si="77"/>
        <v>51849.252999999997</v>
      </c>
      <c r="J558" s="299"/>
    </row>
    <row r="559" spans="1:10" x14ac:dyDescent="0.3">
      <c r="B559" s="197" t="s">
        <v>14548</v>
      </c>
      <c r="C559" s="197" t="s">
        <v>12</v>
      </c>
      <c r="D559" s="198" t="s">
        <v>13263</v>
      </c>
      <c r="E559" s="199" t="s">
        <v>13260</v>
      </c>
      <c r="F559" s="197" t="s">
        <v>13258</v>
      </c>
      <c r="G559" s="200">
        <v>1</v>
      </c>
      <c r="H559" s="200">
        <f>+'Composições de Preços'!$F$400</f>
        <v>23659.744900000002</v>
      </c>
      <c r="I559" s="201">
        <f t="shared" si="77"/>
        <v>23659.744900000002</v>
      </c>
      <c r="J559" s="299"/>
    </row>
    <row r="560" spans="1:10" x14ac:dyDescent="0.3">
      <c r="A560" s="42" t="s">
        <v>14477</v>
      </c>
      <c r="B560" s="209" t="s">
        <v>13104</v>
      </c>
      <c r="C560" s="209" t="s">
        <v>13</v>
      </c>
      <c r="D560" s="210" t="s">
        <v>13</v>
      </c>
      <c r="E560" s="211" t="s">
        <v>13095</v>
      </c>
      <c r="F560" s="209" t="s">
        <v>13</v>
      </c>
      <c r="G560" s="212">
        <v>0</v>
      </c>
      <c r="H560" s="212">
        <v>0</v>
      </c>
      <c r="I560" s="212">
        <f>SUM(I561:I574)</f>
        <v>157827.38961936129</v>
      </c>
      <c r="J560" s="284" t="s">
        <v>14477</v>
      </c>
    </row>
    <row r="561" spans="1:10" ht="28.8" x14ac:dyDescent="0.3">
      <c r="B561" s="197" t="s">
        <v>13842</v>
      </c>
      <c r="C561" s="197" t="s">
        <v>13039</v>
      </c>
      <c r="D561" s="198" t="s">
        <v>11052</v>
      </c>
      <c r="E561" s="199" t="str">
        <f>VLOOKUP($D561,'Preços Unitários'!$B:$G,2,FALSE)</f>
        <v>Desmatamento, destocamento e limpeza de área com árvores de diâmetro até 0,15 m</v>
      </c>
      <c r="F561" s="197" t="str">
        <f>VLOOKUP($D561,'Preços Unitários'!$B:$G,3,FALSE)</f>
        <v>m²</v>
      </c>
      <c r="G561" s="200">
        <f>+'MC EC'!I47</f>
        <v>170.4</v>
      </c>
      <c r="H561" s="200">
        <f>VLOOKUP($D561,'Preços Unitários'!$B:$G,6,FALSE)</f>
        <v>0.87688999999999995</v>
      </c>
      <c r="I561" s="201">
        <f t="shared" ref="I561:I574" si="78">+G561*H561</f>
        <v>149.422056</v>
      </c>
      <c r="J561" s="299"/>
    </row>
    <row r="562" spans="1:10" ht="43.2" x14ac:dyDescent="0.3">
      <c r="B562" s="197" t="s">
        <v>13843</v>
      </c>
      <c r="C562" s="197" t="s">
        <v>13039</v>
      </c>
      <c r="D562" s="198" t="s">
        <v>11092</v>
      </c>
      <c r="E562" s="199" t="str">
        <f>VLOOKUP($D562,'Preços Unitários'!$B:$G,2,FALSE)</f>
        <v>Escavação, carga e transporte de material de 1ª categoria - DMT de 1.000 a 1.200 m - caminho de serviço em leito natural - com escavadeira e caminhão basculante de 14 m³</v>
      </c>
      <c r="F562" s="197" t="str">
        <f>VLOOKUP($D562,'Preços Unitários'!$B:$G,3,FALSE)</f>
        <v>m³</v>
      </c>
      <c r="G562" s="200">
        <f>+'MC EC'!I48</f>
        <v>59.975999999999885</v>
      </c>
      <c r="H562" s="200">
        <f>VLOOKUP($D562,'Preços Unitários'!$B:$G,6,FALSE)</f>
        <v>10.673003999999999</v>
      </c>
      <c r="I562" s="201">
        <f t="shared" si="78"/>
        <v>640.12408790399866</v>
      </c>
      <c r="J562" s="299"/>
    </row>
    <row r="563" spans="1:10" x14ac:dyDescent="0.3">
      <c r="B563" s="197" t="s">
        <v>13844</v>
      </c>
      <c r="C563" s="197" t="s">
        <v>13039</v>
      </c>
      <c r="D563" s="198" t="s">
        <v>11046</v>
      </c>
      <c r="E563" s="199" t="str">
        <f>VLOOKUP($D563,'Preços Unitários'!$B:$G,2,FALSE)</f>
        <v>Compactação de aterros a 100% do Proctor normal</v>
      </c>
      <c r="F563" s="197" t="str">
        <f>VLOOKUP($D563,'Preços Unitários'!$B:$G,3,FALSE)</f>
        <v>m³</v>
      </c>
      <c r="G563" s="200">
        <f>+'MC EC'!I49</f>
        <v>12.375999999999976</v>
      </c>
      <c r="H563" s="200">
        <f>VLOOKUP($D563,'Preços Unitários'!$B:$G,6,FALSE)</f>
        <v>7.1028090000000006</v>
      </c>
      <c r="I563" s="201">
        <f t="shared" si="78"/>
        <v>87.904364183999846</v>
      </c>
      <c r="J563" s="299"/>
    </row>
    <row r="564" spans="1:10" ht="28.8" x14ac:dyDescent="0.3">
      <c r="B564" s="197" t="s">
        <v>13845</v>
      </c>
      <c r="C564" s="197" t="s">
        <v>13039</v>
      </c>
      <c r="D564" s="198" t="s">
        <v>11947</v>
      </c>
      <c r="E564" s="199" t="str">
        <f>VLOOKUP($D564,'Preços Unitários'!$B:$G,2,FALSE)</f>
        <v>Transporte com caminhão basculante de 14 m³ - rodovia em leito natural</v>
      </c>
      <c r="F564" s="197" t="str">
        <f>VLOOKUP($D564,'Preços Unitários'!$B:$G,3,FALSE)</f>
        <v>tkm</v>
      </c>
      <c r="G564" s="200">
        <f>+'MC EC'!I50</f>
        <v>333.19999999999936</v>
      </c>
      <c r="H564" s="200">
        <f>VLOOKUP($D564,'Preços Unitários'!$B:$G,6,FALSE)</f>
        <v>1.165011</v>
      </c>
      <c r="I564" s="201">
        <f t="shared" si="78"/>
        <v>388.18166519999926</v>
      </c>
      <c r="J564" s="299"/>
    </row>
    <row r="565" spans="1:10" ht="28.8" x14ac:dyDescent="0.3">
      <c r="B565" s="197" t="s">
        <v>13846</v>
      </c>
      <c r="C565" s="197" t="s">
        <v>13039</v>
      </c>
      <c r="D565" s="198" t="s">
        <v>3137</v>
      </c>
      <c r="E565" s="199" t="str">
        <f>VLOOKUP($D565,'Preços Unitários'!$B:$G,2,FALSE)</f>
        <v>Concreto magro - confecção em betoneira e lançamento manual - areia e brita comerciais</v>
      </c>
      <c r="F565" s="197" t="str">
        <f>VLOOKUP($D565,'Preços Unitários'!$B:$G,3,FALSE)</f>
        <v>m³</v>
      </c>
      <c r="G565" s="200">
        <f>+'MC EC'!I51</f>
        <v>3.84</v>
      </c>
      <c r="H565" s="200">
        <f>VLOOKUP($D565,'Preços Unitários'!$B:$G,6,FALSE)</f>
        <v>573.22299299999997</v>
      </c>
      <c r="I565" s="201">
        <f t="shared" si="78"/>
        <v>2201.1762931199996</v>
      </c>
      <c r="J565" s="299"/>
    </row>
    <row r="566" spans="1:10" ht="28.8" x14ac:dyDescent="0.3">
      <c r="B566" s="197" t="s">
        <v>13847</v>
      </c>
      <c r="C566" s="197" t="s">
        <v>13039</v>
      </c>
      <c r="D566" s="198" t="s">
        <v>3149</v>
      </c>
      <c r="E566" s="199" t="str">
        <f>VLOOKUP($D566,'Preços Unitários'!$B:$G,2,FALSE)</f>
        <v>Concreto para bombeamento fck = 30 MPa - confecção em central dosadora de 30 m³/h - areia e brita comerciais</v>
      </c>
      <c r="F566" s="197" t="str">
        <f>VLOOKUP($D566,'Preços Unitários'!$B:$G,3,FALSE)</f>
        <v>m³</v>
      </c>
      <c r="G566" s="200">
        <f>+'MC EC'!I52</f>
        <v>11.687999999999983</v>
      </c>
      <c r="H566" s="200">
        <f>VLOOKUP($D566,'Preços Unitários'!$B:$G,6,FALSE)</f>
        <v>575.92882499999996</v>
      </c>
      <c r="I566" s="201">
        <f t="shared" si="78"/>
        <v>6731.4561065999897</v>
      </c>
      <c r="J566" s="299"/>
    </row>
    <row r="567" spans="1:10" ht="43.2" x14ac:dyDescent="0.3">
      <c r="B567" s="197" t="s">
        <v>13848</v>
      </c>
      <c r="C567" s="197" t="s">
        <v>13039</v>
      </c>
      <c r="D567" s="198" t="s">
        <v>3201</v>
      </c>
      <c r="E567" s="199" t="str">
        <f>VLOOKUP($D567,'Preços Unitários'!$B:$G,2,FALSE)</f>
        <v>Lançamento mecânico de concreto com bomba rebocável com capacidade de 30 m³/h - confecção em central dosadora de 30 m³/h</v>
      </c>
      <c r="F567" s="197" t="str">
        <f>VLOOKUP($D567,'Preços Unitários'!$B:$G,3,FALSE)</f>
        <v>m³</v>
      </c>
      <c r="G567" s="200">
        <f>+'MC EC'!I53</f>
        <v>11.687999999999983</v>
      </c>
      <c r="H567" s="200">
        <f>VLOOKUP($D567,'Preços Unitários'!$B:$G,6,FALSE)</f>
        <v>86.285976000000005</v>
      </c>
      <c r="I567" s="201">
        <f t="shared" si="78"/>
        <v>1008.5104874879986</v>
      </c>
      <c r="J567" s="299"/>
    </row>
    <row r="568" spans="1:10" ht="28.8" x14ac:dyDescent="0.3">
      <c r="B568" s="197" t="s">
        <v>13849</v>
      </c>
      <c r="C568" s="197" t="s">
        <v>13039</v>
      </c>
      <c r="D568" s="198" t="s">
        <v>8335</v>
      </c>
      <c r="E568" s="199" t="str">
        <f>VLOOKUP($D568,'Preços Unitários'!$B:$G,2,FALSE)</f>
        <v>Fôrmas de compensado plastificado 12 mm - uso geral - utilização de 1 vez - confecção, instalação e retirada</v>
      </c>
      <c r="F568" s="197" t="str">
        <f>VLOOKUP($D568,'Preços Unitários'!$B:$G,3,FALSE)</f>
        <v>m²</v>
      </c>
      <c r="G568" s="200">
        <f>+'MC EC'!I54</f>
        <v>77.919999999999888</v>
      </c>
      <c r="H568" s="200">
        <f>VLOOKUP($D568,'Preços Unitários'!$B:$G,6,FALSE)</f>
        <v>175.71622900000003</v>
      </c>
      <c r="I568" s="201">
        <f t="shared" si="78"/>
        <v>13691.808563679982</v>
      </c>
      <c r="J568" s="299"/>
    </row>
    <row r="569" spans="1:10" ht="28.8" x14ac:dyDescent="0.3">
      <c r="B569" s="197" t="s">
        <v>13850</v>
      </c>
      <c r="C569" s="197" t="s">
        <v>13039</v>
      </c>
      <c r="D569" s="198" t="s">
        <v>211</v>
      </c>
      <c r="E569" s="199" t="str">
        <f>VLOOKUP($D569,'Preços Unitários'!$B:$G,2,FALSE)</f>
        <v>Armação em aço CA-50 - fornecimento, preparo e colocação</v>
      </c>
      <c r="F569" s="197" t="str">
        <f>VLOOKUP($D569,'Preços Unitários'!$B:$G,3,FALSE)</f>
        <v>kg</v>
      </c>
      <c r="G569" s="200">
        <f>+'MC EC'!I55</f>
        <v>1402.5599999999979</v>
      </c>
      <c r="H569" s="200">
        <f>VLOOKUP($D569,'Preços Unitários'!$B:$G,6,FALSE)</f>
        <v>15.846655000000002</v>
      </c>
      <c r="I569" s="201">
        <f t="shared" si="78"/>
        <v>22225.88443679997</v>
      </c>
      <c r="J569" s="299"/>
    </row>
    <row r="570" spans="1:10" ht="28.8" x14ac:dyDescent="0.3">
      <c r="B570" s="197" t="s">
        <v>13851</v>
      </c>
      <c r="C570" s="197" t="s">
        <v>13039</v>
      </c>
      <c r="D570" s="198" t="s">
        <v>8761</v>
      </c>
      <c r="E570" s="199" t="str">
        <f>VLOOKUP($D570,'Preços Unitários'!$B:$G,2,FALSE)</f>
        <v>Guarda-corpo e corrimão metálico para passarelas para pedestres - fornecimento e instalação</v>
      </c>
      <c r="F570" s="197" t="str">
        <f>VLOOKUP($D570,'Preços Unitários'!$B:$G,3,FALSE)</f>
        <v>m</v>
      </c>
      <c r="G570" s="200">
        <f>+'MC EC'!I56</f>
        <v>5.2</v>
      </c>
      <c r="H570" s="200">
        <f>VLOOKUP($D570,'Preços Unitários'!$B:$G,6,FALSE)</f>
        <v>928.91463099999999</v>
      </c>
      <c r="I570" s="201">
        <f t="shared" si="78"/>
        <v>4830.3560812000005</v>
      </c>
      <c r="J570" s="291"/>
    </row>
    <row r="571" spans="1:10" x14ac:dyDescent="0.3">
      <c r="B571" s="197" t="s">
        <v>13852</v>
      </c>
      <c r="C571" s="197" t="s">
        <v>12</v>
      </c>
      <c r="D571" s="198" t="s">
        <v>13249</v>
      </c>
      <c r="E571" s="199" t="s">
        <v>13242</v>
      </c>
      <c r="F571" s="197" t="s">
        <v>2904</v>
      </c>
      <c r="G571" s="200">
        <f>+'MC EC'!I57</f>
        <v>35.200000000000003</v>
      </c>
      <c r="H571" s="200">
        <f>+'Composições de Preços'!$F$262</f>
        <v>97.457885715492935</v>
      </c>
      <c r="I571" s="201">
        <f t="shared" si="78"/>
        <v>3430.5175771853515</v>
      </c>
      <c r="J571" s="299"/>
    </row>
    <row r="572" spans="1:10" x14ac:dyDescent="0.3">
      <c r="B572" s="197" t="s">
        <v>13853</v>
      </c>
      <c r="C572" s="197" t="s">
        <v>12</v>
      </c>
      <c r="D572" s="198" t="s">
        <v>13257</v>
      </c>
      <c r="E572" s="199" t="s">
        <v>13256</v>
      </c>
      <c r="F572" s="197" t="s">
        <v>13258</v>
      </c>
      <c r="G572" s="200">
        <v>1</v>
      </c>
      <c r="H572" s="200">
        <f>+'Composições de Preços'!$F$308</f>
        <v>26933.050000000003</v>
      </c>
      <c r="I572" s="201">
        <f t="shared" si="78"/>
        <v>26933.050000000003</v>
      </c>
      <c r="J572" s="299"/>
    </row>
    <row r="573" spans="1:10" x14ac:dyDescent="0.3">
      <c r="B573" s="197" t="s">
        <v>13854</v>
      </c>
      <c r="C573" s="197" t="s">
        <v>12</v>
      </c>
      <c r="D573" s="198" t="s">
        <v>13262</v>
      </c>
      <c r="E573" s="199" t="s">
        <v>13259</v>
      </c>
      <c r="F573" s="197" t="s">
        <v>13258</v>
      </c>
      <c r="G573" s="200">
        <v>1</v>
      </c>
      <c r="H573" s="200">
        <f>+'Composições de Preços'!$F$354</f>
        <v>51849.252999999997</v>
      </c>
      <c r="I573" s="201">
        <f t="shared" si="78"/>
        <v>51849.252999999997</v>
      </c>
      <c r="J573" s="299"/>
    </row>
    <row r="574" spans="1:10" x14ac:dyDescent="0.3">
      <c r="B574" s="197" t="s">
        <v>14549</v>
      </c>
      <c r="C574" s="197" t="s">
        <v>12</v>
      </c>
      <c r="D574" s="198" t="s">
        <v>13263</v>
      </c>
      <c r="E574" s="199" t="s">
        <v>13260</v>
      </c>
      <c r="F574" s="197" t="s">
        <v>13258</v>
      </c>
      <c r="G574" s="200">
        <v>1</v>
      </c>
      <c r="H574" s="200">
        <f>+'Composições de Preços'!$F$400</f>
        <v>23659.744900000002</v>
      </c>
      <c r="I574" s="201">
        <f t="shared" si="78"/>
        <v>23659.744900000002</v>
      </c>
      <c r="J574" s="299"/>
    </row>
    <row r="575" spans="1:10" s="219" customFormat="1" x14ac:dyDescent="0.3">
      <c r="B575" s="214">
        <v>0</v>
      </c>
      <c r="C575" s="215" t="s">
        <v>13</v>
      </c>
      <c r="D575" s="216" t="s">
        <v>13</v>
      </c>
      <c r="E575" s="217" t="s">
        <v>13345</v>
      </c>
      <c r="F575" s="215" t="s">
        <v>13</v>
      </c>
      <c r="G575" s="214">
        <v>0</v>
      </c>
      <c r="H575" s="214">
        <v>0</v>
      </c>
      <c r="I575" s="214">
        <f>+I576+I591+I606+I621</f>
        <v>788428.53759802168</v>
      </c>
      <c r="J575" s="299"/>
    </row>
    <row r="576" spans="1:10" x14ac:dyDescent="0.3">
      <c r="A576" s="42" t="s">
        <v>14476</v>
      </c>
      <c r="B576" s="209" t="s">
        <v>13106</v>
      </c>
      <c r="C576" s="209" t="s">
        <v>13</v>
      </c>
      <c r="D576" s="210" t="s">
        <v>13</v>
      </c>
      <c r="E576" s="211" t="s">
        <v>13097</v>
      </c>
      <c r="F576" s="209" t="s">
        <v>13</v>
      </c>
      <c r="G576" s="212">
        <v>0</v>
      </c>
      <c r="H576" s="212">
        <v>0</v>
      </c>
      <c r="I576" s="212">
        <f>SUM(I577:I590)</f>
        <v>217980.60912753674</v>
      </c>
      <c r="J576" s="284" t="s">
        <v>14476</v>
      </c>
    </row>
    <row r="577" spans="1:10" ht="28.8" x14ac:dyDescent="0.3">
      <c r="B577" s="197" t="s">
        <v>13855</v>
      </c>
      <c r="C577" s="197" t="s">
        <v>13039</v>
      </c>
      <c r="D577" s="198" t="s">
        <v>11052</v>
      </c>
      <c r="E577" s="199" t="str">
        <f>VLOOKUP($D577,'Preços Unitários'!$B:$G,2,FALSE)</f>
        <v>Desmatamento, destocamento e limpeza de área com árvores de diâmetro até 0,15 m</v>
      </c>
      <c r="F577" s="197" t="str">
        <f>VLOOKUP($D577,'Preços Unitários'!$B:$G,3,FALSE)</f>
        <v>m²</v>
      </c>
      <c r="G577" s="200">
        <f>+'MC EC'!I75</f>
        <v>192</v>
      </c>
      <c r="H577" s="200">
        <f>VLOOKUP($D577,'Preços Unitários'!$B:$G,6,FALSE)</f>
        <v>0.87688999999999995</v>
      </c>
      <c r="I577" s="201">
        <f t="shared" ref="I577:I590" si="79">+G577*H577</f>
        <v>168.36287999999999</v>
      </c>
      <c r="J577" s="299"/>
    </row>
    <row r="578" spans="1:10" ht="43.2" x14ac:dyDescent="0.3">
      <c r="B578" s="197" t="s">
        <v>13856</v>
      </c>
      <c r="C578" s="197" t="s">
        <v>13039</v>
      </c>
      <c r="D578" s="198" t="s">
        <v>11092</v>
      </c>
      <c r="E578" s="199" t="str">
        <f>VLOOKUP($D578,'Preços Unitários'!$B:$G,2,FALSE)</f>
        <v>Escavação, carga e transporte de material de 1ª categoria - DMT de 1.000 a 1.200 m - caminho de serviço em leito natural - com escavadeira e caminhão basculante de 14 m³</v>
      </c>
      <c r="F578" s="197" t="str">
        <f>VLOOKUP($D578,'Preços Unitários'!$B:$G,3,FALSE)</f>
        <v>m³</v>
      </c>
      <c r="G578" s="200">
        <f>+'MC EC'!I76</f>
        <v>141.11999999999853</v>
      </c>
      <c r="H578" s="200">
        <f>VLOOKUP($D578,'Preços Unitários'!$B:$G,6,FALSE)</f>
        <v>10.673003999999999</v>
      </c>
      <c r="I578" s="201">
        <f t="shared" si="79"/>
        <v>1506.1743244799841</v>
      </c>
      <c r="J578" s="299"/>
    </row>
    <row r="579" spans="1:10" x14ac:dyDescent="0.3">
      <c r="B579" s="197" t="s">
        <v>13857</v>
      </c>
      <c r="C579" s="197" t="s">
        <v>13039</v>
      </c>
      <c r="D579" s="198" t="s">
        <v>11046</v>
      </c>
      <c r="E579" s="199" t="str">
        <f>VLOOKUP($D579,'Preços Unitários'!$B:$G,2,FALSE)</f>
        <v>Compactação de aterros a 100% do Proctor normal</v>
      </c>
      <c r="F579" s="197" t="str">
        <f>VLOOKUP($D579,'Preços Unitários'!$B:$G,3,FALSE)</f>
        <v>m³</v>
      </c>
      <c r="G579" s="200">
        <f>+'MC EC'!I77</f>
        <v>62.719999999999345</v>
      </c>
      <c r="H579" s="200">
        <f>VLOOKUP($D579,'Preços Unitários'!$B:$G,6,FALSE)</f>
        <v>7.1028090000000006</v>
      </c>
      <c r="I579" s="201">
        <f t="shared" si="79"/>
        <v>445.48818047999538</v>
      </c>
      <c r="J579" s="299"/>
    </row>
    <row r="580" spans="1:10" ht="28.8" x14ac:dyDescent="0.3">
      <c r="B580" s="197" t="s">
        <v>13858</v>
      </c>
      <c r="C580" s="197" t="s">
        <v>13039</v>
      </c>
      <c r="D580" s="198" t="s">
        <v>11947</v>
      </c>
      <c r="E580" s="199" t="str">
        <f>VLOOKUP($D580,'Preços Unitários'!$B:$G,2,FALSE)</f>
        <v>Transporte com caminhão basculante de 14 m³ - rodovia em leito natural</v>
      </c>
      <c r="F580" s="197" t="str">
        <f>VLOOKUP($D580,'Preços Unitários'!$B:$G,3,FALSE)</f>
        <v>tkm</v>
      </c>
      <c r="G580" s="200">
        <f>+'MC EC'!I78</f>
        <v>548.79999999999427</v>
      </c>
      <c r="H580" s="200">
        <f>VLOOKUP($D580,'Preços Unitários'!$B:$G,6,FALSE)</f>
        <v>1.165011</v>
      </c>
      <c r="I580" s="201">
        <f t="shared" si="79"/>
        <v>639.35803679999333</v>
      </c>
      <c r="J580" s="299"/>
    </row>
    <row r="581" spans="1:10" ht="28.8" x14ac:dyDescent="0.3">
      <c r="B581" s="197" t="s">
        <v>13859</v>
      </c>
      <c r="C581" s="197" t="s">
        <v>13039</v>
      </c>
      <c r="D581" s="198" t="s">
        <v>3137</v>
      </c>
      <c r="E581" s="199" t="str">
        <f>VLOOKUP($D581,'Preços Unitários'!$B:$G,2,FALSE)</f>
        <v>Concreto magro - confecção em betoneira e lançamento manual - areia e brita comerciais</v>
      </c>
      <c r="F581" s="197" t="str">
        <f>VLOOKUP($D581,'Preços Unitários'!$B:$G,3,FALSE)</f>
        <v>m³</v>
      </c>
      <c r="G581" s="200">
        <f>+'MC EC'!I79</f>
        <v>10.319999999999999</v>
      </c>
      <c r="H581" s="200">
        <f>VLOOKUP($D581,'Preços Unitários'!$B:$G,6,FALSE)</f>
        <v>573.22299299999997</v>
      </c>
      <c r="I581" s="201">
        <f t="shared" si="79"/>
        <v>5915.6612877599991</v>
      </c>
      <c r="J581" s="299"/>
    </row>
    <row r="582" spans="1:10" ht="28.8" x14ac:dyDescent="0.3">
      <c r="B582" s="197" t="s">
        <v>13860</v>
      </c>
      <c r="C582" s="197" t="s">
        <v>13039</v>
      </c>
      <c r="D582" s="198" t="s">
        <v>3149</v>
      </c>
      <c r="E582" s="199" t="str">
        <f>VLOOKUP($D582,'Preços Unitários'!$B:$G,2,FALSE)</f>
        <v>Concreto para bombeamento fck = 30 MPa - confecção em central dosadora de 30 m³/h - areia e brita comerciais</v>
      </c>
      <c r="F582" s="197" t="str">
        <f>VLOOKUP($D582,'Preços Unitários'!$B:$G,3,FALSE)</f>
        <v>m³</v>
      </c>
      <c r="G582" s="200">
        <f>+'MC EC'!I80</f>
        <v>23.711999999999851</v>
      </c>
      <c r="H582" s="200">
        <f>VLOOKUP($D582,'Preços Unitários'!$B:$G,6,FALSE)</f>
        <v>575.92882499999996</v>
      </c>
      <c r="I582" s="201">
        <f t="shared" si="79"/>
        <v>13656.424298399914</v>
      </c>
      <c r="J582" s="296"/>
    </row>
    <row r="583" spans="1:10" ht="43.2" x14ac:dyDescent="0.3">
      <c r="B583" s="197" t="s">
        <v>13861</v>
      </c>
      <c r="C583" s="197" t="s">
        <v>13039</v>
      </c>
      <c r="D583" s="198" t="s">
        <v>3201</v>
      </c>
      <c r="E583" s="199" t="str">
        <f>VLOOKUP($D583,'Preços Unitários'!$B:$G,2,FALSE)</f>
        <v>Lançamento mecânico de concreto com bomba rebocável com capacidade de 30 m³/h - confecção em central dosadora de 30 m³/h</v>
      </c>
      <c r="F583" s="197" t="str">
        <f>VLOOKUP($D583,'Preços Unitários'!$B:$G,3,FALSE)</f>
        <v>m³</v>
      </c>
      <c r="G583" s="200">
        <f>+'MC EC'!I81</f>
        <v>23.711999999999851</v>
      </c>
      <c r="H583" s="200">
        <f>VLOOKUP($D583,'Preços Unitários'!$B:$G,6,FALSE)</f>
        <v>86.285976000000005</v>
      </c>
      <c r="I583" s="201">
        <f t="shared" si="79"/>
        <v>2046.0130629119872</v>
      </c>
      <c r="J583" s="297"/>
    </row>
    <row r="584" spans="1:10" ht="28.8" x14ac:dyDescent="0.3">
      <c r="B584" s="197" t="s">
        <v>13862</v>
      </c>
      <c r="C584" s="197" t="s">
        <v>13039</v>
      </c>
      <c r="D584" s="198" t="s">
        <v>8335</v>
      </c>
      <c r="E584" s="199" t="str">
        <f>VLOOKUP($D584,'Preços Unitários'!$B:$G,2,FALSE)</f>
        <v>Fôrmas de compensado plastificado 12 mm - uso geral - utilização de 1 vez - confecção, instalação e retirada</v>
      </c>
      <c r="F584" s="197" t="str">
        <f>VLOOKUP($D584,'Preços Unitários'!$B:$G,3,FALSE)</f>
        <v>m²</v>
      </c>
      <c r="G584" s="200">
        <f>+'MC EC'!I82</f>
        <v>158.07999999999902</v>
      </c>
      <c r="H584" s="200">
        <f>VLOOKUP($D584,'Preços Unitários'!$B:$G,6,FALSE)</f>
        <v>175.71622900000003</v>
      </c>
      <c r="I584" s="201">
        <f t="shared" si="79"/>
        <v>27777.221480319833</v>
      </c>
      <c r="J584" s="297"/>
    </row>
    <row r="585" spans="1:10" ht="28.8" x14ac:dyDescent="0.3">
      <c r="B585" s="197" t="s">
        <v>13863</v>
      </c>
      <c r="C585" s="197" t="s">
        <v>13039</v>
      </c>
      <c r="D585" s="198" t="s">
        <v>211</v>
      </c>
      <c r="E585" s="199" t="str">
        <f>VLOOKUP($D585,'Preços Unitários'!$B:$G,2,FALSE)</f>
        <v>Armação em aço CA-50 - fornecimento, preparo e colocação</v>
      </c>
      <c r="F585" s="197" t="str">
        <f>VLOOKUP($D585,'Preços Unitários'!$B:$G,3,FALSE)</f>
        <v>kg</v>
      </c>
      <c r="G585" s="200">
        <f>+'MC EC'!I83</f>
        <v>2845.4399999999819</v>
      </c>
      <c r="H585" s="200">
        <f>VLOOKUP($D585,'Preços Unitários'!$B:$G,6,FALSE)</f>
        <v>15.846655000000002</v>
      </c>
      <c r="I585" s="201">
        <f t="shared" si="79"/>
        <v>45090.706003199717</v>
      </c>
      <c r="J585" s="291"/>
    </row>
    <row r="586" spans="1:10" ht="28.8" x14ac:dyDescent="0.3">
      <c r="B586" s="197" t="s">
        <v>13864</v>
      </c>
      <c r="C586" s="197" t="s">
        <v>13039</v>
      </c>
      <c r="D586" s="198" t="s">
        <v>8761</v>
      </c>
      <c r="E586" s="199" t="str">
        <f>VLOOKUP($D586,'Preços Unitários'!$B:$G,2,FALSE)</f>
        <v>Guarda-corpo e corrimão metálico para passarelas para pedestres - fornecimento e instalação</v>
      </c>
      <c r="F586" s="197" t="str">
        <f>VLOOKUP($D586,'Preços Unitários'!$B:$G,3,FALSE)</f>
        <v>m</v>
      </c>
      <c r="G586" s="200">
        <f>+'MC EC'!I84</f>
        <v>16</v>
      </c>
      <c r="H586" s="200">
        <f>VLOOKUP($D586,'Preços Unitários'!$B:$G,6,FALSE)</f>
        <v>928.91463099999999</v>
      </c>
      <c r="I586" s="201">
        <f t="shared" si="79"/>
        <v>14862.634096</v>
      </c>
      <c r="J586" s="299"/>
    </row>
    <row r="587" spans="1:10" x14ac:dyDescent="0.3">
      <c r="B587" s="197" t="s">
        <v>13865</v>
      </c>
      <c r="C587" s="197" t="s">
        <v>12</v>
      </c>
      <c r="D587" s="198" t="s">
        <v>13249</v>
      </c>
      <c r="E587" s="199" t="s">
        <v>13242</v>
      </c>
      <c r="F587" s="197" t="s">
        <v>2904</v>
      </c>
      <c r="G587" s="200">
        <f>+'MC EC'!I85</f>
        <v>35.200000000000003</v>
      </c>
      <c r="H587" s="200">
        <f>+'Composições de Preços'!$F$262</f>
        <v>97.457885715492935</v>
      </c>
      <c r="I587" s="201">
        <f t="shared" si="79"/>
        <v>3430.5175771853515</v>
      </c>
      <c r="J587" s="299"/>
    </row>
    <row r="588" spans="1:10" x14ac:dyDescent="0.3">
      <c r="B588" s="197" t="s">
        <v>13866</v>
      </c>
      <c r="C588" s="197" t="s">
        <v>12</v>
      </c>
      <c r="D588" s="198" t="s">
        <v>13257</v>
      </c>
      <c r="E588" s="199" t="s">
        <v>13256</v>
      </c>
      <c r="F588" s="197" t="s">
        <v>13258</v>
      </c>
      <c r="G588" s="200">
        <v>1</v>
      </c>
      <c r="H588" s="200">
        <f>+'Composições de Preços'!$F$308</f>
        <v>26933.050000000003</v>
      </c>
      <c r="I588" s="201">
        <f t="shared" si="79"/>
        <v>26933.050000000003</v>
      </c>
      <c r="J588" s="299"/>
    </row>
    <row r="589" spans="1:10" x14ac:dyDescent="0.3">
      <c r="B589" s="197" t="s">
        <v>13867</v>
      </c>
      <c r="C589" s="197" t="s">
        <v>12</v>
      </c>
      <c r="D589" s="198" t="s">
        <v>13262</v>
      </c>
      <c r="E589" s="199" t="s">
        <v>13259</v>
      </c>
      <c r="F589" s="197" t="s">
        <v>13258</v>
      </c>
      <c r="G589" s="200">
        <v>1</v>
      </c>
      <c r="H589" s="200">
        <f>+'Composições de Preços'!$F$354</f>
        <v>51849.252999999997</v>
      </c>
      <c r="I589" s="201">
        <f t="shared" si="79"/>
        <v>51849.252999999997</v>
      </c>
      <c r="J589" s="299"/>
    </row>
    <row r="590" spans="1:10" x14ac:dyDescent="0.3">
      <c r="B590" s="197" t="s">
        <v>14550</v>
      </c>
      <c r="C590" s="197" t="s">
        <v>12</v>
      </c>
      <c r="D590" s="198" t="s">
        <v>13263</v>
      </c>
      <c r="E590" s="199" t="s">
        <v>13260</v>
      </c>
      <c r="F590" s="197" t="s">
        <v>13258</v>
      </c>
      <c r="G590" s="200">
        <v>1</v>
      </c>
      <c r="H590" s="200">
        <f>+'Composições de Preços'!$F$400</f>
        <v>23659.744900000002</v>
      </c>
      <c r="I590" s="201">
        <f t="shared" si="79"/>
        <v>23659.744900000002</v>
      </c>
      <c r="J590" s="291"/>
    </row>
    <row r="591" spans="1:10" x14ac:dyDescent="0.3">
      <c r="A591" s="42" t="s">
        <v>14476</v>
      </c>
      <c r="B591" s="209" t="s">
        <v>13107</v>
      </c>
      <c r="C591" s="209" t="s">
        <v>13</v>
      </c>
      <c r="D591" s="210" t="s">
        <v>13</v>
      </c>
      <c r="E591" s="211" t="s">
        <v>13098</v>
      </c>
      <c r="F591" s="209" t="s">
        <v>13</v>
      </c>
      <c r="G591" s="212">
        <v>0</v>
      </c>
      <c r="H591" s="212">
        <v>0</v>
      </c>
      <c r="I591" s="212">
        <f>SUM(I592:I605)</f>
        <v>201193.48970275413</v>
      </c>
      <c r="J591" s="284" t="s">
        <v>14478</v>
      </c>
    </row>
    <row r="592" spans="1:10" ht="28.8" x14ac:dyDescent="0.3">
      <c r="B592" s="197" t="s">
        <v>13868</v>
      </c>
      <c r="C592" s="197" t="s">
        <v>13039</v>
      </c>
      <c r="D592" s="198" t="s">
        <v>11052</v>
      </c>
      <c r="E592" s="199" t="str">
        <f>VLOOKUP($D592,'Preços Unitários'!$B:$G,2,FALSE)</f>
        <v>Desmatamento, destocamento e limpeza de área com árvores de diâmetro até 0,15 m</v>
      </c>
      <c r="F592" s="197" t="str">
        <f>VLOOKUP($D592,'Preços Unitários'!$B:$G,3,FALSE)</f>
        <v>m²</v>
      </c>
      <c r="G592" s="200">
        <f>+'MC EC'!I89</f>
        <v>186.4</v>
      </c>
      <c r="H592" s="200">
        <f>VLOOKUP($D592,'Preços Unitários'!$B:$G,6,FALSE)</f>
        <v>0.87688999999999995</v>
      </c>
      <c r="I592" s="201">
        <f t="shared" ref="I592:I605" si="80">+G592*H592</f>
        <v>163.45229599999999</v>
      </c>
      <c r="J592" s="299"/>
    </row>
    <row r="593" spans="1:10" ht="43.2" x14ac:dyDescent="0.3">
      <c r="B593" s="197" t="s">
        <v>13869</v>
      </c>
      <c r="C593" s="197" t="s">
        <v>13039</v>
      </c>
      <c r="D593" s="198" t="s">
        <v>11092</v>
      </c>
      <c r="E593" s="199" t="str">
        <f>VLOOKUP($D593,'Preços Unitários'!$B:$G,2,FALSE)</f>
        <v>Escavação, carga e transporte de material de 1ª categoria - DMT de 1.000 a 1.200 m - caminho de serviço em leito natural - com escavadeira e caminhão basculante de 14 m³</v>
      </c>
      <c r="F593" s="197" t="str">
        <f>VLOOKUP($D593,'Preços Unitários'!$B:$G,3,FALSE)</f>
        <v>m³</v>
      </c>
      <c r="G593" s="200">
        <f>+'MC EC'!I90</f>
        <v>114.20800000000182</v>
      </c>
      <c r="H593" s="200">
        <f>VLOOKUP($D593,'Preços Unitários'!$B:$G,6,FALSE)</f>
        <v>10.673003999999999</v>
      </c>
      <c r="I593" s="201">
        <f t="shared" si="80"/>
        <v>1218.9424408320192</v>
      </c>
      <c r="J593" s="299"/>
    </row>
    <row r="594" spans="1:10" x14ac:dyDescent="0.3">
      <c r="B594" s="197" t="s">
        <v>13870</v>
      </c>
      <c r="C594" s="197" t="s">
        <v>13039</v>
      </c>
      <c r="D594" s="198" t="s">
        <v>11046</v>
      </c>
      <c r="E594" s="199" t="str">
        <f>VLOOKUP($D594,'Preços Unitários'!$B:$G,2,FALSE)</f>
        <v>Compactação de aterros a 100% do Proctor normal</v>
      </c>
      <c r="F594" s="197" t="str">
        <f>VLOOKUP($D594,'Preços Unitários'!$B:$G,3,FALSE)</f>
        <v>m³</v>
      </c>
      <c r="G594" s="200">
        <f>+'MC EC'!I91</f>
        <v>45.408000000000719</v>
      </c>
      <c r="H594" s="200">
        <f>VLOOKUP($D594,'Preços Unitários'!$B:$G,6,FALSE)</f>
        <v>7.1028090000000006</v>
      </c>
      <c r="I594" s="201">
        <f t="shared" si="80"/>
        <v>322.52435107200512</v>
      </c>
      <c r="J594" s="299"/>
    </row>
    <row r="595" spans="1:10" ht="28.8" x14ac:dyDescent="0.3">
      <c r="B595" s="197" t="s">
        <v>13871</v>
      </c>
      <c r="C595" s="197" t="s">
        <v>13039</v>
      </c>
      <c r="D595" s="198" t="s">
        <v>11947</v>
      </c>
      <c r="E595" s="199" t="str">
        <f>VLOOKUP($D595,'Preços Unitários'!$B:$G,2,FALSE)</f>
        <v>Transporte com caminhão basculante de 14 m³ - rodovia em leito natural</v>
      </c>
      <c r="F595" s="197" t="str">
        <f>VLOOKUP($D595,'Preços Unitários'!$B:$G,3,FALSE)</f>
        <v>tkm</v>
      </c>
      <c r="G595" s="200">
        <f>+'MC EC'!I92</f>
        <v>481.60000000000764</v>
      </c>
      <c r="H595" s="200">
        <f>VLOOKUP($D595,'Preços Unitários'!$B:$G,6,FALSE)</f>
        <v>1.165011</v>
      </c>
      <c r="I595" s="201">
        <f t="shared" si="80"/>
        <v>561.06929760000889</v>
      </c>
      <c r="J595" s="291"/>
    </row>
    <row r="596" spans="1:10" ht="28.8" x14ac:dyDescent="0.3">
      <c r="B596" s="197" t="s">
        <v>13872</v>
      </c>
      <c r="C596" s="197" t="s">
        <v>13039</v>
      </c>
      <c r="D596" s="198" t="s">
        <v>3137</v>
      </c>
      <c r="E596" s="199" t="str">
        <f>VLOOKUP($D596,'Preços Unitários'!$B:$G,2,FALSE)</f>
        <v>Concreto magro - confecção em betoneira e lançamento manual - areia e brita comerciais</v>
      </c>
      <c r="F596" s="197" t="str">
        <f>VLOOKUP($D596,'Preços Unitários'!$B:$G,3,FALSE)</f>
        <v>m³</v>
      </c>
      <c r="G596" s="200">
        <f>+'MC EC'!I93</f>
        <v>8.6399999999999988</v>
      </c>
      <c r="H596" s="200">
        <f>VLOOKUP($D596,'Preços Unitários'!$B:$G,6,FALSE)</f>
        <v>573.22299299999997</v>
      </c>
      <c r="I596" s="201">
        <f t="shared" si="80"/>
        <v>4952.646659519999</v>
      </c>
      <c r="J596" s="299"/>
    </row>
    <row r="597" spans="1:10" ht="28.8" x14ac:dyDescent="0.3">
      <c r="B597" s="197" t="s">
        <v>13873</v>
      </c>
      <c r="C597" s="197" t="s">
        <v>13039</v>
      </c>
      <c r="D597" s="198" t="s">
        <v>3149</v>
      </c>
      <c r="E597" s="199" t="str">
        <f>VLOOKUP($D597,'Preços Unitários'!$B:$G,2,FALSE)</f>
        <v>Concreto para bombeamento fck = 30 MPa - confecção em central dosadora de 30 m³/h - areia e brita comerciais</v>
      </c>
      <c r="F597" s="197" t="str">
        <f>VLOOKUP($D597,'Preços Unitários'!$B:$G,3,FALSE)</f>
        <v>m³</v>
      </c>
      <c r="G597" s="200">
        <f>+'MC EC'!I94</f>
        <v>20.304000000000197</v>
      </c>
      <c r="H597" s="200">
        <f>VLOOKUP($D597,'Preços Unitários'!$B:$G,6,FALSE)</f>
        <v>575.92882499999996</v>
      </c>
      <c r="I597" s="201">
        <f t="shared" si="80"/>
        <v>11693.658862800114</v>
      </c>
      <c r="J597" s="299"/>
    </row>
    <row r="598" spans="1:10" ht="43.2" x14ac:dyDescent="0.3">
      <c r="B598" s="197" t="s">
        <v>13874</v>
      </c>
      <c r="C598" s="197" t="s">
        <v>13039</v>
      </c>
      <c r="D598" s="198" t="s">
        <v>3201</v>
      </c>
      <c r="E598" s="199" t="str">
        <f>VLOOKUP($D598,'Preços Unitários'!$B:$G,2,FALSE)</f>
        <v>Lançamento mecânico de concreto com bomba rebocável com capacidade de 30 m³/h - confecção em central dosadora de 30 m³/h</v>
      </c>
      <c r="F598" s="197" t="str">
        <f>VLOOKUP($D598,'Preços Unitários'!$B:$G,3,FALSE)</f>
        <v>m³</v>
      </c>
      <c r="G598" s="200">
        <f>+'MC EC'!I95</f>
        <v>20.304000000000197</v>
      </c>
      <c r="H598" s="200">
        <f>VLOOKUP($D598,'Preços Unitários'!$B:$G,6,FALSE)</f>
        <v>86.285976000000005</v>
      </c>
      <c r="I598" s="201">
        <f t="shared" si="80"/>
        <v>1751.9504567040171</v>
      </c>
      <c r="J598" s="299"/>
    </row>
    <row r="599" spans="1:10" ht="28.8" x14ac:dyDescent="0.3">
      <c r="B599" s="197" t="s">
        <v>13875</v>
      </c>
      <c r="C599" s="197" t="s">
        <v>13039</v>
      </c>
      <c r="D599" s="198" t="s">
        <v>8335</v>
      </c>
      <c r="E599" s="199" t="str">
        <f>VLOOKUP($D599,'Preços Unitários'!$B:$G,2,FALSE)</f>
        <v>Fôrmas de compensado plastificado 12 mm - uso geral - utilização de 1 vez - confecção, instalação e retirada</v>
      </c>
      <c r="F599" s="197" t="str">
        <f>VLOOKUP($D599,'Preços Unitários'!$B:$G,3,FALSE)</f>
        <v>m²</v>
      </c>
      <c r="G599" s="200">
        <f>+'MC EC'!I96</f>
        <v>135.36000000000132</v>
      </c>
      <c r="H599" s="200">
        <f>VLOOKUP($D599,'Preços Unitários'!$B:$G,6,FALSE)</f>
        <v>175.71622900000003</v>
      </c>
      <c r="I599" s="201">
        <f t="shared" si="80"/>
        <v>23784.948757440237</v>
      </c>
      <c r="J599" s="299"/>
    </row>
    <row r="600" spans="1:10" ht="28.8" x14ac:dyDescent="0.3">
      <c r="B600" s="197" t="s">
        <v>13876</v>
      </c>
      <c r="C600" s="197" t="s">
        <v>13039</v>
      </c>
      <c r="D600" s="198" t="s">
        <v>211</v>
      </c>
      <c r="E600" s="199" t="str">
        <f>VLOOKUP($D600,'Preços Unitários'!$B:$G,2,FALSE)</f>
        <v>Armação em aço CA-50 - fornecimento, preparo e colocação</v>
      </c>
      <c r="F600" s="197" t="str">
        <f>VLOOKUP($D600,'Preços Unitários'!$B:$G,3,FALSE)</f>
        <v>kg</v>
      </c>
      <c r="G600" s="200">
        <f>+'MC EC'!I97</f>
        <v>2436.4800000000237</v>
      </c>
      <c r="H600" s="200">
        <f>VLOOKUP($D600,'Preços Unitários'!$B:$G,6,FALSE)</f>
        <v>15.846655000000002</v>
      </c>
      <c r="I600" s="201">
        <f t="shared" si="80"/>
        <v>38610.057974400377</v>
      </c>
      <c r="J600" s="291"/>
    </row>
    <row r="601" spans="1:10" ht="28.8" x14ac:dyDescent="0.3">
      <c r="B601" s="197" t="s">
        <v>13877</v>
      </c>
      <c r="C601" s="197" t="s">
        <v>13039</v>
      </c>
      <c r="D601" s="198" t="s">
        <v>8761</v>
      </c>
      <c r="E601" s="199" t="str">
        <f>VLOOKUP($D601,'Preços Unitários'!$B:$G,2,FALSE)</f>
        <v>Guarda-corpo e corrimão metálico para passarelas para pedestres - fornecimento e instalação</v>
      </c>
      <c r="F601" s="197" t="str">
        <f>VLOOKUP($D601,'Preços Unitários'!$B:$G,3,FALSE)</f>
        <v>m</v>
      </c>
      <c r="G601" s="200">
        <f>+'MC EC'!I98</f>
        <v>13.2</v>
      </c>
      <c r="H601" s="200">
        <f>VLOOKUP($D601,'Preços Unitários'!$B:$G,6,FALSE)</f>
        <v>928.91463099999999</v>
      </c>
      <c r="I601" s="201">
        <f t="shared" si="80"/>
        <v>12261.673129199999</v>
      </c>
      <c r="J601" s="299"/>
    </row>
    <row r="602" spans="1:10" x14ac:dyDescent="0.3">
      <c r="B602" s="197" t="s">
        <v>13878</v>
      </c>
      <c r="C602" s="197" t="s">
        <v>12</v>
      </c>
      <c r="D602" s="198" t="s">
        <v>13249</v>
      </c>
      <c r="E602" s="199" t="s">
        <v>13242</v>
      </c>
      <c r="F602" s="197" t="s">
        <v>2904</v>
      </c>
      <c r="G602" s="200">
        <f>+'MC EC'!I99</f>
        <v>35.200000000000003</v>
      </c>
      <c r="H602" s="200">
        <f>+'Composições de Preços'!$F$262</f>
        <v>97.457885715492935</v>
      </c>
      <c r="I602" s="201">
        <f t="shared" si="80"/>
        <v>3430.5175771853515</v>
      </c>
      <c r="J602" s="299"/>
    </row>
    <row r="603" spans="1:10" x14ac:dyDescent="0.3">
      <c r="B603" s="197" t="s">
        <v>13879</v>
      </c>
      <c r="C603" s="197" t="s">
        <v>12</v>
      </c>
      <c r="D603" s="198" t="s">
        <v>13257</v>
      </c>
      <c r="E603" s="199" t="s">
        <v>13256</v>
      </c>
      <c r="F603" s="197" t="s">
        <v>13258</v>
      </c>
      <c r="G603" s="200">
        <v>1</v>
      </c>
      <c r="H603" s="200">
        <f>+'Composições de Preços'!$F$308</f>
        <v>26933.050000000003</v>
      </c>
      <c r="I603" s="201">
        <f t="shared" si="80"/>
        <v>26933.050000000003</v>
      </c>
      <c r="J603" s="299"/>
    </row>
    <row r="604" spans="1:10" x14ac:dyDescent="0.3">
      <c r="B604" s="197" t="s">
        <v>13880</v>
      </c>
      <c r="C604" s="197" t="s">
        <v>12</v>
      </c>
      <c r="D604" s="198" t="s">
        <v>13262</v>
      </c>
      <c r="E604" s="199" t="s">
        <v>13259</v>
      </c>
      <c r="F604" s="197" t="s">
        <v>13258</v>
      </c>
      <c r="G604" s="200">
        <v>1</v>
      </c>
      <c r="H604" s="200">
        <f>+'Composições de Preços'!$F$354</f>
        <v>51849.252999999997</v>
      </c>
      <c r="I604" s="201">
        <f t="shared" si="80"/>
        <v>51849.252999999997</v>
      </c>
      <c r="J604" s="299"/>
    </row>
    <row r="605" spans="1:10" x14ac:dyDescent="0.3">
      <c r="B605" s="197" t="s">
        <v>14551</v>
      </c>
      <c r="C605" s="197" t="s">
        <v>12</v>
      </c>
      <c r="D605" s="198" t="s">
        <v>13263</v>
      </c>
      <c r="E605" s="199" t="s">
        <v>13260</v>
      </c>
      <c r="F605" s="197" t="s">
        <v>13258</v>
      </c>
      <c r="G605" s="200">
        <v>1</v>
      </c>
      <c r="H605" s="200">
        <f>+'Composições de Preços'!$F$400</f>
        <v>23659.744900000002</v>
      </c>
      <c r="I605" s="201">
        <f t="shared" si="80"/>
        <v>23659.744900000002</v>
      </c>
      <c r="J605" s="291"/>
    </row>
    <row r="606" spans="1:10" x14ac:dyDescent="0.3">
      <c r="A606" s="42" t="s">
        <v>14478</v>
      </c>
      <c r="B606" s="209" t="s">
        <v>13108</v>
      </c>
      <c r="C606" s="209" t="s">
        <v>13</v>
      </c>
      <c r="D606" s="210" t="s">
        <v>13</v>
      </c>
      <c r="E606" s="211" t="s">
        <v>13099</v>
      </c>
      <c r="F606" s="209" t="s">
        <v>13</v>
      </c>
      <c r="G606" s="212">
        <v>0</v>
      </c>
      <c r="H606" s="212">
        <v>0</v>
      </c>
      <c r="I606" s="212">
        <f>SUM(I607:I620)</f>
        <v>193837.91871360142</v>
      </c>
      <c r="J606" s="284" t="s">
        <v>14478</v>
      </c>
    </row>
    <row r="607" spans="1:10" ht="28.8" x14ac:dyDescent="0.3">
      <c r="B607" s="197" t="s">
        <v>13881</v>
      </c>
      <c r="C607" s="197" t="s">
        <v>13039</v>
      </c>
      <c r="D607" s="198" t="s">
        <v>11052</v>
      </c>
      <c r="E607" s="199" t="str">
        <f>VLOOKUP($D607,'Preços Unitários'!$B:$G,2,FALSE)</f>
        <v>Desmatamento, destocamento e limpeza de área com árvores de diâmetro até 0,15 m</v>
      </c>
      <c r="F607" s="197" t="str">
        <f>VLOOKUP($D607,'Preços Unitários'!$B:$G,3,FALSE)</f>
        <v>m²</v>
      </c>
      <c r="G607" s="200">
        <f>+'MC EC'!I103</f>
        <v>184.8</v>
      </c>
      <c r="H607" s="200">
        <f>VLOOKUP($D607,'Preços Unitários'!$B:$G,6,FALSE)</f>
        <v>0.87688999999999995</v>
      </c>
      <c r="I607" s="201">
        <f t="shared" ref="I607:I620" si="81">+G607*H607</f>
        <v>162.049272</v>
      </c>
      <c r="J607" s="299"/>
    </row>
    <row r="608" spans="1:10" ht="43.2" x14ac:dyDescent="0.3">
      <c r="B608" s="197" t="s">
        <v>13882</v>
      </c>
      <c r="C608" s="197" t="s">
        <v>13039</v>
      </c>
      <c r="D608" s="198" t="s">
        <v>11092</v>
      </c>
      <c r="E608" s="199" t="str">
        <f>VLOOKUP($D608,'Preços Unitários'!$B:$G,2,FALSE)</f>
        <v>Escavação, carga e transporte de material de 1ª categoria - DMT de 1.000 a 1.200 m - caminho de serviço em leito natural - com escavadeira e caminhão basculante de 14 m³</v>
      </c>
      <c r="F608" s="197" t="str">
        <f>VLOOKUP($D608,'Preços Unitários'!$B:$G,3,FALSE)</f>
        <v>m³</v>
      </c>
      <c r="G608" s="200">
        <f>+'MC EC'!I104</f>
        <v>101.08800000000014</v>
      </c>
      <c r="H608" s="200">
        <f>VLOOKUP($D608,'Preços Unitários'!$B:$G,6,FALSE)</f>
        <v>10.673003999999999</v>
      </c>
      <c r="I608" s="201">
        <f t="shared" si="81"/>
        <v>1078.9126283520013</v>
      </c>
      <c r="J608" s="299"/>
    </row>
    <row r="609" spans="1:10" x14ac:dyDescent="0.3">
      <c r="B609" s="197" t="s">
        <v>13883</v>
      </c>
      <c r="C609" s="197" t="s">
        <v>13039</v>
      </c>
      <c r="D609" s="198" t="s">
        <v>11046</v>
      </c>
      <c r="E609" s="199" t="str">
        <f>VLOOKUP($D609,'Preços Unitários'!$B:$G,2,FALSE)</f>
        <v>Compactação de aterros a 100% do Proctor normal</v>
      </c>
      <c r="F609" s="197" t="str">
        <f>VLOOKUP($D609,'Preços Unitários'!$B:$G,3,FALSE)</f>
        <v>m³</v>
      </c>
      <c r="G609" s="200">
        <f>+'MC EC'!I105</f>
        <v>38.688000000000059</v>
      </c>
      <c r="H609" s="200">
        <f>VLOOKUP($D609,'Preços Unitários'!$B:$G,6,FALSE)</f>
        <v>7.1028090000000006</v>
      </c>
      <c r="I609" s="201">
        <f t="shared" si="81"/>
        <v>274.79347459200045</v>
      </c>
      <c r="J609" s="299"/>
    </row>
    <row r="610" spans="1:10" ht="28.8" x14ac:dyDescent="0.3">
      <c r="B610" s="197" t="s">
        <v>13884</v>
      </c>
      <c r="C610" s="197" t="s">
        <v>13039</v>
      </c>
      <c r="D610" s="198" t="s">
        <v>11947</v>
      </c>
      <c r="E610" s="199" t="str">
        <f>VLOOKUP($D610,'Preços Unitários'!$B:$G,2,FALSE)</f>
        <v>Transporte com caminhão basculante de 14 m³ - rodovia em leito natural</v>
      </c>
      <c r="F610" s="197" t="str">
        <f>VLOOKUP($D610,'Preços Unitários'!$B:$G,3,FALSE)</f>
        <v>tkm</v>
      </c>
      <c r="G610" s="200">
        <f>+'MC EC'!I106</f>
        <v>436.80000000000052</v>
      </c>
      <c r="H610" s="200">
        <f>VLOOKUP($D610,'Preços Unitários'!$B:$G,6,FALSE)</f>
        <v>1.165011</v>
      </c>
      <c r="I610" s="201">
        <f t="shared" si="81"/>
        <v>508.87680480000063</v>
      </c>
      <c r="J610" s="299"/>
    </row>
    <row r="611" spans="1:10" ht="28.8" x14ac:dyDescent="0.3">
      <c r="B611" s="197" t="s">
        <v>13885</v>
      </c>
      <c r="C611" s="197" t="s">
        <v>13039</v>
      </c>
      <c r="D611" s="198" t="s">
        <v>3137</v>
      </c>
      <c r="E611" s="199" t="str">
        <f>VLOOKUP($D611,'Preços Unitários'!$B:$G,2,FALSE)</f>
        <v>Concreto magro - confecção em betoneira e lançamento manual - areia e brita comerciais</v>
      </c>
      <c r="F611" s="197" t="str">
        <f>VLOOKUP($D611,'Preços Unitários'!$B:$G,3,FALSE)</f>
        <v>m³</v>
      </c>
      <c r="G611" s="200">
        <f>+'MC EC'!I107</f>
        <v>8.16</v>
      </c>
      <c r="H611" s="200">
        <f>VLOOKUP($D611,'Preços Unitários'!$B:$G,6,FALSE)</f>
        <v>573.22299299999997</v>
      </c>
      <c r="I611" s="201">
        <f t="shared" si="81"/>
        <v>4677.4996228800001</v>
      </c>
      <c r="J611" s="291"/>
    </row>
    <row r="612" spans="1:10" ht="28.8" x14ac:dyDescent="0.3">
      <c r="B612" s="197" t="s">
        <v>13886</v>
      </c>
      <c r="C612" s="197" t="s">
        <v>13039</v>
      </c>
      <c r="D612" s="198" t="s">
        <v>3149</v>
      </c>
      <c r="E612" s="199" t="str">
        <f>VLOOKUP($D612,'Preços Unitários'!$B:$G,2,FALSE)</f>
        <v>Concreto para bombeamento fck = 30 MPa - confecção em central dosadora de 30 m³/h - areia e brita comerciais</v>
      </c>
      <c r="F612" s="197" t="str">
        <f>VLOOKUP($D612,'Preços Unitários'!$B:$G,3,FALSE)</f>
        <v>m³</v>
      </c>
      <c r="G612" s="200">
        <f>+'MC EC'!I108</f>
        <v>18.672000000000015</v>
      </c>
      <c r="H612" s="200">
        <f>VLOOKUP($D612,'Preços Unitários'!$B:$G,6,FALSE)</f>
        <v>575.92882499999996</v>
      </c>
      <c r="I612" s="201">
        <f t="shared" si="81"/>
        <v>10753.743020400008</v>
      </c>
      <c r="J612" s="299"/>
    </row>
    <row r="613" spans="1:10" ht="43.2" x14ac:dyDescent="0.3">
      <c r="B613" s="197" t="s">
        <v>13887</v>
      </c>
      <c r="C613" s="197" t="s">
        <v>13039</v>
      </c>
      <c r="D613" s="198" t="s">
        <v>3201</v>
      </c>
      <c r="E613" s="199" t="str">
        <f>VLOOKUP($D613,'Preços Unitários'!$B:$G,2,FALSE)</f>
        <v>Lançamento mecânico de concreto com bomba rebocável com capacidade de 30 m³/h - confecção em central dosadora de 30 m³/h</v>
      </c>
      <c r="F613" s="197" t="str">
        <f>VLOOKUP($D613,'Preços Unitários'!$B:$G,3,FALSE)</f>
        <v>m³</v>
      </c>
      <c r="G613" s="200">
        <f>+'MC EC'!I109</f>
        <v>18.672000000000015</v>
      </c>
      <c r="H613" s="200">
        <f>VLOOKUP($D613,'Preços Unitários'!$B:$G,6,FALSE)</f>
        <v>86.285976000000005</v>
      </c>
      <c r="I613" s="201">
        <f t="shared" si="81"/>
        <v>1611.1317438720014</v>
      </c>
      <c r="J613" s="299"/>
    </row>
    <row r="614" spans="1:10" ht="28.8" x14ac:dyDescent="0.3">
      <c r="B614" s="197" t="s">
        <v>13888</v>
      </c>
      <c r="C614" s="197" t="s">
        <v>13039</v>
      </c>
      <c r="D614" s="198" t="s">
        <v>8335</v>
      </c>
      <c r="E614" s="199" t="str">
        <f>VLOOKUP($D614,'Preços Unitários'!$B:$G,2,FALSE)</f>
        <v>Fôrmas de compensado plastificado 12 mm - uso geral - utilização de 1 vez - confecção, instalação e retirada</v>
      </c>
      <c r="F614" s="197" t="str">
        <f>VLOOKUP($D614,'Preços Unitários'!$B:$G,3,FALSE)</f>
        <v>m²</v>
      </c>
      <c r="G614" s="200">
        <f>+'MC EC'!I110</f>
        <v>124.4800000000001</v>
      </c>
      <c r="H614" s="200">
        <f>VLOOKUP($D614,'Preços Unitários'!$B:$G,6,FALSE)</f>
        <v>175.71622900000003</v>
      </c>
      <c r="I614" s="201">
        <f t="shared" si="81"/>
        <v>21873.156185920023</v>
      </c>
      <c r="J614" s="299"/>
    </row>
    <row r="615" spans="1:10" ht="28.8" x14ac:dyDescent="0.3">
      <c r="B615" s="197" t="s">
        <v>13889</v>
      </c>
      <c r="C615" s="197" t="s">
        <v>13039</v>
      </c>
      <c r="D615" s="198" t="s">
        <v>211</v>
      </c>
      <c r="E615" s="199" t="str">
        <f>VLOOKUP($D615,'Preços Unitários'!$B:$G,2,FALSE)</f>
        <v>Armação em aço CA-50 - fornecimento, preparo e colocação</v>
      </c>
      <c r="F615" s="197" t="str">
        <f>VLOOKUP($D615,'Preços Unitários'!$B:$G,3,FALSE)</f>
        <v>kg</v>
      </c>
      <c r="G615" s="200">
        <f>+'MC EC'!I111</f>
        <v>2240.6400000000017</v>
      </c>
      <c r="H615" s="200">
        <f>VLOOKUP($D615,'Preços Unitários'!$B:$G,6,FALSE)</f>
        <v>15.846655000000002</v>
      </c>
      <c r="I615" s="201">
        <f t="shared" si="81"/>
        <v>35506.649059200034</v>
      </c>
      <c r="J615" s="299"/>
    </row>
    <row r="616" spans="1:10" ht="28.8" x14ac:dyDescent="0.3">
      <c r="B616" s="197" t="s">
        <v>13890</v>
      </c>
      <c r="C616" s="197" t="s">
        <v>13039</v>
      </c>
      <c r="D616" s="198" t="s">
        <v>8761</v>
      </c>
      <c r="E616" s="199" t="str">
        <f>VLOOKUP($D616,'Preços Unitários'!$B:$G,2,FALSE)</f>
        <v>Guarda-corpo e corrimão metálico para passarelas para pedestres - fornecimento e instalação</v>
      </c>
      <c r="F616" s="197" t="str">
        <f>VLOOKUP($D616,'Preços Unitários'!$B:$G,3,FALSE)</f>
        <v>m</v>
      </c>
      <c r="G616" s="200">
        <f>+'MC EC'!I112</f>
        <v>12.4</v>
      </c>
      <c r="H616" s="200">
        <f>VLOOKUP($D616,'Preços Unitários'!$B:$G,6,FALSE)</f>
        <v>928.91463099999999</v>
      </c>
      <c r="I616" s="201">
        <f t="shared" si="81"/>
        <v>11518.5414244</v>
      </c>
      <c r="J616" s="297"/>
    </row>
    <row r="617" spans="1:10" x14ac:dyDescent="0.3">
      <c r="B617" s="197" t="s">
        <v>13891</v>
      </c>
      <c r="C617" s="197" t="s">
        <v>12</v>
      </c>
      <c r="D617" s="198" t="s">
        <v>13249</v>
      </c>
      <c r="E617" s="199" t="s">
        <v>13242</v>
      </c>
      <c r="F617" s="197" t="s">
        <v>2904</v>
      </c>
      <c r="G617" s="200">
        <f>+'MC EC'!I113</f>
        <v>35.200000000000003</v>
      </c>
      <c r="H617" s="200">
        <f>+'Composições de Preços'!$F$262</f>
        <v>97.457885715492935</v>
      </c>
      <c r="I617" s="201">
        <f t="shared" si="81"/>
        <v>3430.5175771853515</v>
      </c>
      <c r="J617" s="291"/>
    </row>
    <row r="618" spans="1:10" x14ac:dyDescent="0.3">
      <c r="B618" s="197" t="s">
        <v>13892</v>
      </c>
      <c r="C618" s="197" t="s">
        <v>12</v>
      </c>
      <c r="D618" s="198" t="s">
        <v>13257</v>
      </c>
      <c r="E618" s="199" t="s">
        <v>13256</v>
      </c>
      <c r="F618" s="197" t="s">
        <v>13258</v>
      </c>
      <c r="G618" s="200">
        <v>1</v>
      </c>
      <c r="H618" s="200">
        <f>+'Composições de Preços'!$F$308</f>
        <v>26933.050000000003</v>
      </c>
      <c r="I618" s="201">
        <f t="shared" si="81"/>
        <v>26933.050000000003</v>
      </c>
      <c r="J618" s="299"/>
    </row>
    <row r="619" spans="1:10" x14ac:dyDescent="0.3">
      <c r="B619" s="197" t="s">
        <v>13893</v>
      </c>
      <c r="C619" s="197" t="s">
        <v>12</v>
      </c>
      <c r="D619" s="198" t="s">
        <v>13262</v>
      </c>
      <c r="E619" s="199" t="s">
        <v>13259</v>
      </c>
      <c r="F619" s="197" t="s">
        <v>13258</v>
      </c>
      <c r="G619" s="200">
        <v>1</v>
      </c>
      <c r="H619" s="200">
        <f>+'Composições de Preços'!$F$354</f>
        <v>51849.252999999997</v>
      </c>
      <c r="I619" s="201">
        <f t="shared" si="81"/>
        <v>51849.252999999997</v>
      </c>
      <c r="J619" s="299"/>
    </row>
    <row r="620" spans="1:10" x14ac:dyDescent="0.3">
      <c r="B620" s="197" t="s">
        <v>14552</v>
      </c>
      <c r="C620" s="197" t="s">
        <v>12</v>
      </c>
      <c r="D620" s="198" t="s">
        <v>13263</v>
      </c>
      <c r="E620" s="199" t="s">
        <v>13260</v>
      </c>
      <c r="F620" s="197" t="s">
        <v>13258</v>
      </c>
      <c r="G620" s="200">
        <v>1</v>
      </c>
      <c r="H620" s="200">
        <f>+'Composições de Preços'!$F$400</f>
        <v>23659.744900000002</v>
      </c>
      <c r="I620" s="201">
        <f t="shared" si="81"/>
        <v>23659.744900000002</v>
      </c>
      <c r="J620" s="299"/>
    </row>
    <row r="621" spans="1:10" x14ac:dyDescent="0.3">
      <c r="A621" s="42" t="s">
        <v>14478</v>
      </c>
      <c r="B621" s="209" t="s">
        <v>13109</v>
      </c>
      <c r="C621" s="209" t="s">
        <v>13</v>
      </c>
      <c r="D621" s="210" t="s">
        <v>13</v>
      </c>
      <c r="E621" s="211" t="s">
        <v>13100</v>
      </c>
      <c r="F621" s="209" t="s">
        <v>13</v>
      </c>
      <c r="G621" s="212">
        <v>0</v>
      </c>
      <c r="H621" s="212">
        <v>0</v>
      </c>
      <c r="I621" s="212">
        <f>SUM(I622:I635)</f>
        <v>175416.52005412942</v>
      </c>
      <c r="J621" s="284" t="s">
        <v>14478</v>
      </c>
    </row>
    <row r="622" spans="1:10" ht="28.8" x14ac:dyDescent="0.3">
      <c r="B622" s="197" t="s">
        <v>13894</v>
      </c>
      <c r="C622" s="197" t="s">
        <v>13039</v>
      </c>
      <c r="D622" s="198" t="s">
        <v>11052</v>
      </c>
      <c r="E622" s="199" t="str">
        <f>VLOOKUP($D622,'Preços Unitários'!$B:$G,2,FALSE)</f>
        <v>Desmatamento, destocamento e limpeza de área com árvores de diâmetro até 0,15 m</v>
      </c>
      <c r="F622" s="197" t="str">
        <f>VLOOKUP($D622,'Preços Unitários'!$B:$G,3,FALSE)</f>
        <v>m²</v>
      </c>
      <c r="G622" s="200">
        <f>+'MC EC'!I117</f>
        <v>178.4</v>
      </c>
      <c r="H622" s="200">
        <f>VLOOKUP($D622,'Preços Unitários'!$B:$G,6,FALSE)</f>
        <v>0.87688999999999995</v>
      </c>
      <c r="I622" s="201">
        <f t="shared" ref="I622:I635" si="82">+G622*H622</f>
        <v>156.43717599999999</v>
      </c>
      <c r="J622" s="297"/>
    </row>
    <row r="623" spans="1:10" ht="43.2" x14ac:dyDescent="0.3">
      <c r="B623" s="197" t="s">
        <v>13895</v>
      </c>
      <c r="C623" s="197" t="s">
        <v>13039</v>
      </c>
      <c r="D623" s="198" t="s">
        <v>11092</v>
      </c>
      <c r="E623" s="199" t="str">
        <f>VLOOKUP($D623,'Preços Unitários'!$B:$G,2,FALSE)</f>
        <v>Escavação, carga e transporte de material de 1ª categoria - DMT de 1.000 a 1.200 m - caminho de serviço em leito natural - com escavadeira e caminhão basculante de 14 m³</v>
      </c>
      <c r="F623" s="197" t="str">
        <f>VLOOKUP($D623,'Preços Unitários'!$B:$G,3,FALSE)</f>
        <v>m³</v>
      </c>
      <c r="G623" s="200">
        <f>+'MC EC'!I118</f>
        <v>76.504000000000133</v>
      </c>
      <c r="H623" s="200">
        <f>VLOOKUP($D623,'Preços Unitários'!$B:$G,6,FALSE)</f>
        <v>10.673003999999999</v>
      </c>
      <c r="I623" s="201">
        <f t="shared" si="82"/>
        <v>816.52749801600135</v>
      </c>
      <c r="J623" s="291"/>
    </row>
    <row r="624" spans="1:10" x14ac:dyDescent="0.3">
      <c r="B624" s="197" t="s">
        <v>13896</v>
      </c>
      <c r="C624" s="197" t="s">
        <v>13039</v>
      </c>
      <c r="D624" s="198" t="s">
        <v>11046</v>
      </c>
      <c r="E624" s="199" t="str">
        <f>VLOOKUP($D624,'Preços Unitários'!$B:$G,2,FALSE)</f>
        <v>Compactação de aterros a 100% do Proctor normal</v>
      </c>
      <c r="F624" s="197" t="str">
        <f>VLOOKUP($D624,'Preços Unitários'!$B:$G,3,FALSE)</f>
        <v>m³</v>
      </c>
      <c r="G624" s="200">
        <f>+'MC EC'!I119</f>
        <v>24.104000000000038</v>
      </c>
      <c r="H624" s="200">
        <f>VLOOKUP($D624,'Preços Unitários'!$B:$G,6,FALSE)</f>
        <v>7.1028090000000006</v>
      </c>
      <c r="I624" s="201">
        <f t="shared" si="82"/>
        <v>171.2061081360003</v>
      </c>
      <c r="J624" s="299"/>
    </row>
    <row r="625" spans="1:10" ht="28.8" x14ac:dyDescent="0.3">
      <c r="B625" s="197" t="s">
        <v>13897</v>
      </c>
      <c r="C625" s="197" t="s">
        <v>13039</v>
      </c>
      <c r="D625" s="198" t="s">
        <v>11947</v>
      </c>
      <c r="E625" s="199" t="str">
        <f>VLOOKUP($D625,'Preços Unitários'!$B:$G,2,FALSE)</f>
        <v>Transporte com caminhão basculante de 14 m³ - rodovia em leito natural</v>
      </c>
      <c r="F625" s="197" t="str">
        <f>VLOOKUP($D625,'Preços Unitários'!$B:$G,3,FALSE)</f>
        <v>tkm</v>
      </c>
      <c r="G625" s="200">
        <f>+'MC EC'!I120</f>
        <v>366.80000000000064</v>
      </c>
      <c r="H625" s="200">
        <f>VLOOKUP($D625,'Preços Unitários'!$B:$G,6,FALSE)</f>
        <v>1.165011</v>
      </c>
      <c r="I625" s="201">
        <f t="shared" si="82"/>
        <v>427.32603480000074</v>
      </c>
      <c r="J625" s="299"/>
    </row>
    <row r="626" spans="1:10" ht="28.8" x14ac:dyDescent="0.3">
      <c r="B626" s="197" t="s">
        <v>13898</v>
      </c>
      <c r="C626" s="197" t="s">
        <v>13039</v>
      </c>
      <c r="D626" s="198" t="s">
        <v>3137</v>
      </c>
      <c r="E626" s="199" t="str">
        <f>VLOOKUP($D626,'Preços Unitários'!$B:$G,2,FALSE)</f>
        <v>Concreto magro - confecção em betoneira e lançamento manual - areia e brita comerciais</v>
      </c>
      <c r="F626" s="197" t="str">
        <f>VLOOKUP($D626,'Preços Unitários'!$B:$G,3,FALSE)</f>
        <v>m³</v>
      </c>
      <c r="G626" s="200">
        <f>+'MC EC'!I121</f>
        <v>6.2399999999999993</v>
      </c>
      <c r="H626" s="200">
        <f>VLOOKUP($D626,'Preços Unitários'!$B:$G,6,FALSE)</f>
        <v>573.22299299999997</v>
      </c>
      <c r="I626" s="201">
        <f t="shared" si="82"/>
        <v>3576.9114763199996</v>
      </c>
      <c r="J626" s="299"/>
    </row>
    <row r="627" spans="1:10" ht="28.8" x14ac:dyDescent="0.3">
      <c r="B627" s="197" t="s">
        <v>13899</v>
      </c>
      <c r="C627" s="197" t="s">
        <v>13039</v>
      </c>
      <c r="D627" s="198" t="s">
        <v>3149</v>
      </c>
      <c r="E627" s="199" t="str">
        <f>VLOOKUP($D627,'Preços Unitários'!$B:$G,2,FALSE)</f>
        <v>Concreto para bombeamento fck = 30 MPa - confecção em central dosadora de 30 m³/h - areia e brita comerciais</v>
      </c>
      <c r="F627" s="197" t="str">
        <f>VLOOKUP($D627,'Preços Unitários'!$B:$G,3,FALSE)</f>
        <v>m³</v>
      </c>
      <c r="G627" s="200">
        <f>+'MC EC'!I122</f>
        <v>14.952000000000016</v>
      </c>
      <c r="H627" s="200">
        <f>VLOOKUP($D627,'Preços Unitários'!$B:$G,6,FALSE)</f>
        <v>575.92882499999996</v>
      </c>
      <c r="I627" s="201">
        <f t="shared" si="82"/>
        <v>8611.2877914000092</v>
      </c>
      <c r="J627" s="299"/>
    </row>
    <row r="628" spans="1:10" ht="43.2" x14ac:dyDescent="0.3">
      <c r="B628" s="197" t="s">
        <v>13900</v>
      </c>
      <c r="C628" s="197" t="s">
        <v>13039</v>
      </c>
      <c r="D628" s="198" t="s">
        <v>3201</v>
      </c>
      <c r="E628" s="199" t="str">
        <f>VLOOKUP($D628,'Preços Unitários'!$B:$G,2,FALSE)</f>
        <v>Lançamento mecânico de concreto com bomba rebocável com capacidade de 30 m³/h - confecção em central dosadora de 30 m³/h</v>
      </c>
      <c r="F628" s="197" t="str">
        <f>VLOOKUP($D628,'Preços Unitários'!$B:$G,3,FALSE)</f>
        <v>m³</v>
      </c>
      <c r="G628" s="200">
        <f>+'MC EC'!I123</f>
        <v>14.952000000000016</v>
      </c>
      <c r="H628" s="200">
        <f>VLOOKUP($D628,'Preços Unitários'!$B:$G,6,FALSE)</f>
        <v>86.285976000000005</v>
      </c>
      <c r="I628" s="201">
        <f t="shared" si="82"/>
        <v>1290.1479131520014</v>
      </c>
      <c r="J628" s="291"/>
    </row>
    <row r="629" spans="1:10" ht="28.8" x14ac:dyDescent="0.3">
      <c r="B629" s="197" t="s">
        <v>13901</v>
      </c>
      <c r="C629" s="197" t="s">
        <v>13039</v>
      </c>
      <c r="D629" s="198" t="s">
        <v>8335</v>
      </c>
      <c r="E629" s="199" t="str">
        <f>VLOOKUP($D629,'Preços Unitários'!$B:$G,2,FALSE)</f>
        <v>Fôrmas de compensado plastificado 12 mm - uso geral - utilização de 1 vez - confecção, instalação e retirada</v>
      </c>
      <c r="F629" s="197" t="str">
        <f>VLOOKUP($D629,'Preços Unitários'!$B:$G,3,FALSE)</f>
        <v>m²</v>
      </c>
      <c r="G629" s="200">
        <f>+'MC EC'!I124</f>
        <v>99.680000000000106</v>
      </c>
      <c r="H629" s="200">
        <f>VLOOKUP($D629,'Preços Unitários'!$B:$G,6,FALSE)</f>
        <v>175.71622900000003</v>
      </c>
      <c r="I629" s="201">
        <f t="shared" si="82"/>
        <v>17515.39370672002</v>
      </c>
      <c r="J629" s="299"/>
    </row>
    <row r="630" spans="1:10" ht="28.8" x14ac:dyDescent="0.3">
      <c r="B630" s="197" t="s">
        <v>13902</v>
      </c>
      <c r="C630" s="197" t="s">
        <v>13039</v>
      </c>
      <c r="D630" s="198" t="s">
        <v>211</v>
      </c>
      <c r="E630" s="199" t="str">
        <f>VLOOKUP($D630,'Preços Unitários'!$B:$G,2,FALSE)</f>
        <v>Armação em aço CA-50 - fornecimento, preparo e colocação</v>
      </c>
      <c r="F630" s="197" t="str">
        <f>VLOOKUP($D630,'Preços Unitários'!$B:$G,3,FALSE)</f>
        <v>kg</v>
      </c>
      <c r="G630" s="200">
        <f>+'MC EC'!I125</f>
        <v>1794.2400000000018</v>
      </c>
      <c r="H630" s="200">
        <f>VLOOKUP($D630,'Preços Unitários'!$B:$G,6,FALSE)</f>
        <v>15.846655000000002</v>
      </c>
      <c r="I630" s="201">
        <f t="shared" si="82"/>
        <v>28432.702267200031</v>
      </c>
      <c r="J630" s="299"/>
    </row>
    <row r="631" spans="1:10" ht="28.8" x14ac:dyDescent="0.3">
      <c r="B631" s="197" t="s">
        <v>13903</v>
      </c>
      <c r="C631" s="197" t="s">
        <v>13039</v>
      </c>
      <c r="D631" s="198" t="s">
        <v>8761</v>
      </c>
      <c r="E631" s="199" t="str">
        <f>VLOOKUP($D631,'Preços Unitários'!$B:$G,2,FALSE)</f>
        <v>Guarda-corpo e corrimão metálico para passarelas para pedestres - fornecimento e instalação</v>
      </c>
      <c r="F631" s="197" t="str">
        <f>VLOOKUP($D631,'Preços Unitários'!$B:$G,3,FALSE)</f>
        <v>m</v>
      </c>
      <c r="G631" s="200">
        <f>+'MC EC'!I126</f>
        <v>9.1999999999999993</v>
      </c>
      <c r="H631" s="200">
        <f>VLOOKUP($D631,'Preços Unitários'!$B:$G,6,FALSE)</f>
        <v>928.91463099999999</v>
      </c>
      <c r="I631" s="201">
        <f t="shared" si="82"/>
        <v>8546.0146052</v>
      </c>
      <c r="J631" s="299"/>
    </row>
    <row r="632" spans="1:10" x14ac:dyDescent="0.3">
      <c r="B632" s="197" t="s">
        <v>13904</v>
      </c>
      <c r="C632" s="197" t="s">
        <v>12</v>
      </c>
      <c r="D632" s="198" t="s">
        <v>13249</v>
      </c>
      <c r="E632" s="199" t="s">
        <v>13242</v>
      </c>
      <c r="F632" s="197" t="s">
        <v>2904</v>
      </c>
      <c r="G632" s="200">
        <f>+'MC EC'!I127</f>
        <v>35.200000000000003</v>
      </c>
      <c r="H632" s="200">
        <f>+'Composições de Preços'!$F$262</f>
        <v>97.457885715492935</v>
      </c>
      <c r="I632" s="201">
        <f t="shared" si="82"/>
        <v>3430.5175771853515</v>
      </c>
      <c r="J632" s="299"/>
    </row>
    <row r="633" spans="1:10" x14ac:dyDescent="0.3">
      <c r="B633" s="197" t="s">
        <v>13905</v>
      </c>
      <c r="C633" s="197" t="s">
        <v>12</v>
      </c>
      <c r="D633" s="198" t="s">
        <v>13257</v>
      </c>
      <c r="E633" s="199" t="s">
        <v>13256</v>
      </c>
      <c r="F633" s="197" t="s">
        <v>13258</v>
      </c>
      <c r="G633" s="200">
        <v>1</v>
      </c>
      <c r="H633" s="200">
        <f>+'Composições de Preços'!$F$308</f>
        <v>26933.050000000003</v>
      </c>
      <c r="I633" s="201">
        <f t="shared" si="82"/>
        <v>26933.050000000003</v>
      </c>
      <c r="J633" s="291"/>
    </row>
    <row r="634" spans="1:10" x14ac:dyDescent="0.3">
      <c r="B634" s="197" t="s">
        <v>13906</v>
      </c>
      <c r="C634" s="197" t="s">
        <v>12</v>
      </c>
      <c r="D634" s="198" t="s">
        <v>13262</v>
      </c>
      <c r="E634" s="199" t="s">
        <v>13259</v>
      </c>
      <c r="F634" s="197" t="s">
        <v>13258</v>
      </c>
      <c r="G634" s="200">
        <v>1</v>
      </c>
      <c r="H634" s="200">
        <f>+'Composições de Preços'!$F$354</f>
        <v>51849.252999999997</v>
      </c>
      <c r="I634" s="201">
        <f t="shared" si="82"/>
        <v>51849.252999999997</v>
      </c>
      <c r="J634" s="299"/>
    </row>
    <row r="635" spans="1:10" x14ac:dyDescent="0.3">
      <c r="B635" s="197" t="s">
        <v>14553</v>
      </c>
      <c r="C635" s="197" t="s">
        <v>12</v>
      </c>
      <c r="D635" s="198" t="s">
        <v>13263</v>
      </c>
      <c r="E635" s="199" t="s">
        <v>13260</v>
      </c>
      <c r="F635" s="197" t="s">
        <v>13258</v>
      </c>
      <c r="G635" s="200">
        <v>1</v>
      </c>
      <c r="H635" s="200">
        <f>+'Composições de Preços'!$F$400</f>
        <v>23659.744900000002</v>
      </c>
      <c r="I635" s="201">
        <f t="shared" si="82"/>
        <v>23659.744900000002</v>
      </c>
      <c r="J635" s="299"/>
    </row>
    <row r="636" spans="1:10" x14ac:dyDescent="0.3">
      <c r="B636" s="202"/>
      <c r="C636" s="204"/>
      <c r="D636" s="204"/>
      <c r="E636" s="204"/>
      <c r="F636" s="204"/>
      <c r="G636" s="204"/>
      <c r="H636" s="204"/>
      <c r="I636" s="204"/>
      <c r="J636" s="299"/>
    </row>
    <row r="637" spans="1:10" x14ac:dyDescent="0.3">
      <c r="B637" s="202">
        <v>3</v>
      </c>
      <c r="C637" s="202" t="s">
        <v>13</v>
      </c>
      <c r="D637" s="203" t="s">
        <v>13</v>
      </c>
      <c r="E637" s="204" t="s">
        <v>13091</v>
      </c>
      <c r="F637" s="202" t="s">
        <v>13</v>
      </c>
      <c r="G637" s="205">
        <v>0</v>
      </c>
      <c r="H637" s="205">
        <v>0</v>
      </c>
      <c r="I637" s="205">
        <f>+I638+I659+I665+I671+I692</f>
        <v>9312430.6696705371</v>
      </c>
      <c r="J637" s="299"/>
    </row>
    <row r="638" spans="1:10" s="219" customFormat="1" x14ac:dyDescent="0.3">
      <c r="B638" s="214">
        <v>0</v>
      </c>
      <c r="C638" s="215" t="s">
        <v>13</v>
      </c>
      <c r="D638" s="216" t="s">
        <v>13</v>
      </c>
      <c r="E638" s="217" t="s">
        <v>13343</v>
      </c>
      <c r="F638" s="215" t="s">
        <v>13</v>
      </c>
      <c r="G638" s="214">
        <v>0</v>
      </c>
      <c r="H638" s="214">
        <v>0</v>
      </c>
      <c r="I638" s="214">
        <f>+I639+I644+I649+I654</f>
        <v>3368975.3924151799</v>
      </c>
      <c r="J638"/>
    </row>
    <row r="639" spans="1:10" x14ac:dyDescent="0.3">
      <c r="A639" s="42" t="s">
        <v>14475</v>
      </c>
      <c r="B639" s="220" t="s">
        <v>13110</v>
      </c>
      <c r="C639" s="220" t="s">
        <v>13</v>
      </c>
      <c r="D639" s="221" t="s">
        <v>13</v>
      </c>
      <c r="E639" s="222" t="s">
        <v>13081</v>
      </c>
      <c r="F639" s="220" t="s">
        <v>13</v>
      </c>
      <c r="G639" s="223">
        <v>0</v>
      </c>
      <c r="H639" s="223">
        <v>0</v>
      </c>
      <c r="I639" s="223">
        <f>SUM(I640:I643)</f>
        <v>1220950.9084048439</v>
      </c>
      <c r="J639" s="284" t="s">
        <v>14475</v>
      </c>
    </row>
    <row r="640" spans="1:10" ht="28.8" x14ac:dyDescent="0.3">
      <c r="B640" s="197" t="s">
        <v>14160</v>
      </c>
      <c r="C640" s="197" t="s">
        <v>13039</v>
      </c>
      <c r="D640" s="198" t="s">
        <v>3113</v>
      </c>
      <c r="E640" s="199" t="str">
        <f>VLOOKUP($D640,'Preços Unitários'!$B:$G,2,FALSE)</f>
        <v>Concreto fck = 30 MPa - confecção em betoneira e lançamento manual - areia e brita comerciais</v>
      </c>
      <c r="F640" s="197" t="str">
        <f>VLOOKUP($D640,'Preços Unitários'!$B:$G,3,FALSE)</f>
        <v>m³</v>
      </c>
      <c r="G640" s="200">
        <f>+'Ficha EXTRAV'!L4+'Ficha EXTRAV'!R4+'Ficha EXTRAV'!W4</f>
        <v>573.48969257671115</v>
      </c>
      <c r="H640" s="200">
        <f>VLOOKUP($D640,'Preços Unitários'!$B:$G,6,FALSE)</f>
        <v>636.73488300000008</v>
      </c>
      <c r="I640" s="201">
        <f t="shared" ref="I640" si="83">+G640*H640</f>
        <v>365160.89230453817</v>
      </c>
      <c r="J640" s="299"/>
    </row>
    <row r="641" spans="1:10" ht="28.8" x14ac:dyDescent="0.3">
      <c r="B641" s="197" t="s">
        <v>14161</v>
      </c>
      <c r="C641" s="197" t="s">
        <v>13039</v>
      </c>
      <c r="D641" s="198" t="s">
        <v>8335</v>
      </c>
      <c r="E641" s="199" t="str">
        <f>VLOOKUP($D641,'Preços Unitários'!$B:$G,2,FALSE)</f>
        <v>Fôrmas de compensado plastificado 12 mm - uso geral - utilização de 1 vez - confecção, instalação e retirada</v>
      </c>
      <c r="F641" s="197" t="str">
        <f>VLOOKUP($D641,'Preços Unitários'!$B:$G,3,FALSE)</f>
        <v>m²</v>
      </c>
      <c r="G641" s="200">
        <f>+'Ficha EXTRAV'!K4+'Ficha EXTRAV'!Q4+'Ficha EXTRAV'!V4</f>
        <v>829.43346288355588</v>
      </c>
      <c r="H641" s="200">
        <f>VLOOKUP($D641,'Preços Unitários'!$B:$G,6,FALSE)</f>
        <v>175.71622900000003</v>
      </c>
      <c r="I641" s="201">
        <f t="shared" ref="I641:I643" si="84">+G641*H641</f>
        <v>145744.92030430993</v>
      </c>
      <c r="J641" s="299"/>
    </row>
    <row r="642" spans="1:10" ht="28.8" x14ac:dyDescent="0.3">
      <c r="B642" s="197" t="s">
        <v>14162</v>
      </c>
      <c r="C642" s="197" t="s">
        <v>13039</v>
      </c>
      <c r="D642" s="198" t="s">
        <v>211</v>
      </c>
      <c r="E642" s="199" t="str">
        <f>VLOOKUP($D642,'Preços Unitários'!$B:$G,2,FALSE)</f>
        <v>Armação em aço CA-50 - fornecimento, preparo e colocação</v>
      </c>
      <c r="F642" s="197" t="str">
        <f>VLOOKUP($D642,'Preços Unitários'!$B:$G,3,FALSE)</f>
        <v>kg</v>
      </c>
      <c r="G642" s="200">
        <f>+G640*60</f>
        <v>34409.381554602667</v>
      </c>
      <c r="H642" s="200">
        <f>VLOOKUP($D642,'Preços Unitários'!$B:$G,6,FALSE)</f>
        <v>15.846655000000002</v>
      </c>
      <c r="I642" s="201">
        <f t="shared" si="84"/>
        <v>545273.59825915215</v>
      </c>
      <c r="J642" s="299"/>
    </row>
    <row r="643" spans="1:10" x14ac:dyDescent="0.3">
      <c r="B643" s="197" t="s">
        <v>14163</v>
      </c>
      <c r="C643" s="197" t="s">
        <v>13039</v>
      </c>
      <c r="D643" s="198" t="s">
        <v>6442</v>
      </c>
      <c r="E643" s="199" t="str">
        <f>VLOOKUP($D643,'Preços Unitários'!$B:$G,2,FALSE)</f>
        <v>Lastro de pedra de mão ou rachão - espalhamento manual</v>
      </c>
      <c r="F643" s="197" t="str">
        <f>VLOOKUP($D643,'Preços Unitários'!$B:$G,3,FALSE)</f>
        <v>m³</v>
      </c>
      <c r="G643" s="200">
        <f>+'Ficha EXTRAV'!AC4</f>
        <v>776.69375000000002</v>
      </c>
      <c r="H643" s="200">
        <f>VLOOKUP($D643,'Preços Unitários'!$B:$G,6,FALSE)</f>
        <v>212.144745</v>
      </c>
      <c r="I643" s="201">
        <f t="shared" si="84"/>
        <v>164771.49753684376</v>
      </c>
      <c r="J643"/>
    </row>
    <row r="644" spans="1:10" x14ac:dyDescent="0.3">
      <c r="A644" s="42" t="s">
        <v>14475</v>
      </c>
      <c r="B644" s="220" t="s">
        <v>13111</v>
      </c>
      <c r="C644" s="220" t="s">
        <v>13</v>
      </c>
      <c r="D644" s="221" t="s">
        <v>13</v>
      </c>
      <c r="E644" s="222" t="s">
        <v>13082</v>
      </c>
      <c r="F644" s="220" t="s">
        <v>13</v>
      </c>
      <c r="G644" s="223">
        <v>0</v>
      </c>
      <c r="H644" s="223">
        <v>0</v>
      </c>
      <c r="I644" s="223">
        <f>SUM(I645:I648)</f>
        <v>869934.87463912496</v>
      </c>
      <c r="J644" s="284" t="s">
        <v>14475</v>
      </c>
    </row>
    <row r="645" spans="1:10" ht="28.8" x14ac:dyDescent="0.3">
      <c r="B645" s="197" t="s">
        <v>14164</v>
      </c>
      <c r="C645" s="197" t="s">
        <v>13039</v>
      </c>
      <c r="D645" s="198" t="s">
        <v>3113</v>
      </c>
      <c r="E645" s="199" t="str">
        <f>VLOOKUP($D645,'Preços Unitários'!$B:$G,2,FALSE)</f>
        <v>Concreto fck = 30 MPa - confecção em betoneira e lançamento manual - areia e brita comerciais</v>
      </c>
      <c r="F645" s="197" t="str">
        <f>VLOOKUP($D645,'Preços Unitários'!$B:$G,3,FALSE)</f>
        <v>m³</v>
      </c>
      <c r="G645" s="200">
        <f>+'Ficha EXTRAV'!L5+'Ficha EXTRAV'!R5+'Ficha EXTRAV'!W5</f>
        <v>420.2107413767929</v>
      </c>
      <c r="H645" s="200">
        <f>VLOOKUP($D645,'Preços Unitários'!$B:$G,6,FALSE)</f>
        <v>636.73488300000008</v>
      </c>
      <c r="I645" s="201">
        <f t="shared" ref="I645:I648" si="85">+G645*H645</f>
        <v>267562.83724589553</v>
      </c>
      <c r="J645" s="299"/>
    </row>
    <row r="646" spans="1:10" ht="28.8" x14ac:dyDescent="0.3">
      <c r="B646" s="197" t="s">
        <v>14165</v>
      </c>
      <c r="C646" s="197" t="s">
        <v>13039</v>
      </c>
      <c r="D646" s="198" t="s">
        <v>8335</v>
      </c>
      <c r="E646" s="199" t="str">
        <f>VLOOKUP($D646,'Preços Unitários'!$B:$G,2,FALSE)</f>
        <v>Fôrmas de compensado plastificado 12 mm - uso geral - utilização de 1 vez - confecção, instalação e retirada</v>
      </c>
      <c r="F646" s="197" t="str">
        <f>VLOOKUP($D646,'Preços Unitários'!$B:$G,3,FALSE)</f>
        <v>m²</v>
      </c>
      <c r="G646" s="200">
        <f>+'Ficha EXTRAV'!K5+'Ficha EXTRAV'!Q5+'Ficha EXTRAV'!V5</f>
        <v>668.32170688396434</v>
      </c>
      <c r="H646" s="200">
        <f>VLOOKUP($D646,'Preços Unitários'!$B:$G,6,FALSE)</f>
        <v>175.71622900000003</v>
      </c>
      <c r="I646" s="201">
        <f t="shared" si="85"/>
        <v>117434.97009249358</v>
      </c>
      <c r="J646" s="299"/>
    </row>
    <row r="647" spans="1:10" ht="28.8" x14ac:dyDescent="0.3">
      <c r="B647" s="197" t="s">
        <v>14166</v>
      </c>
      <c r="C647" s="197" t="s">
        <v>13039</v>
      </c>
      <c r="D647" s="198" t="s">
        <v>211</v>
      </c>
      <c r="E647" s="199" t="str">
        <f>VLOOKUP($D647,'Preços Unitários'!$B:$G,2,FALSE)</f>
        <v>Armação em aço CA-50 - fornecimento, preparo e colocação</v>
      </c>
      <c r="F647" s="197" t="str">
        <f>VLOOKUP($D647,'Preços Unitários'!$B:$G,3,FALSE)</f>
        <v>kg</v>
      </c>
      <c r="G647" s="200">
        <f>+G645*60</f>
        <v>25212.644482607575</v>
      </c>
      <c r="H647" s="200">
        <f>VLOOKUP($D647,'Preços Unitários'!$B:$G,6,FALSE)</f>
        <v>15.846655000000002</v>
      </c>
      <c r="I647" s="201">
        <f t="shared" si="85"/>
        <v>399536.07875353581</v>
      </c>
      <c r="J647" s="299"/>
    </row>
    <row r="648" spans="1:10" x14ac:dyDescent="0.3">
      <c r="B648" s="197" t="s">
        <v>14167</v>
      </c>
      <c r="C648" s="197" t="s">
        <v>13039</v>
      </c>
      <c r="D648" s="198" t="s">
        <v>6442</v>
      </c>
      <c r="E648" s="199" t="str">
        <f>VLOOKUP($D648,'Preços Unitários'!$B:$G,2,FALSE)</f>
        <v>Lastro de pedra de mão ou rachão - espalhamento manual</v>
      </c>
      <c r="F648" s="197" t="str">
        <f>VLOOKUP($D648,'Preços Unitários'!$B:$G,3,FALSE)</f>
        <v>m³</v>
      </c>
      <c r="G648" s="200">
        <f>+'Ficha EXTRAV'!AC5</f>
        <v>402.56000000000006</v>
      </c>
      <c r="H648" s="200">
        <f>VLOOKUP($D648,'Preços Unitários'!$B:$G,6,FALSE)</f>
        <v>212.144745</v>
      </c>
      <c r="I648" s="201">
        <f t="shared" si="85"/>
        <v>85400.988547200017</v>
      </c>
      <c r="J648" s="297"/>
    </row>
    <row r="649" spans="1:10" x14ac:dyDescent="0.3">
      <c r="A649" s="42" t="s">
        <v>14477</v>
      </c>
      <c r="B649" s="220" t="s">
        <v>13112</v>
      </c>
      <c r="C649" s="220" t="s">
        <v>13</v>
      </c>
      <c r="D649" s="221" t="s">
        <v>13</v>
      </c>
      <c r="E649" s="222" t="s">
        <v>13083</v>
      </c>
      <c r="F649" s="220" t="s">
        <v>13</v>
      </c>
      <c r="G649" s="223">
        <v>0</v>
      </c>
      <c r="H649" s="223">
        <v>0</v>
      </c>
      <c r="I649" s="223">
        <f>SUM(I650:I653)</f>
        <v>639044.80468560546</v>
      </c>
      <c r="J649" s="284" t="s">
        <v>14477</v>
      </c>
    </row>
    <row r="650" spans="1:10" ht="28.8" x14ac:dyDescent="0.3">
      <c r="B650" s="197" t="s">
        <v>14168</v>
      </c>
      <c r="C650" s="197" t="s">
        <v>13039</v>
      </c>
      <c r="D650" s="198" t="s">
        <v>3113</v>
      </c>
      <c r="E650" s="199" t="str">
        <f>VLOOKUP($D650,'Preços Unitários'!$B:$G,2,FALSE)</f>
        <v>Concreto fck = 30 MPa - confecção em betoneira e lançamento manual - areia e brita comerciais</v>
      </c>
      <c r="F650" s="197" t="str">
        <f>VLOOKUP($D650,'Preços Unitários'!$B:$G,3,FALSE)</f>
        <v>m³</v>
      </c>
      <c r="G650" s="200">
        <f>+'Ficha EXTRAV'!L6+'Ficha EXTRAV'!R6+'Ficha EXTRAV'!W6</f>
        <v>312.64796044323253</v>
      </c>
      <c r="H650" s="200">
        <f>VLOOKUP($D650,'Preços Unitários'!$B:$G,6,FALSE)</f>
        <v>636.73488300000008</v>
      </c>
      <c r="I650" s="201">
        <f t="shared" ref="I650:I653" si="86">+G650*H650</f>
        <v>199073.86251301033</v>
      </c>
      <c r="J650" s="299"/>
    </row>
    <row r="651" spans="1:10" ht="28.8" x14ac:dyDescent="0.3">
      <c r="B651" s="197" t="s">
        <v>14169</v>
      </c>
      <c r="C651" s="197" t="s">
        <v>13039</v>
      </c>
      <c r="D651" s="198" t="s">
        <v>8335</v>
      </c>
      <c r="E651" s="199" t="str">
        <f>VLOOKUP($D651,'Preços Unitários'!$B:$G,2,FALSE)</f>
        <v>Fôrmas de compensado plastificado 12 mm - uso geral - utilização de 1 vez - confecção, instalação e retirada</v>
      </c>
      <c r="F651" s="197" t="str">
        <f>VLOOKUP($D651,'Preços Unitários'!$B:$G,3,FALSE)</f>
        <v>m²</v>
      </c>
      <c r="G651" s="200">
        <f>+'Ficha EXTRAV'!K6+'Ficha EXTRAV'!Q6+'Ficha EXTRAV'!V6</f>
        <v>555.26780221616241</v>
      </c>
      <c r="H651" s="200">
        <f>VLOOKUP($D651,'Preços Unitários'!$B:$G,6,FALSE)</f>
        <v>175.71622900000003</v>
      </c>
      <c r="I651" s="201">
        <f t="shared" si="86"/>
        <v>97569.564290541923</v>
      </c>
      <c r="J651" s="299"/>
    </row>
    <row r="652" spans="1:10" ht="28.8" x14ac:dyDescent="0.3">
      <c r="B652" s="197" t="s">
        <v>14170</v>
      </c>
      <c r="C652" s="197" t="s">
        <v>13039</v>
      </c>
      <c r="D652" s="198" t="s">
        <v>211</v>
      </c>
      <c r="E652" s="199" t="str">
        <f>VLOOKUP($D652,'Preços Unitários'!$B:$G,2,FALSE)</f>
        <v>Armação em aço CA-50 - fornecimento, preparo e colocação</v>
      </c>
      <c r="F652" s="197" t="str">
        <f>VLOOKUP($D652,'Preços Unitários'!$B:$G,3,FALSE)</f>
        <v>kg</v>
      </c>
      <c r="G652" s="200">
        <f>+G650*60</f>
        <v>18758.877626593952</v>
      </c>
      <c r="H652" s="200">
        <f>VLOOKUP($D652,'Preços Unitários'!$B:$G,6,FALSE)</f>
        <v>15.846655000000002</v>
      </c>
      <c r="I652" s="201">
        <f t="shared" si="86"/>
        <v>297265.46193585324</v>
      </c>
      <c r="J652" s="299"/>
    </row>
    <row r="653" spans="1:10" x14ac:dyDescent="0.3">
      <c r="B653" s="197" t="s">
        <v>14171</v>
      </c>
      <c r="C653" s="197" t="s">
        <v>13039</v>
      </c>
      <c r="D653" s="198" t="s">
        <v>6442</v>
      </c>
      <c r="E653" s="199" t="str">
        <f>VLOOKUP($D653,'Preços Unitários'!$B:$G,2,FALSE)</f>
        <v>Lastro de pedra de mão ou rachão - espalhamento manual</v>
      </c>
      <c r="F653" s="197" t="str">
        <f>VLOOKUP($D653,'Preços Unitários'!$B:$G,3,FALSE)</f>
        <v>m³</v>
      </c>
      <c r="G653" s="200">
        <f>+'Ficha EXTRAV'!AC6</f>
        <v>212.7600000000001</v>
      </c>
      <c r="H653" s="200">
        <f>VLOOKUP($D653,'Preços Unitários'!$B:$G,6,FALSE)</f>
        <v>212.144745</v>
      </c>
      <c r="I653" s="201">
        <f t="shared" si="86"/>
        <v>45135.915946200024</v>
      </c>
      <c r="J653" s="299"/>
    </row>
    <row r="654" spans="1:10" x14ac:dyDescent="0.3">
      <c r="A654" s="42" t="s">
        <v>14477</v>
      </c>
      <c r="B654" s="220" t="s">
        <v>13113</v>
      </c>
      <c r="C654" s="220" t="s">
        <v>13</v>
      </c>
      <c r="D654" s="221" t="s">
        <v>13</v>
      </c>
      <c r="E654" s="222" t="s">
        <v>13084</v>
      </c>
      <c r="F654" s="220" t="s">
        <v>13</v>
      </c>
      <c r="G654" s="223">
        <v>0</v>
      </c>
      <c r="H654" s="223">
        <v>0</v>
      </c>
      <c r="I654" s="223">
        <f>SUM(I655:I658)</f>
        <v>639044.80468560546</v>
      </c>
      <c r="J654" s="284" t="s">
        <v>14477</v>
      </c>
    </row>
    <row r="655" spans="1:10" ht="28.8" x14ac:dyDescent="0.3">
      <c r="B655" s="197" t="s">
        <v>14172</v>
      </c>
      <c r="C655" s="197" t="s">
        <v>13039</v>
      </c>
      <c r="D655" s="198" t="s">
        <v>3113</v>
      </c>
      <c r="E655" s="199" t="str">
        <f>VLOOKUP($D655,'Preços Unitários'!$B:$G,2,FALSE)</f>
        <v>Concreto fck = 30 MPa - confecção em betoneira e lançamento manual - areia e brita comerciais</v>
      </c>
      <c r="F655" s="197" t="str">
        <f>VLOOKUP($D655,'Preços Unitários'!$B:$G,3,FALSE)</f>
        <v>m³</v>
      </c>
      <c r="G655" s="200">
        <f>+'Ficha EXTRAV'!L7+'Ficha EXTRAV'!R7+'Ficha EXTRAV'!W7</f>
        <v>312.64796044323253</v>
      </c>
      <c r="H655" s="200">
        <f>VLOOKUP($D655,'Preços Unitários'!$B:$G,6,FALSE)</f>
        <v>636.73488300000008</v>
      </c>
      <c r="I655" s="201">
        <f t="shared" ref="I655:I658" si="87">+G655*H655</f>
        <v>199073.86251301033</v>
      </c>
      <c r="J655" s="297"/>
    </row>
    <row r="656" spans="1:10" ht="28.8" x14ac:dyDescent="0.3">
      <c r="B656" s="197" t="s">
        <v>14173</v>
      </c>
      <c r="C656" s="197" t="s">
        <v>13039</v>
      </c>
      <c r="D656" s="198" t="s">
        <v>8335</v>
      </c>
      <c r="E656" s="199" t="str">
        <f>VLOOKUP($D656,'Preços Unitários'!$B:$G,2,FALSE)</f>
        <v>Fôrmas de compensado plastificado 12 mm - uso geral - utilização de 1 vez - confecção, instalação e retirada</v>
      </c>
      <c r="F656" s="197" t="str">
        <f>VLOOKUP($D656,'Preços Unitários'!$B:$G,3,FALSE)</f>
        <v>m²</v>
      </c>
      <c r="G656" s="200">
        <f>+'Ficha EXTRAV'!K7+'Ficha EXTRAV'!Q7+'Ficha EXTRAV'!V7</f>
        <v>555.26780221616241</v>
      </c>
      <c r="H656" s="200">
        <f>VLOOKUP($D656,'Preços Unitários'!$B:$G,6,FALSE)</f>
        <v>175.71622900000003</v>
      </c>
      <c r="I656" s="201">
        <f t="shared" si="87"/>
        <v>97569.564290541923</v>
      </c>
      <c r="J656"/>
    </row>
    <row r="657" spans="1:10" ht="28.8" x14ac:dyDescent="0.3">
      <c r="B657" s="197" t="s">
        <v>14174</v>
      </c>
      <c r="C657" s="197" t="s">
        <v>13039</v>
      </c>
      <c r="D657" s="198" t="s">
        <v>211</v>
      </c>
      <c r="E657" s="199" t="str">
        <f>VLOOKUP($D657,'Preços Unitários'!$B:$G,2,FALSE)</f>
        <v>Armação em aço CA-50 - fornecimento, preparo e colocação</v>
      </c>
      <c r="F657" s="197" t="str">
        <f>VLOOKUP($D657,'Preços Unitários'!$B:$G,3,FALSE)</f>
        <v>kg</v>
      </c>
      <c r="G657" s="200">
        <f>+G655*60</f>
        <v>18758.877626593952</v>
      </c>
      <c r="H657" s="200">
        <f>VLOOKUP($D657,'Preços Unitários'!$B:$G,6,FALSE)</f>
        <v>15.846655000000002</v>
      </c>
      <c r="I657" s="201">
        <f t="shared" si="87"/>
        <v>297265.46193585324</v>
      </c>
      <c r="J657" s="299"/>
    </row>
    <row r="658" spans="1:10" x14ac:dyDescent="0.3">
      <c r="B658" s="197" t="s">
        <v>14175</v>
      </c>
      <c r="C658" s="197" t="s">
        <v>13039</v>
      </c>
      <c r="D658" s="198" t="s">
        <v>6442</v>
      </c>
      <c r="E658" s="199" t="str">
        <f>VLOOKUP($D658,'Preços Unitários'!$B:$G,2,FALSE)</f>
        <v>Lastro de pedra de mão ou rachão - espalhamento manual</v>
      </c>
      <c r="F658" s="197" t="str">
        <f>VLOOKUP($D658,'Preços Unitários'!$B:$G,3,FALSE)</f>
        <v>m³</v>
      </c>
      <c r="G658" s="200">
        <f>+'Ficha EXTRAV'!AC7</f>
        <v>212.7600000000001</v>
      </c>
      <c r="H658" s="200">
        <f>VLOOKUP($D658,'Preços Unitários'!$B:$G,6,FALSE)</f>
        <v>212.144745</v>
      </c>
      <c r="I658" s="201">
        <f t="shared" si="87"/>
        <v>45135.915946200024</v>
      </c>
      <c r="J658" s="299"/>
    </row>
    <row r="659" spans="1:10" s="219" customFormat="1" x14ac:dyDescent="0.3">
      <c r="B659" s="214">
        <v>0</v>
      </c>
      <c r="C659" s="215" t="s">
        <v>13</v>
      </c>
      <c r="D659" s="216" t="s">
        <v>13</v>
      </c>
      <c r="E659" s="217" t="s">
        <v>13344</v>
      </c>
      <c r="F659" s="215" t="s">
        <v>13</v>
      </c>
      <c r="G659" s="214">
        <v>0</v>
      </c>
      <c r="H659" s="214">
        <v>0</v>
      </c>
      <c r="I659" s="214">
        <f>+I660</f>
        <v>389271.0669622533</v>
      </c>
      <c r="J659" s="299"/>
    </row>
    <row r="660" spans="1:10" x14ac:dyDescent="0.3">
      <c r="A660" s="42" t="s">
        <v>14477</v>
      </c>
      <c r="B660" s="220" t="s">
        <v>13114</v>
      </c>
      <c r="C660" s="220" t="s">
        <v>13</v>
      </c>
      <c r="D660" s="221" t="s">
        <v>13</v>
      </c>
      <c r="E660" s="222" t="s">
        <v>14625</v>
      </c>
      <c r="F660" s="220" t="s">
        <v>13</v>
      </c>
      <c r="G660" s="223">
        <v>0</v>
      </c>
      <c r="H660" s="223">
        <v>0</v>
      </c>
      <c r="I660" s="223">
        <f>SUM(I661:I664)</f>
        <v>389271.0669622533</v>
      </c>
      <c r="J660" s="284" t="s">
        <v>14475</v>
      </c>
    </row>
    <row r="661" spans="1:10" ht="28.8" x14ac:dyDescent="0.3">
      <c r="B661" s="197" t="s">
        <v>14176</v>
      </c>
      <c r="C661" s="197" t="s">
        <v>13039</v>
      </c>
      <c r="D661" s="198" t="s">
        <v>3113</v>
      </c>
      <c r="E661" s="199" t="str">
        <f>VLOOKUP($D661,'Preços Unitários'!$B:$G,2,FALSE)</f>
        <v>Concreto fck = 30 MPa - confecção em betoneira e lançamento manual - areia e brita comerciais</v>
      </c>
      <c r="F661" s="197" t="str">
        <f>VLOOKUP($D661,'Preços Unitários'!$B:$G,3,FALSE)</f>
        <v>m³</v>
      </c>
      <c r="G661" s="200">
        <f>+'Ficha EXTRAV'!L8+'Ficha EXTRAV'!R8+'Ficha EXTRAV'!W8</f>
        <v>188.95644185374863</v>
      </c>
      <c r="H661" s="200">
        <f>VLOOKUP($D661,'Preços Unitários'!$B:$G,6,FALSE)</f>
        <v>636.73488300000008</v>
      </c>
      <c r="I661" s="201">
        <f t="shared" ref="I661:I664" si="88">+G661*H661</f>
        <v>120315.15789584295</v>
      </c>
      <c r="J661" s="299"/>
    </row>
    <row r="662" spans="1:10" ht="28.8" x14ac:dyDescent="0.3">
      <c r="B662" s="197" t="s">
        <v>14177</v>
      </c>
      <c r="C662" s="197" t="s">
        <v>13039</v>
      </c>
      <c r="D662" s="198" t="s">
        <v>8335</v>
      </c>
      <c r="E662" s="199" t="str">
        <f>VLOOKUP($D662,'Preços Unitários'!$B:$G,2,FALSE)</f>
        <v>Fôrmas de compensado plastificado 12 mm - uso geral - utilização de 1 vez - confecção, instalação e retirada</v>
      </c>
      <c r="F662" s="197" t="str">
        <f>VLOOKUP($D662,'Preços Unitários'!$B:$G,3,FALSE)</f>
        <v>m²</v>
      </c>
      <c r="G662" s="200">
        <f>+'Ficha EXTRAV'!K8+'Ficha EXTRAV'!Q8+'Ficha EXTRAV'!V8</f>
        <v>425.28420926874315</v>
      </c>
      <c r="H662" s="200">
        <f>VLOOKUP($D662,'Preços Unitários'!$B:$G,6,FALSE)</f>
        <v>175.71622900000003</v>
      </c>
      <c r="I662" s="201">
        <f t="shared" si="88"/>
        <v>74729.337505950403</v>
      </c>
      <c r="J662" s="299"/>
    </row>
    <row r="663" spans="1:10" ht="28.8" x14ac:dyDescent="0.3">
      <c r="B663" s="197" t="s">
        <v>14178</v>
      </c>
      <c r="C663" s="197" t="s">
        <v>13039</v>
      </c>
      <c r="D663" s="198" t="s">
        <v>211</v>
      </c>
      <c r="E663" s="199" t="str">
        <f>VLOOKUP($D663,'Preços Unitários'!$B:$G,2,FALSE)</f>
        <v>Armação em aço CA-50 - fornecimento, preparo e colocação</v>
      </c>
      <c r="F663" s="197" t="str">
        <f>VLOOKUP($D663,'Preços Unitários'!$B:$G,3,FALSE)</f>
        <v>kg</v>
      </c>
      <c r="G663" s="200">
        <f>+G661*60</f>
        <v>11337.386511224919</v>
      </c>
      <c r="H663" s="200">
        <f>VLOOKUP($D663,'Preços Unitários'!$B:$G,6,FALSE)</f>
        <v>15.846655000000002</v>
      </c>
      <c r="I663" s="201">
        <f t="shared" si="88"/>
        <v>179659.65264503495</v>
      </c>
      <c r="J663" s="299"/>
    </row>
    <row r="664" spans="1:10" x14ac:dyDescent="0.3">
      <c r="B664" s="197" t="s">
        <v>14179</v>
      </c>
      <c r="C664" s="197" t="s">
        <v>13039</v>
      </c>
      <c r="D664" s="198" t="s">
        <v>6442</v>
      </c>
      <c r="E664" s="199" t="str">
        <f>VLOOKUP($D664,'Preços Unitários'!$B:$G,2,FALSE)</f>
        <v>Lastro de pedra de mão ou rachão - espalhamento manual</v>
      </c>
      <c r="F664" s="197" t="str">
        <f>VLOOKUP($D664,'Preços Unitários'!$B:$G,3,FALSE)</f>
        <v>m³</v>
      </c>
      <c r="G664" s="200">
        <f>+'Ficha EXTRAV'!AC8</f>
        <v>68.665000000000006</v>
      </c>
      <c r="H664" s="200">
        <f>VLOOKUP($D664,'Preços Unitários'!$B:$G,6,FALSE)</f>
        <v>212.144745</v>
      </c>
      <c r="I664" s="201">
        <f t="shared" si="88"/>
        <v>14566.918915425002</v>
      </c>
      <c r="J664" s="297"/>
    </row>
    <row r="665" spans="1:10" s="219" customFormat="1" x14ac:dyDescent="0.3">
      <c r="B665" s="214">
        <v>0</v>
      </c>
      <c r="C665" s="215" t="s">
        <v>13</v>
      </c>
      <c r="D665" s="216" t="s">
        <v>13</v>
      </c>
      <c r="E665" s="217" t="s">
        <v>13072</v>
      </c>
      <c r="F665" s="215" t="s">
        <v>13</v>
      </c>
      <c r="G665" s="214">
        <v>0</v>
      </c>
      <c r="H665" s="214">
        <v>0</v>
      </c>
      <c r="I665" s="214">
        <f>+I666</f>
        <v>1509589.1888308814</v>
      </c>
      <c r="J665" s="299"/>
    </row>
    <row r="666" spans="1:10" x14ac:dyDescent="0.3">
      <c r="A666" s="42" t="s">
        <v>14476</v>
      </c>
      <c r="B666" s="220" t="s">
        <v>13115</v>
      </c>
      <c r="C666" s="220" t="s">
        <v>13</v>
      </c>
      <c r="D666" s="221" t="s">
        <v>13</v>
      </c>
      <c r="E666" s="222" t="s">
        <v>13085</v>
      </c>
      <c r="F666" s="220" t="s">
        <v>13</v>
      </c>
      <c r="G666" s="223">
        <v>0</v>
      </c>
      <c r="H666" s="223">
        <v>0</v>
      </c>
      <c r="I666" s="223">
        <f>SUM(I667:I670)</f>
        <v>1509589.1888308814</v>
      </c>
      <c r="J666" s="284" t="s">
        <v>14476</v>
      </c>
    </row>
    <row r="667" spans="1:10" ht="28.8" x14ac:dyDescent="0.3">
      <c r="B667" s="197" t="s">
        <v>14180</v>
      </c>
      <c r="C667" s="197" t="s">
        <v>13039</v>
      </c>
      <c r="D667" s="198" t="s">
        <v>3113</v>
      </c>
      <c r="E667" s="199" t="str">
        <f>VLOOKUP($D667,'Preços Unitários'!$B:$G,2,FALSE)</f>
        <v>Concreto fck = 30 MPa - confecção em betoneira e lançamento manual - areia e brita comerciais</v>
      </c>
      <c r="F667" s="197" t="str">
        <f>VLOOKUP($D667,'Preços Unitários'!$B:$G,3,FALSE)</f>
        <v>m³</v>
      </c>
      <c r="G667" s="200">
        <f>+'Ficha EXTRAV'!L10+'Ficha EXTRAV'!R10+'Ficha EXTRAV'!W10</f>
        <v>691.81092481156929</v>
      </c>
      <c r="H667" s="200">
        <f>VLOOKUP($D667,'Preços Unitários'!$B:$G,6,FALSE)</f>
        <v>636.73488300000008</v>
      </c>
      <c r="I667" s="201">
        <f t="shared" ref="I667:I670" si="89">+G667*H667</f>
        <v>440500.1482680164</v>
      </c>
      <c r="J667" s="299"/>
    </row>
    <row r="668" spans="1:10" ht="28.8" x14ac:dyDescent="0.3">
      <c r="B668" s="197" t="s">
        <v>14181</v>
      </c>
      <c r="C668" s="197" t="s">
        <v>13039</v>
      </c>
      <c r="D668" s="198" t="s">
        <v>8335</v>
      </c>
      <c r="E668" s="199" t="str">
        <f>VLOOKUP($D668,'Preços Unitários'!$B:$G,2,FALSE)</f>
        <v>Fôrmas de compensado plastificado 12 mm - uso geral - utilização de 1 vez - confecção, instalação e retirada</v>
      </c>
      <c r="F668" s="197" t="str">
        <f>VLOOKUP($D668,'Preços Unitários'!$B:$G,3,FALSE)</f>
        <v>m²</v>
      </c>
      <c r="G668" s="200">
        <f>+'Ficha EXTRAV'!K10+'Ficha EXTRAV'!Q10+'Ficha EXTRAV'!V10</f>
        <v>953.80362405784604</v>
      </c>
      <c r="H668" s="200">
        <f>VLOOKUP($D668,'Preços Unitários'!$B:$G,6,FALSE)</f>
        <v>175.71622900000003</v>
      </c>
      <c r="I668" s="201">
        <f t="shared" si="89"/>
        <v>167598.77602597841</v>
      </c>
      <c r="J668" s="299"/>
    </row>
    <row r="669" spans="1:10" ht="28.8" x14ac:dyDescent="0.3">
      <c r="B669" s="197" t="s">
        <v>14182</v>
      </c>
      <c r="C669" s="197" t="s">
        <v>13039</v>
      </c>
      <c r="D669" s="198" t="s">
        <v>211</v>
      </c>
      <c r="E669" s="199" t="str">
        <f>VLOOKUP($D669,'Preços Unitários'!$B:$G,2,FALSE)</f>
        <v>Armação em aço CA-50 - fornecimento, preparo e colocação</v>
      </c>
      <c r="F669" s="197" t="str">
        <f>VLOOKUP($D669,'Preços Unitários'!$B:$G,3,FALSE)</f>
        <v>kg</v>
      </c>
      <c r="G669" s="200">
        <f>+G667*60</f>
        <v>41508.655488694159</v>
      </c>
      <c r="H669" s="200">
        <f>VLOOKUP($D669,'Preços Unitários'!$B:$G,6,FALSE)</f>
        <v>15.846655000000002</v>
      </c>
      <c r="I669" s="201">
        <f t="shared" si="89"/>
        <v>657773.34304319287</v>
      </c>
      <c r="J669" s="299"/>
    </row>
    <row r="670" spans="1:10" x14ac:dyDescent="0.3">
      <c r="B670" s="197" t="s">
        <v>14183</v>
      </c>
      <c r="C670" s="197" t="s">
        <v>13039</v>
      </c>
      <c r="D670" s="198" t="s">
        <v>6442</v>
      </c>
      <c r="E670" s="199" t="str">
        <f>VLOOKUP($D670,'Preços Unitários'!$B:$G,2,FALSE)</f>
        <v>Lastro de pedra de mão ou rachão - espalhamento manual</v>
      </c>
      <c r="F670" s="197" t="str">
        <f>VLOOKUP($D670,'Preços Unitários'!$B:$G,3,FALSE)</f>
        <v>m³</v>
      </c>
      <c r="G670" s="200">
        <f>+'Ficha EXTRAV'!AC10</f>
        <v>1148.8237499999996</v>
      </c>
      <c r="H670" s="200">
        <f>VLOOKUP($D670,'Preços Unitários'!$B:$G,6,FALSE)</f>
        <v>212.144745</v>
      </c>
      <c r="I670" s="201">
        <f t="shared" si="89"/>
        <v>243716.92149369366</v>
      </c>
      <c r="J670"/>
    </row>
    <row r="671" spans="1:10" s="219" customFormat="1" x14ac:dyDescent="0.3">
      <c r="B671" s="214">
        <v>0</v>
      </c>
      <c r="C671" s="215" t="s">
        <v>13</v>
      </c>
      <c r="D671" s="216" t="s">
        <v>13</v>
      </c>
      <c r="E671" s="217" t="s">
        <v>13345</v>
      </c>
      <c r="F671" s="215" t="s">
        <v>13</v>
      </c>
      <c r="G671" s="214">
        <v>0</v>
      </c>
      <c r="H671" s="214">
        <v>0</v>
      </c>
      <c r="I671" s="214">
        <f>+I672+I677+I682+I687</f>
        <v>3727989.0029208115</v>
      </c>
      <c r="J671" s="299"/>
    </row>
    <row r="672" spans="1:10" x14ac:dyDescent="0.3">
      <c r="A672" s="42" t="s">
        <v>14476</v>
      </c>
      <c r="B672" s="220" t="s">
        <v>13116</v>
      </c>
      <c r="C672" s="220" t="s">
        <v>13</v>
      </c>
      <c r="D672" s="221" t="s">
        <v>13</v>
      </c>
      <c r="E672" s="222" t="s">
        <v>13086</v>
      </c>
      <c r="F672" s="220" t="s">
        <v>13</v>
      </c>
      <c r="G672" s="223">
        <v>0</v>
      </c>
      <c r="H672" s="223">
        <v>0</v>
      </c>
      <c r="I672" s="223">
        <f>SUM(I673:I676)</f>
        <v>1051457.7959323225</v>
      </c>
      <c r="J672" s="284" t="s">
        <v>14476</v>
      </c>
    </row>
    <row r="673" spans="1:10" ht="28.8" x14ac:dyDescent="0.3">
      <c r="B673" s="197" t="s">
        <v>14184</v>
      </c>
      <c r="C673" s="197" t="s">
        <v>13039</v>
      </c>
      <c r="D673" s="198" t="s">
        <v>3113</v>
      </c>
      <c r="E673" s="199" t="str">
        <f>VLOOKUP($D673,'Preços Unitários'!$B:$G,2,FALSE)</f>
        <v>Concreto fck = 30 MPa - confecção em betoneira e lançamento manual - areia e brita comerciais</v>
      </c>
      <c r="F673" s="197" t="str">
        <f>VLOOKUP($D673,'Preços Unitários'!$B:$G,3,FALSE)</f>
        <v>m³</v>
      </c>
      <c r="G673" s="200">
        <f>+'Ficha EXTRAV'!L11+'Ficha EXTRAV'!R11+'Ficha EXTRAV'!W11</f>
        <v>500.8837067980607</v>
      </c>
      <c r="H673" s="200">
        <f>VLOOKUP($D673,'Preços Unitários'!$B:$G,6,FALSE)</f>
        <v>636.73488300000008</v>
      </c>
      <c r="I673" s="201">
        <f t="shared" ref="I673:I676" si="90">+G673*H673</f>
        <v>318930.12844466954</v>
      </c>
      <c r="J673" s="299"/>
    </row>
    <row r="674" spans="1:10" ht="28.8" x14ac:dyDescent="0.3">
      <c r="B674" s="197" t="s">
        <v>14185</v>
      </c>
      <c r="C674" s="197" t="s">
        <v>13039</v>
      </c>
      <c r="D674" s="198" t="s">
        <v>8335</v>
      </c>
      <c r="E674" s="199" t="str">
        <f>VLOOKUP($D674,'Preços Unitários'!$B:$G,2,FALSE)</f>
        <v>Fôrmas de compensado plastificado 12 mm - uso geral - utilização de 1 vez - confecção, instalação e retirada</v>
      </c>
      <c r="F674" s="197" t="str">
        <f>VLOOKUP($D674,'Preços Unitários'!$B:$G,3,FALSE)</f>
        <v>m²</v>
      </c>
      <c r="G674" s="200">
        <f>+'Ficha EXTRAV'!K11+'Ficha EXTRAV'!Q11+'Ficha EXTRAV'!V11</f>
        <v>753.11653399030331</v>
      </c>
      <c r="H674" s="200">
        <f>VLOOKUP($D674,'Preços Unitários'!$B:$G,6,FALSE)</f>
        <v>175.71622900000003</v>
      </c>
      <c r="I674" s="201">
        <f t="shared" si="90"/>
        <v>132334.79735032644</v>
      </c>
      <c r="J674" s="299"/>
    </row>
    <row r="675" spans="1:10" ht="28.8" x14ac:dyDescent="0.3">
      <c r="B675" s="197" t="s">
        <v>14186</v>
      </c>
      <c r="C675" s="197" t="s">
        <v>13039</v>
      </c>
      <c r="D675" s="198" t="s">
        <v>211</v>
      </c>
      <c r="E675" s="199" t="str">
        <f>VLOOKUP($D675,'Preços Unitários'!$B:$G,2,FALSE)</f>
        <v>Armação em aço CA-50 - fornecimento, preparo e colocação</v>
      </c>
      <c r="F675" s="197" t="str">
        <f>VLOOKUP($D675,'Preços Unitários'!$B:$G,3,FALSE)</f>
        <v>kg</v>
      </c>
      <c r="G675" s="200">
        <f>+G673*60</f>
        <v>30053.022407883644</v>
      </c>
      <c r="H675" s="200">
        <f>VLOOKUP($D675,'Preços Unitários'!$B:$G,6,FALSE)</f>
        <v>15.846655000000002</v>
      </c>
      <c r="I675" s="201">
        <f t="shared" si="90"/>
        <v>476239.87780500145</v>
      </c>
      <c r="J675" s="299"/>
    </row>
    <row r="676" spans="1:10" x14ac:dyDescent="0.3">
      <c r="B676" s="197" t="s">
        <v>14187</v>
      </c>
      <c r="C676" s="197" t="s">
        <v>13039</v>
      </c>
      <c r="D676" s="198" t="s">
        <v>6442</v>
      </c>
      <c r="E676" s="199" t="str">
        <f>VLOOKUP($D676,'Preços Unitários'!$B:$G,2,FALSE)</f>
        <v>Lastro de pedra de mão ou rachão - espalhamento manual</v>
      </c>
      <c r="F676" s="197" t="str">
        <f>VLOOKUP($D676,'Preços Unitários'!$B:$G,3,FALSE)</f>
        <v>m³</v>
      </c>
      <c r="G676" s="200">
        <f>+'Ficha EXTRAV'!AC11</f>
        <v>584.28500000000008</v>
      </c>
      <c r="H676" s="200">
        <f>VLOOKUP($D676,'Preços Unitários'!$B:$G,6,FALSE)</f>
        <v>212.144745</v>
      </c>
      <c r="I676" s="201">
        <f t="shared" si="90"/>
        <v>123952.99233232501</v>
      </c>
      <c r="J676" s="299"/>
    </row>
    <row r="677" spans="1:10" x14ac:dyDescent="0.3">
      <c r="A677" s="42" t="s">
        <v>14476</v>
      </c>
      <c r="B677" s="220" t="s">
        <v>13117</v>
      </c>
      <c r="C677" s="220" t="s">
        <v>13</v>
      </c>
      <c r="D677" s="221" t="s">
        <v>13</v>
      </c>
      <c r="E677" s="222" t="s">
        <v>13087</v>
      </c>
      <c r="F677" s="220" t="s">
        <v>13</v>
      </c>
      <c r="G677" s="223">
        <v>0</v>
      </c>
      <c r="H677" s="223">
        <v>0</v>
      </c>
      <c r="I677" s="223">
        <f>SUM(I678:I681)</f>
        <v>1265840.344864253</v>
      </c>
      <c r="J677" s="284" t="s">
        <v>14476</v>
      </c>
    </row>
    <row r="678" spans="1:10" ht="28.8" x14ac:dyDescent="0.3">
      <c r="B678" s="197" t="s">
        <v>14188</v>
      </c>
      <c r="C678" s="197" t="s">
        <v>13039</v>
      </c>
      <c r="D678" s="198" t="s">
        <v>3113</v>
      </c>
      <c r="E678" s="199" t="str">
        <f>VLOOKUP($D678,'Preços Unitários'!$B:$G,2,FALSE)</f>
        <v>Concreto fck = 30 MPa - confecção em betoneira e lançamento manual - areia e brita comerciais</v>
      </c>
      <c r="F678" s="197" t="str">
        <f>VLOOKUP($D678,'Preços Unitários'!$B:$G,3,FALSE)</f>
        <v>m³</v>
      </c>
      <c r="G678" s="200">
        <f>+'Ficha EXTRAV'!L12+'Ficha EXTRAV'!R12+'Ficha EXTRAV'!W12</f>
        <v>592.31349981501955</v>
      </c>
      <c r="H678" s="200">
        <f>VLOOKUP($D678,'Preços Unitários'!$B:$G,6,FALSE)</f>
        <v>636.73488300000008</v>
      </c>
      <c r="I678" s="201">
        <f t="shared" ref="I678:I681" si="91">+G678*H678</f>
        <v>377146.66700403707</v>
      </c>
      <c r="J678" s="299"/>
    </row>
    <row r="679" spans="1:10" ht="28.8" x14ac:dyDescent="0.3">
      <c r="B679" s="197" t="s">
        <v>14189</v>
      </c>
      <c r="C679" s="197" t="s">
        <v>13039</v>
      </c>
      <c r="D679" s="198" t="s">
        <v>8335</v>
      </c>
      <c r="E679" s="199" t="str">
        <f>VLOOKUP($D679,'Preços Unitários'!$B:$G,2,FALSE)</f>
        <v>Fôrmas de compensado plastificado 12 mm - uso geral - utilização de 1 vez - confecção, instalação e retirada</v>
      </c>
      <c r="F679" s="197" t="str">
        <f>VLOOKUP($D679,'Preços Unitários'!$B:$G,3,FALSE)</f>
        <v>m²</v>
      </c>
      <c r="G679" s="200">
        <f>+'Ficha EXTRAV'!K12+'Ficha EXTRAV'!Q12+'Ficha EXTRAV'!V12</f>
        <v>849.21949907509781</v>
      </c>
      <c r="H679" s="200">
        <f>VLOOKUP($D679,'Preços Unitários'!$B:$G,6,FALSE)</f>
        <v>175.71622900000003</v>
      </c>
      <c r="I679" s="201">
        <f t="shared" si="91"/>
        <v>149221.64797074519</v>
      </c>
      <c r="J679"/>
    </row>
    <row r="680" spans="1:10" ht="28.8" x14ac:dyDescent="0.3">
      <c r="B680" s="197" t="s">
        <v>14190</v>
      </c>
      <c r="C680" s="197" t="s">
        <v>13039</v>
      </c>
      <c r="D680" s="198" t="s">
        <v>211</v>
      </c>
      <c r="E680" s="199" t="str">
        <f>VLOOKUP($D680,'Preços Unitários'!$B:$G,2,FALSE)</f>
        <v>Armação em aço CA-50 - fornecimento, preparo e colocação</v>
      </c>
      <c r="F680" s="197" t="str">
        <f>VLOOKUP($D680,'Preços Unitários'!$B:$G,3,FALSE)</f>
        <v>kg</v>
      </c>
      <c r="G680" s="200">
        <f>+G678*60</f>
        <v>35538.809988901172</v>
      </c>
      <c r="H680" s="200">
        <f>VLOOKUP($D680,'Preços Unitários'!$B:$G,6,FALSE)</f>
        <v>15.846655000000002</v>
      </c>
      <c r="I680" s="201">
        <f t="shared" si="91"/>
        <v>563171.26100467076</v>
      </c>
      <c r="J680" s="299"/>
    </row>
    <row r="681" spans="1:10" x14ac:dyDescent="0.3">
      <c r="B681" s="197" t="s">
        <v>14191</v>
      </c>
      <c r="C681" s="197" t="s">
        <v>13039</v>
      </c>
      <c r="D681" s="198" t="s">
        <v>6442</v>
      </c>
      <c r="E681" s="199" t="str">
        <f>VLOOKUP($D681,'Preços Unitários'!$B:$G,2,FALSE)</f>
        <v>Lastro de pedra de mão ou rachão - espalhamento manual</v>
      </c>
      <c r="F681" s="197" t="str">
        <f>VLOOKUP($D681,'Preços Unitários'!$B:$G,3,FALSE)</f>
        <v>m³</v>
      </c>
      <c r="G681" s="200">
        <f>+'Ficha EXTRAV'!AC12</f>
        <v>831.04</v>
      </c>
      <c r="H681" s="200">
        <f>VLOOKUP($D681,'Preços Unitários'!$B:$G,6,FALSE)</f>
        <v>212.144745</v>
      </c>
      <c r="I681" s="201">
        <f t="shared" si="91"/>
        <v>176300.7688848</v>
      </c>
      <c r="J681" s="299"/>
    </row>
    <row r="682" spans="1:10" x14ac:dyDescent="0.3">
      <c r="A682" s="42" t="s">
        <v>14478</v>
      </c>
      <c r="B682" s="220" t="s">
        <v>13118</v>
      </c>
      <c r="C682" s="220" t="s">
        <v>13</v>
      </c>
      <c r="D682" s="221" t="s">
        <v>13</v>
      </c>
      <c r="E682" s="222" t="s">
        <v>13088</v>
      </c>
      <c r="F682" s="220" t="s">
        <v>13</v>
      </c>
      <c r="G682" s="223">
        <v>0</v>
      </c>
      <c r="H682" s="223">
        <v>0</v>
      </c>
      <c r="I682" s="223">
        <f>SUM(I683:I686)</f>
        <v>887764.91456450569</v>
      </c>
      <c r="J682" s="284" t="s">
        <v>14478</v>
      </c>
    </row>
    <row r="683" spans="1:10" ht="28.8" x14ac:dyDescent="0.3">
      <c r="B683" s="197" t="s">
        <v>14192</v>
      </c>
      <c r="C683" s="197" t="s">
        <v>13039</v>
      </c>
      <c r="D683" s="198" t="s">
        <v>3113</v>
      </c>
      <c r="E683" s="199" t="str">
        <f>VLOOKUP($D683,'Preços Unitários'!$B:$G,2,FALSE)</f>
        <v>Concreto fck = 30 MPa - confecção em betoneira e lançamento manual - areia e brita comerciais</v>
      </c>
      <c r="F683" s="197" t="str">
        <f>VLOOKUP($D683,'Preços Unitários'!$B:$G,3,FALSE)</f>
        <v>m³</v>
      </c>
      <c r="G683" s="200">
        <f>+'Ficha EXTRAV'!L13+'Ficha EXTRAV'!R13+'Ficha EXTRAV'!W13</f>
        <v>428.27801465461022</v>
      </c>
      <c r="H683" s="200">
        <f>VLOOKUP($D683,'Preços Unitários'!$B:$G,6,FALSE)</f>
        <v>636.73488300000008</v>
      </c>
      <c r="I683" s="201">
        <f t="shared" ref="I683:I686" si="92">+G683*H683</f>
        <v>272699.55155257555</v>
      </c>
      <c r="J683" s="299"/>
    </row>
    <row r="684" spans="1:10" ht="28.8" x14ac:dyDescent="0.3">
      <c r="B684" s="197" t="s">
        <v>14193</v>
      </c>
      <c r="C684" s="197" t="s">
        <v>13039</v>
      </c>
      <c r="D684" s="198" t="s">
        <v>8335</v>
      </c>
      <c r="E684" s="199" t="str">
        <f>VLOOKUP($D684,'Preços Unitários'!$B:$G,2,FALSE)</f>
        <v>Fôrmas de compensado plastificado 12 mm - uso geral - utilização de 1 vez - confecção, instalação e retirada</v>
      </c>
      <c r="F684" s="197" t="str">
        <f>VLOOKUP($D684,'Preços Unitários'!$B:$G,3,FALSE)</f>
        <v>m²</v>
      </c>
      <c r="G684" s="200">
        <f>+'Ficha EXTRAV'!K13+'Ficha EXTRAV'!Q13+'Ficha EXTRAV'!V13</f>
        <v>676.80107327305097</v>
      </c>
      <c r="H684" s="200">
        <f>VLOOKUP($D684,'Preços Unitários'!$B:$G,6,FALSE)</f>
        <v>175.71622900000003</v>
      </c>
      <c r="I684" s="201">
        <f t="shared" si="92"/>
        <v>118924.93237869322</v>
      </c>
      <c r="J684" s="299"/>
    </row>
    <row r="685" spans="1:10" ht="28.8" x14ac:dyDescent="0.3">
      <c r="B685" s="197" t="s">
        <v>14194</v>
      </c>
      <c r="C685" s="197" t="s">
        <v>13039</v>
      </c>
      <c r="D685" s="198" t="s">
        <v>211</v>
      </c>
      <c r="E685" s="199" t="str">
        <f>VLOOKUP($D685,'Preços Unitários'!$B:$G,2,FALSE)</f>
        <v>Armação em aço CA-50 - fornecimento, preparo e colocação</v>
      </c>
      <c r="F685" s="197" t="str">
        <f>VLOOKUP($D685,'Preços Unitários'!$B:$G,3,FALSE)</f>
        <v>kg</v>
      </c>
      <c r="G685" s="200">
        <f>+G683*60</f>
        <v>25696.680879276613</v>
      </c>
      <c r="H685" s="200">
        <f>VLOOKUP($D685,'Preços Unitários'!$B:$G,6,FALSE)</f>
        <v>15.846655000000002</v>
      </c>
      <c r="I685" s="201">
        <f t="shared" si="92"/>
        <v>407206.43653899321</v>
      </c>
      <c r="J685" s="299"/>
    </row>
    <row r="686" spans="1:10" x14ac:dyDescent="0.3">
      <c r="B686" s="197" t="s">
        <v>14195</v>
      </c>
      <c r="C686" s="197" t="s">
        <v>13039</v>
      </c>
      <c r="D686" s="198" t="s">
        <v>6442</v>
      </c>
      <c r="E686" s="199" t="str">
        <f>VLOOKUP($D686,'Preços Unitários'!$B:$G,2,FALSE)</f>
        <v>Lastro de pedra de mão ou rachão - espalhamento manual</v>
      </c>
      <c r="F686" s="197" t="str">
        <f>VLOOKUP($D686,'Preços Unitários'!$B:$G,3,FALSE)</f>
        <v>m³</v>
      </c>
      <c r="G686" s="200">
        <f>+'Ficha EXTRAV'!AC13</f>
        <v>419.21375</v>
      </c>
      <c r="H686" s="200">
        <f>VLOOKUP($D686,'Preços Unitários'!$B:$G,6,FALSE)</f>
        <v>212.144745</v>
      </c>
      <c r="I686" s="201">
        <f t="shared" si="92"/>
        <v>88933.994094243753</v>
      </c>
      <c r="J686" s="299"/>
    </row>
    <row r="687" spans="1:10" x14ac:dyDescent="0.3">
      <c r="A687" s="42" t="s">
        <v>14478</v>
      </c>
      <c r="B687" s="220" t="s">
        <v>13119</v>
      </c>
      <c r="C687" s="220" t="s">
        <v>13</v>
      </c>
      <c r="D687" s="221" t="s">
        <v>13</v>
      </c>
      <c r="E687" s="222" t="s">
        <v>13089</v>
      </c>
      <c r="F687" s="220" t="s">
        <v>13</v>
      </c>
      <c r="G687" s="223">
        <v>0</v>
      </c>
      <c r="H687" s="223">
        <v>0</v>
      </c>
      <c r="I687" s="223">
        <f>SUM(I688:I691)</f>
        <v>522925.94755973003</v>
      </c>
      <c r="J687" s="284" t="s">
        <v>14478</v>
      </c>
    </row>
    <row r="688" spans="1:10" ht="28.8" x14ac:dyDescent="0.3">
      <c r="B688" s="197" t="s">
        <v>14196</v>
      </c>
      <c r="C688" s="197" t="s">
        <v>13039</v>
      </c>
      <c r="D688" s="198" t="s">
        <v>3113</v>
      </c>
      <c r="E688" s="199" t="str">
        <f>VLOOKUP($D688,'Preços Unitários'!$B:$G,2,FALSE)</f>
        <v>Concreto fck = 30 MPa - confecção em betoneira e lançamento manual - areia e brita comerciais</v>
      </c>
      <c r="F688" s="197" t="str">
        <f>VLOOKUP($D688,'Preços Unitários'!$B:$G,3,FALSE)</f>
        <v>m³</v>
      </c>
      <c r="G688" s="200">
        <f>+'Ficha EXTRAV'!L14+'Ficha EXTRAV'!R14+'Ficha EXTRAV'!W14</f>
        <v>256.17870802265384</v>
      </c>
      <c r="H688" s="200">
        <f>VLOOKUP($D688,'Preços Unitários'!$B:$G,6,FALSE)</f>
        <v>636.73488300000008</v>
      </c>
      <c r="I688" s="201">
        <f t="shared" ref="I688:I691" si="93">+G688*H688</f>
        <v>163117.91967989568</v>
      </c>
      <c r="J688"/>
    </row>
    <row r="689" spans="1:10" ht="28.8" x14ac:dyDescent="0.3">
      <c r="B689" s="197" t="s">
        <v>14197</v>
      </c>
      <c r="C689" s="197" t="s">
        <v>13039</v>
      </c>
      <c r="D689" s="198" t="s">
        <v>8335</v>
      </c>
      <c r="E689" s="199" t="str">
        <f>VLOOKUP($D689,'Preços Unitários'!$B:$G,2,FALSE)</f>
        <v>Fôrmas de compensado plastificado 12 mm - uso geral - utilização de 1 vez - confecção, instalação e retirada</v>
      </c>
      <c r="F689" s="197" t="str">
        <f>VLOOKUP($D689,'Preços Unitários'!$B:$G,3,FALSE)</f>
        <v>m²</v>
      </c>
      <c r="G689" s="200">
        <f>+'Ficha EXTRAV'!K14+'Ficha EXTRAV'!Q14+'Ficha EXTRAV'!V14</f>
        <v>495.92054011326911</v>
      </c>
      <c r="H689" s="200">
        <f>VLOOKUP($D689,'Preços Unitários'!$B:$G,6,FALSE)</f>
        <v>175.71622900000003</v>
      </c>
      <c r="I689" s="201">
        <f t="shared" si="93"/>
        <v>87141.287192346892</v>
      </c>
      <c r="J689" s="299"/>
    </row>
    <row r="690" spans="1:10" ht="28.8" x14ac:dyDescent="0.3">
      <c r="B690" s="197" t="s">
        <v>14198</v>
      </c>
      <c r="C690" s="197" t="s">
        <v>13039</v>
      </c>
      <c r="D690" s="198" t="s">
        <v>211</v>
      </c>
      <c r="E690" s="199" t="str">
        <f>VLOOKUP($D690,'Preços Unitários'!$B:$G,2,FALSE)</f>
        <v>Armação em aço CA-50 - fornecimento, preparo e colocação</v>
      </c>
      <c r="F690" s="197" t="str">
        <f>VLOOKUP($D690,'Preços Unitários'!$B:$G,3,FALSE)</f>
        <v>kg</v>
      </c>
      <c r="G690" s="200">
        <f>+G688*60</f>
        <v>15370.722481359229</v>
      </c>
      <c r="H690" s="200">
        <f>VLOOKUP($D690,'Preços Unitários'!$B:$G,6,FALSE)</f>
        <v>15.846655000000002</v>
      </c>
      <c r="I690" s="201">
        <f t="shared" si="93"/>
        <v>243574.53626284367</v>
      </c>
      <c r="J690" s="299"/>
    </row>
    <row r="691" spans="1:10" x14ac:dyDescent="0.3">
      <c r="B691" s="197" t="s">
        <v>14199</v>
      </c>
      <c r="C691" s="197" t="s">
        <v>13039</v>
      </c>
      <c r="D691" s="198" t="s">
        <v>6442</v>
      </c>
      <c r="E691" s="199" t="str">
        <f>VLOOKUP($D691,'Preços Unitários'!$B:$G,2,FALSE)</f>
        <v>Lastro de pedra de mão ou rachão - espalhamento manual</v>
      </c>
      <c r="F691" s="197" t="str">
        <f>VLOOKUP($D691,'Preços Unitários'!$B:$G,3,FALSE)</f>
        <v>m³</v>
      </c>
      <c r="G691" s="200">
        <f>+'Ficha EXTRAV'!AC14</f>
        <v>137.13374999999996</v>
      </c>
      <c r="H691" s="200">
        <f>VLOOKUP($D691,'Preços Unitários'!$B:$G,6,FALSE)</f>
        <v>212.144745</v>
      </c>
      <c r="I691" s="201">
        <f t="shared" si="93"/>
        <v>29092.204424643744</v>
      </c>
      <c r="J691" s="299"/>
    </row>
    <row r="692" spans="1:10" s="219" customFormat="1" x14ac:dyDescent="0.3">
      <c r="B692" s="214">
        <v>0</v>
      </c>
      <c r="C692" s="215" t="s">
        <v>13</v>
      </c>
      <c r="D692" s="216" t="s">
        <v>13</v>
      </c>
      <c r="E692" s="217" t="s">
        <v>13079</v>
      </c>
      <c r="F692" s="215" t="s">
        <v>13</v>
      </c>
      <c r="G692" s="214">
        <v>0</v>
      </c>
      <c r="H692" s="214">
        <v>0</v>
      </c>
      <c r="I692" s="214">
        <f>+I693</f>
        <v>316606.01854141126</v>
      </c>
      <c r="J692"/>
    </row>
    <row r="693" spans="1:10" x14ac:dyDescent="0.3">
      <c r="A693" s="42" t="s">
        <v>14476</v>
      </c>
      <c r="B693" s="220" t="s">
        <v>13120</v>
      </c>
      <c r="C693" s="220" t="s">
        <v>13</v>
      </c>
      <c r="D693" s="221" t="s">
        <v>13</v>
      </c>
      <c r="E693" s="222" t="s">
        <v>13090</v>
      </c>
      <c r="F693" s="220" t="s">
        <v>13</v>
      </c>
      <c r="G693" s="223">
        <v>0</v>
      </c>
      <c r="H693" s="223">
        <v>0</v>
      </c>
      <c r="I693" s="223">
        <f>SUM(I694:I697)</f>
        <v>316606.01854141126</v>
      </c>
      <c r="J693" s="284" t="s">
        <v>14476</v>
      </c>
    </row>
    <row r="694" spans="1:10" ht="28.8" x14ac:dyDescent="0.3">
      <c r="B694" s="197" t="s">
        <v>14200</v>
      </c>
      <c r="C694" s="197" t="s">
        <v>13039</v>
      </c>
      <c r="D694" s="198" t="s">
        <v>3113</v>
      </c>
      <c r="E694" s="199" t="str">
        <f>VLOOKUP($D694,'Preços Unitários'!$B:$G,2,FALSE)</f>
        <v>Concreto fck = 30 MPa - confecção em betoneira e lançamento manual - areia e brita comerciais</v>
      </c>
      <c r="F694" s="197" t="str">
        <f>VLOOKUP($D694,'Preços Unitários'!$B:$G,3,FALSE)</f>
        <v>m³</v>
      </c>
      <c r="G694" s="200">
        <f>+'Ficha EXTRAV'!L16+'Ficha EXTRAV'!R16+'Ficha EXTRAV'!W16</f>
        <v>151.31596810574595</v>
      </c>
      <c r="H694" s="200">
        <f>VLOOKUP($D694,'Preços Unitários'!$B:$G,6,FALSE)</f>
        <v>636.73488300000008</v>
      </c>
      <c r="I694" s="201">
        <f t="shared" ref="I694:I697" si="94">+G694*H694</f>
        <v>96348.155247843897</v>
      </c>
      <c r="J694" s="299"/>
    </row>
    <row r="695" spans="1:10" ht="28.8" x14ac:dyDescent="0.3">
      <c r="B695" s="197" t="s">
        <v>14201</v>
      </c>
      <c r="C695" s="197" t="s">
        <v>13039</v>
      </c>
      <c r="D695" s="198" t="s">
        <v>8335</v>
      </c>
      <c r="E695" s="199" t="str">
        <f>VLOOKUP($D695,'Preços Unitários'!$B:$G,2,FALSE)</f>
        <v>Fôrmas de compensado plastificado 12 mm - uso geral - utilização de 1 vez - confecção, instalação e retirada</v>
      </c>
      <c r="F695" s="197" t="str">
        <f>VLOOKUP($D695,'Preços Unitários'!$B:$G,3,FALSE)</f>
        <v>m²</v>
      </c>
      <c r="G695" s="200">
        <f>+'Ficha EXTRAV'!K16+'Ficha EXTRAV'!Q16+'Ficha EXTRAV'!V16</f>
        <v>385.74784052872974</v>
      </c>
      <c r="H695" s="200">
        <f>VLOOKUP($D695,'Preços Unitários'!$B:$G,6,FALSE)</f>
        <v>175.71622900000003</v>
      </c>
      <c r="I695" s="201">
        <f t="shared" si="94"/>
        <v>67782.155882601772</v>
      </c>
      <c r="J695" s="299"/>
    </row>
    <row r="696" spans="1:10" ht="28.8" x14ac:dyDescent="0.3">
      <c r="B696" s="197" t="s">
        <v>14202</v>
      </c>
      <c r="C696" s="197" t="s">
        <v>13039</v>
      </c>
      <c r="D696" s="198" t="s">
        <v>211</v>
      </c>
      <c r="E696" s="199" t="str">
        <f>VLOOKUP($D696,'Preços Unitários'!$B:$G,2,FALSE)</f>
        <v>Armação em aço CA-50 - fornecimento, preparo e colocação</v>
      </c>
      <c r="F696" s="197" t="str">
        <f>VLOOKUP($D696,'Preços Unitários'!$B:$G,3,FALSE)</f>
        <v>kg</v>
      </c>
      <c r="G696" s="200">
        <f>+G694*60</f>
        <v>9078.9580863447572</v>
      </c>
      <c r="H696" s="200">
        <f>VLOOKUP($D696,'Preços Unitários'!$B:$G,6,FALSE)</f>
        <v>15.846655000000002</v>
      </c>
      <c r="I696" s="201">
        <f t="shared" si="94"/>
        <v>143871.11655376561</v>
      </c>
      <c r="J696" s="299"/>
    </row>
    <row r="697" spans="1:10" x14ac:dyDescent="0.3">
      <c r="B697" s="197" t="s">
        <v>14203</v>
      </c>
      <c r="C697" s="197" t="s">
        <v>13039</v>
      </c>
      <c r="D697" s="198" t="s">
        <v>6442</v>
      </c>
      <c r="E697" s="199" t="str">
        <f>VLOOKUP($D697,'Preços Unitários'!$B:$G,2,FALSE)</f>
        <v>Lastro de pedra de mão ou rachão - espalhamento manual</v>
      </c>
      <c r="F697" s="197" t="str">
        <f>VLOOKUP($D697,'Preços Unitários'!$B:$G,3,FALSE)</f>
        <v>m³</v>
      </c>
      <c r="G697" s="200">
        <f>+'Ficha EXTRAV'!AC16</f>
        <v>40.559999999999995</v>
      </c>
      <c r="H697" s="200">
        <f>VLOOKUP($D697,'Preços Unitários'!$B:$G,6,FALSE)</f>
        <v>212.144745</v>
      </c>
      <c r="I697" s="201">
        <f t="shared" si="94"/>
        <v>8604.5908571999989</v>
      </c>
      <c r="J697" s="299"/>
    </row>
    <row r="698" spans="1:10" x14ac:dyDescent="0.3">
      <c r="B698" s="202"/>
      <c r="C698" s="202"/>
      <c r="D698" s="203"/>
      <c r="E698" s="204"/>
      <c r="F698" s="202"/>
      <c r="G698" s="205"/>
      <c r="H698" s="205"/>
      <c r="I698" s="205"/>
      <c r="J698" s="299"/>
    </row>
    <row r="699" spans="1:10" x14ac:dyDescent="0.3">
      <c r="A699" s="42" t="s">
        <v>14478</v>
      </c>
      <c r="B699" s="202">
        <v>4</v>
      </c>
      <c r="C699" s="202" t="s">
        <v>13</v>
      </c>
      <c r="D699" s="203" t="s">
        <v>13</v>
      </c>
      <c r="E699" s="204" t="s">
        <v>13267</v>
      </c>
      <c r="F699" s="202" t="s">
        <v>13</v>
      </c>
      <c r="G699" s="205">
        <v>0</v>
      </c>
      <c r="H699" s="205">
        <v>0</v>
      </c>
      <c r="I699" s="205">
        <f>+I700</f>
        <v>2120756.272775</v>
      </c>
      <c r="J699" s="299"/>
    </row>
    <row r="700" spans="1:10" x14ac:dyDescent="0.3">
      <c r="B700" s="202" t="s">
        <v>13122</v>
      </c>
      <c r="C700" s="202" t="s">
        <v>13</v>
      </c>
      <c r="D700" s="203" t="s">
        <v>13</v>
      </c>
      <c r="E700" s="204" t="s">
        <v>13281</v>
      </c>
      <c r="F700" s="202"/>
      <c r="G700" s="205"/>
      <c r="H700" s="205"/>
      <c r="I700" s="205">
        <f>SUM(I701:I707)</f>
        <v>2120756.272775</v>
      </c>
      <c r="J700" s="299" t="s">
        <v>14478</v>
      </c>
    </row>
    <row r="701" spans="1:10" ht="43.2" x14ac:dyDescent="0.3">
      <c r="B701" s="197" t="s">
        <v>13950</v>
      </c>
      <c r="C701" s="197" t="s">
        <v>13039</v>
      </c>
      <c r="D701" s="198" t="s">
        <v>11092</v>
      </c>
      <c r="E701" s="199" t="str">
        <f>VLOOKUP($D701,'Preços Unitários'!$B:$G,2,FALSE)</f>
        <v>Escavação, carga e transporte de material de 1ª categoria - DMT de 1.000 a 1.200 m - caminho de serviço em leito natural - com escavadeira e caminhão basculante de 14 m³</v>
      </c>
      <c r="F701" s="197" t="str">
        <f>VLOOKUP($D701,'Preços Unitários'!$B:$G,3,FALSE)</f>
        <v>m³</v>
      </c>
      <c r="G701" s="200">
        <f>+'MC OBRAS'!E5</f>
        <v>8750</v>
      </c>
      <c r="H701" s="200">
        <f>VLOOKUP($D701,'Preços Unitários'!$B:$G,6,FALSE)</f>
        <v>10.673003999999999</v>
      </c>
      <c r="I701" s="201">
        <f t="shared" ref="I701:I707" si="95">+G701*H701</f>
        <v>93388.784999999989</v>
      </c>
      <c r="J701"/>
    </row>
    <row r="702" spans="1:10" x14ac:dyDescent="0.3">
      <c r="B702" s="197" t="s">
        <v>13951</v>
      </c>
      <c r="C702" s="197" t="s">
        <v>13039</v>
      </c>
      <c r="D702" s="198" t="s">
        <v>11046</v>
      </c>
      <c r="E702" s="199" t="str">
        <f>VLOOKUP($D702,'Preços Unitários'!$B:$G,2,FALSE)</f>
        <v>Compactação de aterros a 100% do Proctor normal</v>
      </c>
      <c r="F702" s="197" t="str">
        <f>VLOOKUP($D702,'Preços Unitários'!$B:$G,3,FALSE)</f>
        <v>m³</v>
      </c>
      <c r="G702" s="200">
        <f>+'MC OBRAS'!E7</f>
        <v>4750</v>
      </c>
      <c r="H702" s="200">
        <f>VLOOKUP($D702,'Preços Unitários'!$B:$G,6,FALSE)</f>
        <v>7.1028090000000006</v>
      </c>
      <c r="I702" s="201">
        <f t="shared" si="95"/>
        <v>33738.342750000003</v>
      </c>
      <c r="J702" s="299"/>
    </row>
    <row r="703" spans="1:10" ht="28.8" x14ac:dyDescent="0.3">
      <c r="B703" s="197" t="s">
        <v>13952</v>
      </c>
      <c r="C703" s="197" t="s">
        <v>13039</v>
      </c>
      <c r="D703" s="198" t="s">
        <v>11947</v>
      </c>
      <c r="E703" s="199" t="str">
        <f>VLOOKUP($D703,'Preços Unitários'!$B:$G,2,FALSE)</f>
        <v>Transporte com caminhão basculante de 14 m³ - rodovia em leito natural</v>
      </c>
      <c r="F703" s="197" t="str">
        <f>VLOOKUP($D703,'Preços Unitários'!$B:$G,3,FALSE)</f>
        <v>tkm</v>
      </c>
      <c r="G703" s="200">
        <f>+'MC OBRAS'!E6*1.4*5</f>
        <v>28000</v>
      </c>
      <c r="H703" s="200">
        <f>VLOOKUP($D703,'Preços Unitários'!$B:$G,6,FALSE)</f>
        <v>1.165011</v>
      </c>
      <c r="I703" s="201">
        <f t="shared" si="95"/>
        <v>32620.308000000001</v>
      </c>
      <c r="J703" s="299"/>
    </row>
    <row r="704" spans="1:10" ht="28.8" x14ac:dyDescent="0.3">
      <c r="B704" s="197" t="s">
        <v>13953</v>
      </c>
      <c r="C704" s="197" t="s">
        <v>13039</v>
      </c>
      <c r="D704" s="198" t="s">
        <v>3149</v>
      </c>
      <c r="E704" s="199" t="str">
        <f>VLOOKUP($D704,'Preços Unitários'!$B:$G,2,FALSE)</f>
        <v>Concreto para bombeamento fck = 30 MPa - confecção em central dosadora de 30 m³/h - areia e brita comerciais</v>
      </c>
      <c r="F704" s="197" t="str">
        <f>VLOOKUP($D704,'Preços Unitários'!$B:$G,3,FALSE)</f>
        <v>m³</v>
      </c>
      <c r="G704" s="200">
        <f>+'MC OBRAS'!E8</f>
        <v>525</v>
      </c>
      <c r="H704" s="200">
        <f>VLOOKUP($D704,'Preços Unitários'!$B:$G,6,FALSE)</f>
        <v>575.92882499999996</v>
      </c>
      <c r="I704" s="201">
        <f t="shared" si="95"/>
        <v>302362.63312499999</v>
      </c>
      <c r="J704" s="299"/>
    </row>
    <row r="705" spans="1:10" ht="43.2" x14ac:dyDescent="0.3">
      <c r="B705" s="197" t="s">
        <v>13954</v>
      </c>
      <c r="C705" s="197" t="s">
        <v>13039</v>
      </c>
      <c r="D705" s="198" t="s">
        <v>3201</v>
      </c>
      <c r="E705" s="199" t="str">
        <f>VLOOKUP($D705,'Preços Unitários'!$B:$G,2,FALSE)</f>
        <v>Lançamento mecânico de concreto com bomba rebocável com capacidade de 30 m³/h - confecção em central dosadora de 30 m³/h</v>
      </c>
      <c r="F705" s="197" t="str">
        <f>VLOOKUP($D705,'Preços Unitários'!$B:$G,3,FALSE)</f>
        <v>m³</v>
      </c>
      <c r="G705" s="200">
        <f>+'MC OBRAS'!E8</f>
        <v>525</v>
      </c>
      <c r="H705" s="200">
        <f>VLOOKUP($D705,'Preços Unitários'!$B:$G,6,FALSE)</f>
        <v>86.285976000000005</v>
      </c>
      <c r="I705" s="201">
        <f t="shared" si="95"/>
        <v>45300.1374</v>
      </c>
      <c r="J705" s="299"/>
    </row>
    <row r="706" spans="1:10" ht="28.8" x14ac:dyDescent="0.3">
      <c r="B706" s="197" t="s">
        <v>13955</v>
      </c>
      <c r="C706" s="197" t="s">
        <v>13039</v>
      </c>
      <c r="D706" s="198" t="s">
        <v>8335</v>
      </c>
      <c r="E706" s="199" t="str">
        <f>VLOOKUP($D706,'Preços Unitários'!$B:$G,2,FALSE)</f>
        <v>Fôrmas de compensado plastificado 12 mm - uso geral - utilização de 1 vez - confecção, instalação e retirada</v>
      </c>
      <c r="F706" s="197" t="str">
        <f>VLOOKUP($D706,'Preços Unitários'!$B:$G,3,FALSE)</f>
        <v>m²</v>
      </c>
      <c r="G706" s="200">
        <f>+'MC OBRAS'!E9</f>
        <v>3500</v>
      </c>
      <c r="H706" s="200">
        <f>VLOOKUP($D706,'Preços Unitários'!$B:$G,6,FALSE)</f>
        <v>175.71622900000003</v>
      </c>
      <c r="I706" s="201">
        <f t="shared" si="95"/>
        <v>615006.80150000006</v>
      </c>
      <c r="J706" s="299"/>
    </row>
    <row r="707" spans="1:10" ht="28.8" x14ac:dyDescent="0.3">
      <c r="B707" s="197" t="s">
        <v>13956</v>
      </c>
      <c r="C707" s="197" t="s">
        <v>13039</v>
      </c>
      <c r="D707" s="198" t="s">
        <v>211</v>
      </c>
      <c r="E707" s="199" t="str">
        <f>VLOOKUP($D707,'Preços Unitários'!$B:$G,2,FALSE)</f>
        <v>Armação em aço CA-50 - fornecimento, preparo e colocação</v>
      </c>
      <c r="F707" s="197" t="str">
        <f>VLOOKUP($D707,'Preços Unitários'!$B:$G,3,FALSE)</f>
        <v>kg</v>
      </c>
      <c r="G707" s="200">
        <f>+'MC OBRAS'!E10</f>
        <v>63000</v>
      </c>
      <c r="H707" s="200">
        <f>VLOOKUP($D707,'Preços Unitários'!$B:$G,6,FALSE)</f>
        <v>15.846655000000002</v>
      </c>
      <c r="I707" s="201">
        <f t="shared" si="95"/>
        <v>998339.26500000013</v>
      </c>
      <c r="J707" s="299"/>
    </row>
    <row r="708" spans="1:10" x14ac:dyDescent="0.3">
      <c r="B708" s="202"/>
      <c r="C708" s="202"/>
      <c r="D708" s="203"/>
      <c r="E708" s="204"/>
      <c r="F708" s="202"/>
      <c r="G708" s="205"/>
      <c r="H708" s="205"/>
      <c r="I708" s="205"/>
      <c r="J708" s="299"/>
    </row>
    <row r="709" spans="1:10" x14ac:dyDescent="0.3">
      <c r="B709" s="202">
        <v>5</v>
      </c>
      <c r="C709" s="202" t="s">
        <v>13</v>
      </c>
      <c r="D709" s="203" t="s">
        <v>13</v>
      </c>
      <c r="E709" s="204" t="s">
        <v>14246</v>
      </c>
      <c r="F709" s="202" t="s">
        <v>13</v>
      </c>
      <c r="G709" s="205">
        <v>0</v>
      </c>
      <c r="H709" s="205">
        <v>0</v>
      </c>
      <c r="I709" s="205">
        <f>+I710+I719+I728+I737+I746+I755</f>
        <v>869613.09392082563</v>
      </c>
      <c r="J709" s="299"/>
    </row>
    <row r="710" spans="1:10" x14ac:dyDescent="0.3">
      <c r="A710" s="42" t="s">
        <v>14477</v>
      </c>
      <c r="B710" s="244" t="s">
        <v>13125</v>
      </c>
      <c r="C710" s="244" t="s">
        <v>13</v>
      </c>
      <c r="D710" s="245" t="s">
        <v>13</v>
      </c>
      <c r="E710" s="246" t="s">
        <v>14296</v>
      </c>
      <c r="F710" s="244"/>
      <c r="G710" s="247"/>
      <c r="H710" s="247"/>
      <c r="I710" s="247">
        <f>SUM(I711:I718)</f>
        <v>76156.311433636016</v>
      </c>
      <c r="J710" s="284" t="s">
        <v>14477</v>
      </c>
    </row>
    <row r="711" spans="1:10" ht="43.2" x14ac:dyDescent="0.3">
      <c r="B711" s="197" t="s">
        <v>13127</v>
      </c>
      <c r="C711" s="197" t="s">
        <v>13039</v>
      </c>
      <c r="D711" s="198" t="s">
        <v>11092</v>
      </c>
      <c r="E711" s="199" t="str">
        <f>VLOOKUP($D711,'Preços Unitários'!$B:$G,2,FALSE)</f>
        <v>Escavação, carga e transporte de material de 1ª categoria - DMT de 1.000 a 1.200 m - caminho de serviço em leito natural - com escavadeira e caminhão basculante de 14 m³</v>
      </c>
      <c r="F711" s="197" t="str">
        <f>VLOOKUP($D711,'Preços Unitários'!$B:$G,3,FALSE)</f>
        <v>m³</v>
      </c>
      <c r="G711" s="200">
        <f>+'MC GALERIAS'!O$5</f>
        <v>63.275999999999996</v>
      </c>
      <c r="H711" s="200">
        <f>VLOOKUP($D711,'Preços Unitários'!$B:$G,6,FALSE)</f>
        <v>10.673003999999999</v>
      </c>
      <c r="I711" s="201">
        <f t="shared" ref="I711:I718" si="96">+G711*H711</f>
        <v>675.34500110399983</v>
      </c>
      <c r="J711" s="299"/>
    </row>
    <row r="712" spans="1:10" x14ac:dyDescent="0.3">
      <c r="B712" s="197" t="s">
        <v>13128</v>
      </c>
      <c r="C712" s="197" t="s">
        <v>13039</v>
      </c>
      <c r="D712" s="198" t="s">
        <v>11046</v>
      </c>
      <c r="E712" s="199" t="str">
        <f>VLOOKUP($D712,'Preços Unitários'!$B:$G,2,FALSE)</f>
        <v>Compactação de aterros a 100% do Proctor normal</v>
      </c>
      <c r="F712" s="197" t="str">
        <f>VLOOKUP($D712,'Preços Unitários'!$B:$G,3,FALSE)</f>
        <v>m³</v>
      </c>
      <c r="G712" s="200">
        <f>+'MC GALERIAS'!O$6</f>
        <v>23.72999999999999</v>
      </c>
      <c r="H712" s="200">
        <f>VLOOKUP($D712,'Preços Unitários'!$B:$G,6,FALSE)</f>
        <v>7.1028090000000006</v>
      </c>
      <c r="I712" s="201">
        <f t="shared" si="96"/>
        <v>168.54965756999994</v>
      </c>
      <c r="J712" s="299"/>
    </row>
    <row r="713" spans="1:10" ht="28.8" x14ac:dyDescent="0.3">
      <c r="B713" s="197" t="s">
        <v>13171</v>
      </c>
      <c r="C713" s="197" t="s">
        <v>13039</v>
      </c>
      <c r="D713" s="198" t="s">
        <v>11947</v>
      </c>
      <c r="E713" s="199" t="str">
        <f>VLOOKUP($D713,'Preços Unitários'!$B:$G,2,FALSE)</f>
        <v>Transporte com caminhão basculante de 14 m³ - rodovia em leito natural</v>
      </c>
      <c r="F713" s="197" t="str">
        <f>VLOOKUP($D713,'Preços Unitários'!$B:$G,3,FALSE)</f>
        <v>tkm</v>
      </c>
      <c r="G713" s="200">
        <f>+'MC GALERIAS'!O$7</f>
        <v>276.822</v>
      </c>
      <c r="H713" s="200">
        <f>VLOOKUP($D713,'Preços Unitários'!$B:$G,6,FALSE)</f>
        <v>1.165011</v>
      </c>
      <c r="I713" s="201">
        <f t="shared" si="96"/>
        <v>322.50067504200001</v>
      </c>
      <c r="J713" s="299"/>
    </row>
    <row r="714" spans="1:10" ht="28.8" x14ac:dyDescent="0.3">
      <c r="B714" s="197" t="s">
        <v>13172</v>
      </c>
      <c r="C714" s="197" t="s">
        <v>13039</v>
      </c>
      <c r="D714" s="198" t="s">
        <v>3149</v>
      </c>
      <c r="E714" s="199" t="str">
        <f>VLOOKUP($D714,'Preços Unitários'!$B:$G,2,FALSE)</f>
        <v>Concreto para bombeamento fck = 30 MPa - confecção em central dosadora de 30 m³/h - areia e brita comerciais</v>
      </c>
      <c r="F714" s="197" t="str">
        <f>VLOOKUP($D714,'Preços Unitários'!$B:$G,3,FALSE)</f>
        <v>m³</v>
      </c>
      <c r="G714" s="200">
        <f>+'MC GALERIAS'!O$8</f>
        <v>22.020000000000003</v>
      </c>
      <c r="H714" s="200">
        <f>VLOOKUP($D714,'Preços Unitários'!$B:$G,6,FALSE)</f>
        <v>575.92882499999996</v>
      </c>
      <c r="I714" s="201">
        <f t="shared" si="96"/>
        <v>12681.952726500002</v>
      </c>
      <c r="J714" s="299"/>
    </row>
    <row r="715" spans="1:10" ht="43.2" x14ac:dyDescent="0.3">
      <c r="B715" s="197" t="s">
        <v>13173</v>
      </c>
      <c r="C715" s="197" t="s">
        <v>13039</v>
      </c>
      <c r="D715" s="198" t="s">
        <v>3201</v>
      </c>
      <c r="E715" s="199" t="str">
        <f>VLOOKUP($D715,'Preços Unitários'!$B:$G,2,FALSE)</f>
        <v>Lançamento mecânico de concreto com bomba rebocável com capacidade de 30 m³/h - confecção em central dosadora de 30 m³/h</v>
      </c>
      <c r="F715" s="197" t="str">
        <f>VLOOKUP($D715,'Preços Unitários'!$B:$G,3,FALSE)</f>
        <v>m³</v>
      </c>
      <c r="G715" s="200">
        <f>+'MC GALERIAS'!O$9</f>
        <v>22.020000000000003</v>
      </c>
      <c r="H715" s="200">
        <f>VLOOKUP($D715,'Preços Unitários'!$B:$G,6,FALSE)</f>
        <v>86.285976000000005</v>
      </c>
      <c r="I715" s="201">
        <f t="shared" si="96"/>
        <v>1900.0171915200003</v>
      </c>
      <c r="J715" s="299"/>
    </row>
    <row r="716" spans="1:10" ht="28.8" x14ac:dyDescent="0.3">
      <c r="B716" s="197" t="s">
        <v>13174</v>
      </c>
      <c r="C716" s="197" t="s">
        <v>13039</v>
      </c>
      <c r="D716" s="198" t="s">
        <v>8335</v>
      </c>
      <c r="E716" s="199" t="str">
        <f>VLOOKUP($D716,'Preços Unitários'!$B:$G,2,FALSE)</f>
        <v>Fôrmas de compensado plastificado 12 mm - uso geral - utilização de 1 vez - confecção, instalação e retirada</v>
      </c>
      <c r="F716" s="197" t="str">
        <f>VLOOKUP($D716,'Preços Unitários'!$B:$G,3,FALSE)</f>
        <v>m²</v>
      </c>
      <c r="G716" s="200">
        <f>+'MC GALERIAS'!O$10</f>
        <v>76.3</v>
      </c>
      <c r="H716" s="200">
        <f>VLOOKUP($D716,'Preços Unitários'!$B:$G,6,FALSE)</f>
        <v>175.71622900000003</v>
      </c>
      <c r="I716" s="201">
        <f t="shared" si="96"/>
        <v>13407.148272700002</v>
      </c>
      <c r="J716" s="299"/>
    </row>
    <row r="717" spans="1:10" ht="28.8" x14ac:dyDescent="0.3">
      <c r="B717" s="197" t="s">
        <v>14247</v>
      </c>
      <c r="C717" s="197" t="s">
        <v>13039</v>
      </c>
      <c r="D717" s="198" t="s">
        <v>211</v>
      </c>
      <c r="E717" s="199" t="str">
        <f>VLOOKUP($D717,'Preços Unitários'!$B:$G,2,FALSE)</f>
        <v>Armação em aço CA-50 - fornecimento, preparo e colocação</v>
      </c>
      <c r="F717" s="197" t="str">
        <f>VLOOKUP($D717,'Preços Unitários'!$B:$G,3,FALSE)</f>
        <v>kg</v>
      </c>
      <c r="G717" s="200">
        <f>+'MC GALERIAS'!O$11</f>
        <v>2642.4000000000005</v>
      </c>
      <c r="H717" s="200">
        <f>VLOOKUP($D717,'Preços Unitários'!$B:$G,6,FALSE)</f>
        <v>15.846655000000002</v>
      </c>
      <c r="I717" s="201">
        <f t="shared" ref="I717" si="97">+G717*H717</f>
        <v>41873.201172000016</v>
      </c>
      <c r="J717" s="299"/>
    </row>
    <row r="718" spans="1:10" ht="28.8" x14ac:dyDescent="0.3">
      <c r="B718" s="197" t="s">
        <v>14326</v>
      </c>
      <c r="C718" s="197" t="s">
        <v>13039</v>
      </c>
      <c r="D718" s="198" t="s">
        <v>193</v>
      </c>
      <c r="E718" s="199" t="str">
        <f>VLOOKUP($D718,'Preços Unitários'!$B:$G,2,FALSE)</f>
        <v>Junta de dilatação em elastômero e perfil VV - L = 20 mm e H = 40 mm - fornecimento e instalação</v>
      </c>
      <c r="F718" s="197" t="str">
        <f>VLOOKUP($D718,'Preços Unitários'!$B:$G,3,FALSE)</f>
        <v>m</v>
      </c>
      <c r="G718" s="200">
        <f>+'MC GALERIAS'!O$12</f>
        <v>14.8</v>
      </c>
      <c r="H718" s="200">
        <f>VLOOKUP($D718,'Preços Unitários'!$B:$G,6,FALSE)</f>
        <v>346.45923900000003</v>
      </c>
      <c r="I718" s="201">
        <f t="shared" si="96"/>
        <v>5127.5967372000005</v>
      </c>
      <c r="J718" s="299"/>
    </row>
    <row r="719" spans="1:10" x14ac:dyDescent="0.3">
      <c r="A719" s="42" t="s">
        <v>14477</v>
      </c>
      <c r="B719" s="244" t="s">
        <v>14361</v>
      </c>
      <c r="C719" s="244" t="s">
        <v>13</v>
      </c>
      <c r="D719" s="245" t="s">
        <v>13</v>
      </c>
      <c r="E719" s="246" t="s">
        <v>14309</v>
      </c>
      <c r="F719" s="244"/>
      <c r="G719" s="247"/>
      <c r="H719" s="247"/>
      <c r="I719" s="247">
        <f>SUM(I720:I727)</f>
        <v>74145.540780255993</v>
      </c>
      <c r="J719" s="284" t="s">
        <v>14478</v>
      </c>
    </row>
    <row r="720" spans="1:10" ht="43.2" x14ac:dyDescent="0.3">
      <c r="B720" s="197" t="s">
        <v>14362</v>
      </c>
      <c r="C720" s="197" t="s">
        <v>13039</v>
      </c>
      <c r="D720" s="198" t="s">
        <v>11092</v>
      </c>
      <c r="E720" s="199" t="str">
        <f>VLOOKUP($D720,'Preços Unitários'!$B:$G,2,FALSE)</f>
        <v>Escavação, carga e transporte de material de 1ª categoria - DMT de 1.000 a 1.200 m - caminho de serviço em leito natural - com escavadeira e caminhão basculante de 14 m³</v>
      </c>
      <c r="F720" s="197" t="str">
        <f>VLOOKUP($D720,'Preços Unitários'!$B:$G,3,FALSE)</f>
        <v>m³</v>
      </c>
      <c r="G720" s="200">
        <f>+'MC GALERIAS'!R$5</f>
        <v>87.311999999999998</v>
      </c>
      <c r="H720" s="200">
        <f>VLOOKUP($D720,'Preços Unitários'!$B:$G,6,FALSE)</f>
        <v>10.673003999999999</v>
      </c>
      <c r="I720" s="201">
        <f t="shared" ref="I720:I727" si="98">+G720*H720</f>
        <v>931.88132524799983</v>
      </c>
      <c r="J720" s="297"/>
    </row>
    <row r="721" spans="1:10" x14ac:dyDescent="0.3">
      <c r="B721" s="197" t="s">
        <v>14363</v>
      </c>
      <c r="C721" s="197" t="s">
        <v>13039</v>
      </c>
      <c r="D721" s="198" t="s">
        <v>11046</v>
      </c>
      <c r="E721" s="199" t="str">
        <f>VLOOKUP($D721,'Preços Unitários'!$B:$G,2,FALSE)</f>
        <v>Compactação de aterros a 100% do Proctor normal</v>
      </c>
      <c r="F721" s="197" t="str">
        <f>VLOOKUP($D721,'Preços Unitários'!$B:$G,3,FALSE)</f>
        <v>m³</v>
      </c>
      <c r="G721" s="200">
        <f>+'MC GALERIAS'!R$6</f>
        <v>41.58</v>
      </c>
      <c r="H721" s="200">
        <f>VLOOKUP($D721,'Preços Unitários'!$B:$G,6,FALSE)</f>
        <v>7.1028090000000006</v>
      </c>
      <c r="I721" s="201">
        <f t="shared" si="98"/>
        <v>295.33479822000004</v>
      </c>
      <c r="J721" s="291"/>
    </row>
    <row r="722" spans="1:10" ht="28.8" x14ac:dyDescent="0.3">
      <c r="B722" s="197" t="s">
        <v>14364</v>
      </c>
      <c r="C722" s="197" t="s">
        <v>13039</v>
      </c>
      <c r="D722" s="198" t="s">
        <v>11947</v>
      </c>
      <c r="E722" s="199" t="str">
        <f>VLOOKUP($D722,'Preços Unitários'!$B:$G,2,FALSE)</f>
        <v>Transporte com caminhão basculante de 14 m³ - rodovia em leito natural</v>
      </c>
      <c r="F722" s="197" t="str">
        <f>VLOOKUP($D722,'Preços Unitários'!$B:$G,3,FALSE)</f>
        <v>tkm</v>
      </c>
      <c r="G722" s="200">
        <f>+'MC GALERIAS'!R$7</f>
        <v>320.12400000000002</v>
      </c>
      <c r="H722" s="200">
        <f>VLOOKUP($D722,'Preços Unitários'!$B:$G,6,FALSE)</f>
        <v>1.165011</v>
      </c>
      <c r="I722" s="201">
        <f t="shared" si="98"/>
        <v>372.94798136400004</v>
      </c>
      <c r="J722" s="299"/>
    </row>
    <row r="723" spans="1:10" ht="28.8" x14ac:dyDescent="0.3">
      <c r="B723" s="197" t="s">
        <v>14365</v>
      </c>
      <c r="C723" s="197" t="s">
        <v>13039</v>
      </c>
      <c r="D723" s="198" t="s">
        <v>3149</v>
      </c>
      <c r="E723" s="199" t="str">
        <f>VLOOKUP($D723,'Preços Unitários'!$B:$G,2,FALSE)</f>
        <v>Concreto para bombeamento fck = 30 MPa - confecção em central dosadora de 30 m³/h - areia e brita comerciais</v>
      </c>
      <c r="F723" s="197" t="str">
        <f>VLOOKUP($D723,'Preços Unitários'!$B:$G,3,FALSE)</f>
        <v>m³</v>
      </c>
      <c r="G723" s="200">
        <f>+'MC GALERIAS'!R$8</f>
        <v>21.623999999999999</v>
      </c>
      <c r="H723" s="200">
        <f>VLOOKUP($D723,'Preços Unitários'!$B:$G,6,FALSE)</f>
        <v>575.92882499999996</v>
      </c>
      <c r="I723" s="201">
        <f t="shared" si="98"/>
        <v>12453.884911799998</v>
      </c>
      <c r="J723" s="299"/>
    </row>
    <row r="724" spans="1:10" ht="43.2" x14ac:dyDescent="0.3">
      <c r="B724" s="197" t="s">
        <v>14366</v>
      </c>
      <c r="C724" s="197" t="s">
        <v>13039</v>
      </c>
      <c r="D724" s="198" t="s">
        <v>3201</v>
      </c>
      <c r="E724" s="199" t="str">
        <f>VLOOKUP($D724,'Preços Unitários'!$B:$G,2,FALSE)</f>
        <v>Lançamento mecânico de concreto com bomba rebocável com capacidade de 30 m³/h - confecção em central dosadora de 30 m³/h</v>
      </c>
      <c r="F724" s="197" t="str">
        <f>VLOOKUP($D724,'Preços Unitários'!$B:$G,3,FALSE)</f>
        <v>m³</v>
      </c>
      <c r="G724" s="200">
        <f>+'MC GALERIAS'!R$9</f>
        <v>21.623999999999999</v>
      </c>
      <c r="H724" s="200">
        <f>VLOOKUP($D724,'Preços Unitários'!$B:$G,6,FALSE)</f>
        <v>86.285976000000005</v>
      </c>
      <c r="I724" s="201">
        <f t="shared" si="98"/>
        <v>1865.847945024</v>
      </c>
      <c r="J724" s="299"/>
    </row>
    <row r="725" spans="1:10" ht="28.8" x14ac:dyDescent="0.3">
      <c r="B725" s="197" t="s">
        <v>14367</v>
      </c>
      <c r="C725" s="197" t="s">
        <v>13039</v>
      </c>
      <c r="D725" s="198" t="s">
        <v>8335</v>
      </c>
      <c r="E725" s="199" t="str">
        <f>VLOOKUP($D725,'Preços Unitários'!$B:$G,2,FALSE)</f>
        <v>Fôrmas de compensado plastificado 12 mm - uso geral - utilização de 1 vez - confecção, instalação e retirada</v>
      </c>
      <c r="F725" s="197" t="str">
        <f>VLOOKUP($D725,'Preços Unitários'!$B:$G,3,FALSE)</f>
        <v>m²</v>
      </c>
      <c r="G725" s="200">
        <f>+'MC GALERIAS'!R$10</f>
        <v>65.8</v>
      </c>
      <c r="H725" s="200">
        <f>VLOOKUP($D725,'Preços Unitários'!$B:$G,6,FALSE)</f>
        <v>175.71622900000003</v>
      </c>
      <c r="I725" s="201">
        <f t="shared" si="98"/>
        <v>11562.127868200001</v>
      </c>
      <c r="J725" s="299"/>
    </row>
    <row r="726" spans="1:10" ht="28.8" x14ac:dyDescent="0.3">
      <c r="B726" s="197" t="s">
        <v>14368</v>
      </c>
      <c r="C726" s="197" t="s">
        <v>13039</v>
      </c>
      <c r="D726" s="198" t="s">
        <v>211</v>
      </c>
      <c r="E726" s="199" t="str">
        <f>VLOOKUP($D726,'Preços Unitários'!$B:$G,2,FALSE)</f>
        <v>Armação em aço CA-50 - fornecimento, preparo e colocação</v>
      </c>
      <c r="F726" s="197" t="str">
        <f>VLOOKUP($D726,'Preços Unitários'!$B:$G,3,FALSE)</f>
        <v>kg</v>
      </c>
      <c r="G726" s="200">
        <f>+'MC GALERIAS'!R$11</f>
        <v>2594.8799999999997</v>
      </c>
      <c r="H726" s="200">
        <f>VLOOKUP($D726,'Preços Unitários'!$B:$G,6,FALSE)</f>
        <v>15.846655000000002</v>
      </c>
      <c r="I726" s="201">
        <f t="shared" si="98"/>
        <v>41120.1681264</v>
      </c>
      <c r="J726" s="299"/>
    </row>
    <row r="727" spans="1:10" ht="28.8" x14ac:dyDescent="0.3">
      <c r="B727" s="197" t="s">
        <v>14377</v>
      </c>
      <c r="C727" s="197" t="s">
        <v>13039</v>
      </c>
      <c r="D727" s="198" t="s">
        <v>193</v>
      </c>
      <c r="E727" s="199" t="str">
        <f>VLOOKUP($D727,'Preços Unitários'!$B:$G,2,FALSE)</f>
        <v>Junta de dilatação em elastômero e perfil VV - L = 20 mm e H = 40 mm - fornecimento e instalação</v>
      </c>
      <c r="F727" s="197" t="str">
        <f>VLOOKUP($D727,'Preços Unitários'!$B:$G,3,FALSE)</f>
        <v>m</v>
      </c>
      <c r="G727" s="200">
        <f>+'MC GALERIAS'!R$12</f>
        <v>16</v>
      </c>
      <c r="H727" s="200">
        <f>VLOOKUP($D727,'Preços Unitários'!$B:$G,6,FALSE)</f>
        <v>346.45923900000003</v>
      </c>
      <c r="I727" s="201">
        <f t="shared" si="98"/>
        <v>5543.3478240000004</v>
      </c>
      <c r="J727" s="299"/>
    </row>
    <row r="728" spans="1:10" x14ac:dyDescent="0.3">
      <c r="A728" s="42" t="s">
        <v>14475</v>
      </c>
      <c r="B728" s="244" t="s">
        <v>14369</v>
      </c>
      <c r="C728" s="244" t="s">
        <v>13</v>
      </c>
      <c r="D728" s="245" t="s">
        <v>13</v>
      </c>
      <c r="E728" s="246" t="s">
        <v>14328</v>
      </c>
      <c r="F728" s="244"/>
      <c r="G728" s="247"/>
      <c r="H728" s="247"/>
      <c r="I728" s="247">
        <f>SUM(I729:I736)</f>
        <v>189395.11247566319</v>
      </c>
      <c r="J728" s="284" t="s">
        <v>14475</v>
      </c>
    </row>
    <row r="729" spans="1:10" ht="43.2" x14ac:dyDescent="0.3">
      <c r="B729" s="197" t="s">
        <v>14370</v>
      </c>
      <c r="C729" s="197" t="s">
        <v>13039</v>
      </c>
      <c r="D729" s="198" t="s">
        <v>11092</v>
      </c>
      <c r="E729" s="199" t="str">
        <f>VLOOKUP($D729,'Preços Unitários'!$B:$G,2,FALSE)</f>
        <v>Escavação, carga e transporte de material de 1ª categoria - DMT de 1.000 a 1.200 m - caminho de serviço em leito natural - com escavadeira e caminhão basculante de 14 m³</v>
      </c>
      <c r="F729" s="197" t="str">
        <f>VLOOKUP($D729,'Preços Unitários'!$B:$G,3,FALSE)</f>
        <v>m³</v>
      </c>
      <c r="G729" s="200">
        <f>+'MC GALERIAS'!T$5</f>
        <v>210.52719999999999</v>
      </c>
      <c r="H729" s="200">
        <f>VLOOKUP($D729,'Preços Unitários'!$B:$G,6,FALSE)</f>
        <v>10.673003999999999</v>
      </c>
      <c r="I729" s="201">
        <f t="shared" ref="I729:I736" si="99">+G729*H729</f>
        <v>2246.9576477087999</v>
      </c>
      <c r="J729" s="299"/>
    </row>
    <row r="730" spans="1:10" x14ac:dyDescent="0.3">
      <c r="B730" s="197" t="s">
        <v>14371</v>
      </c>
      <c r="C730" s="197" t="s">
        <v>13039</v>
      </c>
      <c r="D730" s="198" t="s">
        <v>11046</v>
      </c>
      <c r="E730" s="199" t="str">
        <f>VLOOKUP($D730,'Preços Unitários'!$B:$G,2,FALSE)</f>
        <v>Compactação de aterros a 100% do Proctor normal</v>
      </c>
      <c r="F730" s="197" t="str">
        <f>VLOOKUP($D730,'Preços Unitários'!$B:$G,3,FALSE)</f>
        <v>m³</v>
      </c>
      <c r="G730" s="200">
        <f>+'MC GALERIAS'!T$6</f>
        <v>51.519999999999982</v>
      </c>
      <c r="H730" s="200">
        <f>VLOOKUP($D730,'Preços Unitários'!$B:$G,6,FALSE)</f>
        <v>7.1028090000000006</v>
      </c>
      <c r="I730" s="201">
        <f t="shared" si="99"/>
        <v>365.9367196799999</v>
      </c>
      <c r="J730" s="297"/>
    </row>
    <row r="731" spans="1:10" ht="28.8" x14ac:dyDescent="0.3">
      <c r="B731" s="197" t="s">
        <v>14372</v>
      </c>
      <c r="C731" s="197" t="s">
        <v>13039</v>
      </c>
      <c r="D731" s="198" t="s">
        <v>11947</v>
      </c>
      <c r="E731" s="199" t="str">
        <f>VLOOKUP($D731,'Preços Unitários'!$B:$G,2,FALSE)</f>
        <v>Transporte com caminhão basculante de 14 m³ - rodovia em leito natural</v>
      </c>
      <c r="F731" s="197" t="str">
        <f>VLOOKUP($D731,'Preços Unitários'!$B:$G,3,FALSE)</f>
        <v>tkm</v>
      </c>
      <c r="G731" s="200">
        <f>+'MC GALERIAS'!T$7</f>
        <v>1113.0504000000001</v>
      </c>
      <c r="H731" s="200">
        <f>VLOOKUP($D731,'Preços Unitários'!$B:$G,6,FALSE)</f>
        <v>1.165011</v>
      </c>
      <c r="I731" s="201">
        <f t="shared" si="99"/>
        <v>1296.7159595544001</v>
      </c>
      <c r="J731" s="297"/>
    </row>
    <row r="732" spans="1:10" ht="28.8" x14ac:dyDescent="0.3">
      <c r="B732" s="197" t="s">
        <v>14373</v>
      </c>
      <c r="C732" s="197" t="s">
        <v>13039</v>
      </c>
      <c r="D732" s="198" t="s">
        <v>3149</v>
      </c>
      <c r="E732" s="199" t="str">
        <f>VLOOKUP($D732,'Preços Unitários'!$B:$G,2,FALSE)</f>
        <v>Concreto para bombeamento fck = 30 MPa - confecção em central dosadora de 30 m³/h - areia e brita comerciais</v>
      </c>
      <c r="F732" s="197" t="str">
        <f>VLOOKUP($D732,'Preços Unitários'!$B:$G,3,FALSE)</f>
        <v>m³</v>
      </c>
      <c r="G732" s="200">
        <f>+'MC GALERIAS'!T$8</f>
        <v>60.72</v>
      </c>
      <c r="H732" s="200">
        <f>VLOOKUP($D732,'Preços Unitários'!$B:$G,6,FALSE)</f>
        <v>575.92882499999996</v>
      </c>
      <c r="I732" s="201">
        <f t="shared" si="99"/>
        <v>34970.398254</v>
      </c>
      <c r="J732" s="297"/>
    </row>
    <row r="733" spans="1:10" ht="43.2" x14ac:dyDescent="0.3">
      <c r="B733" s="197" t="s">
        <v>14374</v>
      </c>
      <c r="C733" s="197" t="s">
        <v>13039</v>
      </c>
      <c r="D733" s="198" t="s">
        <v>3201</v>
      </c>
      <c r="E733" s="199" t="str">
        <f>VLOOKUP($D733,'Preços Unitários'!$B:$G,2,FALSE)</f>
        <v>Lançamento mecânico de concreto com bomba rebocável com capacidade de 30 m³/h - confecção em central dosadora de 30 m³/h</v>
      </c>
      <c r="F733" s="197" t="str">
        <f>VLOOKUP($D733,'Preços Unitários'!$B:$G,3,FALSE)</f>
        <v>m³</v>
      </c>
      <c r="G733" s="200">
        <f>+'MC GALERIAS'!T$9</f>
        <v>60.72</v>
      </c>
      <c r="H733" s="200">
        <f>VLOOKUP($D733,'Preços Unitários'!$B:$G,6,FALSE)</f>
        <v>86.285976000000005</v>
      </c>
      <c r="I733" s="201">
        <f t="shared" si="99"/>
        <v>5239.2844627200002</v>
      </c>
      <c r="J733" s="291"/>
    </row>
    <row r="734" spans="1:10" ht="28.8" x14ac:dyDescent="0.3">
      <c r="B734" s="197" t="s">
        <v>14375</v>
      </c>
      <c r="C734" s="197" t="s">
        <v>13039</v>
      </c>
      <c r="D734" s="198" t="s">
        <v>8335</v>
      </c>
      <c r="E734" s="199" t="str">
        <f>VLOOKUP($D734,'Preços Unitários'!$B:$G,2,FALSE)</f>
        <v>Fôrmas de compensado plastificado 12 mm - uso geral - utilização de 1 vez - confecção, instalação e retirada</v>
      </c>
      <c r="F734" s="197" t="str">
        <f>VLOOKUP($D734,'Preços Unitários'!$B:$G,3,FALSE)</f>
        <v>m²</v>
      </c>
      <c r="G734" s="200">
        <f>+'MC GALERIAS'!T$10</f>
        <v>117.60000000000001</v>
      </c>
      <c r="H734" s="200">
        <f>VLOOKUP($D734,'Preços Unitários'!$B:$G,6,FALSE)</f>
        <v>175.71622900000003</v>
      </c>
      <c r="I734" s="201">
        <f t="shared" si="99"/>
        <v>20664.228530400003</v>
      </c>
      <c r="J734" s="297"/>
    </row>
    <row r="735" spans="1:10" ht="28.8" x14ac:dyDescent="0.3">
      <c r="B735" s="197" t="s">
        <v>14376</v>
      </c>
      <c r="C735" s="197" t="s">
        <v>13039</v>
      </c>
      <c r="D735" s="198" t="s">
        <v>211</v>
      </c>
      <c r="E735" s="199" t="str">
        <f>VLOOKUP($D735,'Preços Unitários'!$B:$G,2,FALSE)</f>
        <v>Armação em aço CA-50 - fornecimento, preparo e colocação</v>
      </c>
      <c r="F735" s="197" t="str">
        <f>VLOOKUP($D735,'Preços Unitários'!$B:$G,3,FALSE)</f>
        <v>kg</v>
      </c>
      <c r="G735" s="200">
        <f>+'MC GALERIAS'!T$11</f>
        <v>7286.4</v>
      </c>
      <c r="H735" s="200">
        <f>VLOOKUP($D735,'Preços Unitários'!$B:$G,6,FALSE)</f>
        <v>15.846655000000002</v>
      </c>
      <c r="I735" s="201">
        <f t="shared" si="99"/>
        <v>115465.06699200001</v>
      </c>
      <c r="J735" s="297"/>
    </row>
    <row r="736" spans="1:10" ht="28.8" x14ac:dyDescent="0.3">
      <c r="B736" s="197" t="s">
        <v>14378</v>
      </c>
      <c r="C736" s="197" t="s">
        <v>13039</v>
      </c>
      <c r="D736" s="198" t="s">
        <v>193</v>
      </c>
      <c r="E736" s="199" t="str">
        <f>VLOOKUP($D736,'Preços Unitários'!$B:$G,2,FALSE)</f>
        <v>Junta de dilatação em elastômero e perfil VV - L = 20 mm e H = 40 mm - fornecimento e instalação</v>
      </c>
      <c r="F736" s="197" t="str">
        <f>VLOOKUP($D736,'Preços Unitários'!$B:$G,3,FALSE)</f>
        <v>m</v>
      </c>
      <c r="G736" s="200">
        <f>+'MC GALERIAS'!T$12</f>
        <v>26.4</v>
      </c>
      <c r="H736" s="200">
        <f>VLOOKUP($D736,'Preços Unitários'!$B:$G,6,FALSE)</f>
        <v>346.45923900000003</v>
      </c>
      <c r="I736" s="201">
        <f t="shared" si="99"/>
        <v>9146.5239096000005</v>
      </c>
      <c r="J736" s="291"/>
    </row>
    <row r="737" spans="1:10" x14ac:dyDescent="0.3">
      <c r="A737" s="42" t="s">
        <v>14476</v>
      </c>
      <c r="B737" s="244" t="s">
        <v>14379</v>
      </c>
      <c r="C737" s="244" t="s">
        <v>13</v>
      </c>
      <c r="D737" s="245" t="s">
        <v>13</v>
      </c>
      <c r="E737" s="246" t="s">
        <v>14406</v>
      </c>
      <c r="F737" s="244"/>
      <c r="G737" s="247"/>
      <c r="H737" s="247"/>
      <c r="I737" s="247">
        <f>SUM(I738:I745)</f>
        <v>189395.11247566319</v>
      </c>
      <c r="J737" s="284" t="s">
        <v>14476</v>
      </c>
    </row>
    <row r="738" spans="1:10" ht="43.2" x14ac:dyDescent="0.3">
      <c r="B738" s="197" t="s">
        <v>14380</v>
      </c>
      <c r="C738" s="197" t="s">
        <v>13039</v>
      </c>
      <c r="D738" s="198" t="s">
        <v>11092</v>
      </c>
      <c r="E738" s="199" t="str">
        <f>VLOOKUP($D738,'Preços Unitários'!$B:$G,2,FALSE)</f>
        <v>Escavação, carga e transporte de material de 1ª categoria - DMT de 1.000 a 1.200 m - caminho de serviço em leito natural - com escavadeira e caminhão basculante de 14 m³</v>
      </c>
      <c r="F738" s="197" t="str">
        <f>VLOOKUP($D738,'Preços Unitários'!$B:$G,3,FALSE)</f>
        <v>m³</v>
      </c>
      <c r="G738" s="200">
        <f>+'MC GALERIAS'!U$5</f>
        <v>210.52719999999999</v>
      </c>
      <c r="H738" s="200">
        <f>VLOOKUP($D738,'Preços Unitários'!$B:$G,6,FALSE)</f>
        <v>10.673003999999999</v>
      </c>
      <c r="I738" s="201">
        <f t="shared" ref="I738:I745" si="100">+G738*H738</f>
        <v>2246.9576477087999</v>
      </c>
      <c r="J738" s="297"/>
    </row>
    <row r="739" spans="1:10" x14ac:dyDescent="0.3">
      <c r="B739" s="197" t="s">
        <v>14381</v>
      </c>
      <c r="C739" s="197" t="s">
        <v>13039</v>
      </c>
      <c r="D739" s="198" t="s">
        <v>11046</v>
      </c>
      <c r="E739" s="199" t="str">
        <f>VLOOKUP($D739,'Preços Unitários'!$B:$G,2,FALSE)</f>
        <v>Compactação de aterros a 100% do Proctor normal</v>
      </c>
      <c r="F739" s="197" t="str">
        <f>VLOOKUP($D739,'Preços Unitários'!$B:$G,3,FALSE)</f>
        <v>m³</v>
      </c>
      <c r="G739" s="200">
        <f>+'MC GALERIAS'!U$6</f>
        <v>51.519999999999982</v>
      </c>
      <c r="H739" s="200">
        <f>VLOOKUP($D739,'Preços Unitários'!$B:$G,6,FALSE)</f>
        <v>7.1028090000000006</v>
      </c>
      <c r="I739" s="201">
        <f t="shared" si="100"/>
        <v>365.9367196799999</v>
      </c>
      <c r="J739" s="297"/>
    </row>
    <row r="740" spans="1:10" ht="28.8" x14ac:dyDescent="0.3">
      <c r="B740" s="197" t="s">
        <v>14382</v>
      </c>
      <c r="C740" s="197" t="s">
        <v>13039</v>
      </c>
      <c r="D740" s="198" t="s">
        <v>11947</v>
      </c>
      <c r="E740" s="199" t="str">
        <f>VLOOKUP($D740,'Preços Unitários'!$B:$G,2,FALSE)</f>
        <v>Transporte com caminhão basculante de 14 m³ - rodovia em leito natural</v>
      </c>
      <c r="F740" s="197" t="str">
        <f>VLOOKUP($D740,'Preços Unitários'!$B:$G,3,FALSE)</f>
        <v>tkm</v>
      </c>
      <c r="G740" s="200">
        <f>+'MC GALERIAS'!U$7</f>
        <v>1113.0504000000001</v>
      </c>
      <c r="H740" s="200">
        <f>VLOOKUP($D740,'Preços Unitários'!$B:$G,6,FALSE)</f>
        <v>1.165011</v>
      </c>
      <c r="I740" s="201">
        <f t="shared" si="100"/>
        <v>1296.7159595544001</v>
      </c>
      <c r="J740"/>
    </row>
    <row r="741" spans="1:10" ht="28.8" x14ac:dyDescent="0.3">
      <c r="B741" s="197" t="s">
        <v>14383</v>
      </c>
      <c r="C741" s="197" t="s">
        <v>13039</v>
      </c>
      <c r="D741" s="198" t="s">
        <v>3149</v>
      </c>
      <c r="E741" s="199" t="str">
        <f>VLOOKUP($D741,'Preços Unitários'!$B:$G,2,FALSE)</f>
        <v>Concreto para bombeamento fck = 30 MPa - confecção em central dosadora de 30 m³/h - areia e brita comerciais</v>
      </c>
      <c r="F741" s="197" t="str">
        <f>VLOOKUP($D741,'Preços Unitários'!$B:$G,3,FALSE)</f>
        <v>m³</v>
      </c>
      <c r="G741" s="200">
        <f>+'MC GALERIAS'!U$8</f>
        <v>60.72</v>
      </c>
      <c r="H741" s="200">
        <f>VLOOKUP($D741,'Preços Unitários'!$B:$G,6,FALSE)</f>
        <v>575.92882499999996</v>
      </c>
      <c r="I741" s="201">
        <f t="shared" si="100"/>
        <v>34970.398254</v>
      </c>
      <c r="J741"/>
    </row>
    <row r="742" spans="1:10" ht="43.2" x14ac:dyDescent="0.3">
      <c r="B742" s="197" t="s">
        <v>14384</v>
      </c>
      <c r="C742" s="197" t="s">
        <v>13039</v>
      </c>
      <c r="D742" s="198" t="s">
        <v>3201</v>
      </c>
      <c r="E742" s="199" t="str">
        <f>VLOOKUP($D742,'Preços Unitários'!$B:$G,2,FALSE)</f>
        <v>Lançamento mecânico de concreto com bomba rebocável com capacidade de 30 m³/h - confecção em central dosadora de 30 m³/h</v>
      </c>
      <c r="F742" s="197" t="str">
        <f>VLOOKUP($D742,'Preços Unitários'!$B:$G,3,FALSE)</f>
        <v>m³</v>
      </c>
      <c r="G742" s="200">
        <f>+'MC GALERIAS'!U$9</f>
        <v>60.72</v>
      </c>
      <c r="H742" s="200">
        <f>VLOOKUP($D742,'Preços Unitários'!$B:$G,6,FALSE)</f>
        <v>86.285976000000005</v>
      </c>
      <c r="I742" s="201">
        <f t="shared" si="100"/>
        <v>5239.2844627200002</v>
      </c>
      <c r="J742"/>
    </row>
    <row r="743" spans="1:10" ht="28.8" x14ac:dyDescent="0.3">
      <c r="B743" s="197" t="s">
        <v>14385</v>
      </c>
      <c r="C743" s="197" t="s">
        <v>13039</v>
      </c>
      <c r="D743" s="198" t="s">
        <v>8335</v>
      </c>
      <c r="E743" s="199" t="str">
        <f>VLOOKUP($D743,'Preços Unitários'!$B:$G,2,FALSE)</f>
        <v>Fôrmas de compensado plastificado 12 mm - uso geral - utilização de 1 vez - confecção, instalação e retirada</v>
      </c>
      <c r="F743" s="197" t="str">
        <f>VLOOKUP($D743,'Preços Unitários'!$B:$G,3,FALSE)</f>
        <v>m²</v>
      </c>
      <c r="G743" s="200">
        <f>+'MC GALERIAS'!U$10</f>
        <v>117.60000000000001</v>
      </c>
      <c r="H743" s="200">
        <f>VLOOKUP($D743,'Preços Unitários'!$B:$G,6,FALSE)</f>
        <v>175.71622900000003</v>
      </c>
      <c r="I743" s="201">
        <f t="shared" si="100"/>
        <v>20664.228530400003</v>
      </c>
      <c r="J743"/>
    </row>
    <row r="744" spans="1:10" ht="28.8" x14ac:dyDescent="0.3">
      <c r="B744" s="197" t="s">
        <v>14386</v>
      </c>
      <c r="C744" s="197" t="s">
        <v>13039</v>
      </c>
      <c r="D744" s="198" t="s">
        <v>211</v>
      </c>
      <c r="E744" s="199" t="str">
        <f>VLOOKUP($D744,'Preços Unitários'!$B:$G,2,FALSE)</f>
        <v>Armação em aço CA-50 - fornecimento, preparo e colocação</v>
      </c>
      <c r="F744" s="197" t="str">
        <f>VLOOKUP($D744,'Preços Unitários'!$B:$G,3,FALSE)</f>
        <v>kg</v>
      </c>
      <c r="G744" s="200">
        <f>+'MC GALERIAS'!U$11</f>
        <v>7286.4</v>
      </c>
      <c r="H744" s="200">
        <f>VLOOKUP($D744,'Preços Unitários'!$B:$G,6,FALSE)</f>
        <v>15.846655000000002</v>
      </c>
      <c r="I744" s="201">
        <f t="shared" si="100"/>
        <v>115465.06699200001</v>
      </c>
      <c r="J744"/>
    </row>
    <row r="745" spans="1:10" ht="28.8" x14ac:dyDescent="0.3">
      <c r="B745" s="197" t="s">
        <v>14387</v>
      </c>
      <c r="C745" s="197" t="s">
        <v>13039</v>
      </c>
      <c r="D745" s="198" t="s">
        <v>193</v>
      </c>
      <c r="E745" s="199" t="str">
        <f>VLOOKUP($D745,'Preços Unitários'!$B:$G,2,FALSE)</f>
        <v>Junta de dilatação em elastômero e perfil VV - L = 20 mm e H = 40 mm - fornecimento e instalação</v>
      </c>
      <c r="F745" s="197" t="str">
        <f>VLOOKUP($D745,'Preços Unitários'!$B:$G,3,FALSE)</f>
        <v>m</v>
      </c>
      <c r="G745" s="200">
        <f>+'MC GALERIAS'!U$12</f>
        <v>26.4</v>
      </c>
      <c r="H745" s="200">
        <f>VLOOKUP($D745,'Preços Unitários'!$B:$G,6,FALSE)</f>
        <v>346.45923900000003</v>
      </c>
      <c r="I745" s="201">
        <f t="shared" si="100"/>
        <v>9146.5239096000005</v>
      </c>
      <c r="J745"/>
    </row>
    <row r="746" spans="1:10" x14ac:dyDescent="0.3">
      <c r="A746" s="42" t="s">
        <v>14476</v>
      </c>
      <c r="B746" s="244" t="s">
        <v>14388</v>
      </c>
      <c r="C746" s="244" t="s">
        <v>13</v>
      </c>
      <c r="D746" s="245" t="s">
        <v>13</v>
      </c>
      <c r="E746" s="246" t="s">
        <v>14407</v>
      </c>
      <c r="F746" s="244"/>
      <c r="G746" s="247"/>
      <c r="H746" s="247"/>
      <c r="I746" s="247">
        <f>SUM(I747:I754)</f>
        <v>189395.11247566319</v>
      </c>
      <c r="J746" s="284" t="s">
        <v>14476</v>
      </c>
    </row>
    <row r="747" spans="1:10" ht="43.2" x14ac:dyDescent="0.3">
      <c r="B747" s="197" t="s">
        <v>14389</v>
      </c>
      <c r="C747" s="197" t="s">
        <v>13039</v>
      </c>
      <c r="D747" s="198" t="s">
        <v>11092</v>
      </c>
      <c r="E747" s="199" t="str">
        <f>VLOOKUP($D747,'Preços Unitários'!$B:$G,2,FALSE)</f>
        <v>Escavação, carga e transporte de material de 1ª categoria - DMT de 1.000 a 1.200 m - caminho de serviço em leito natural - com escavadeira e caminhão basculante de 14 m³</v>
      </c>
      <c r="F747" s="197" t="str">
        <f>VLOOKUP($D747,'Preços Unitários'!$B:$G,3,FALSE)</f>
        <v>m³</v>
      </c>
      <c r="G747" s="200">
        <f>+'MC GALERIAS'!V$5</f>
        <v>210.52719999999999</v>
      </c>
      <c r="H747" s="200">
        <f>VLOOKUP($D747,'Preços Unitários'!$B:$G,6,FALSE)</f>
        <v>10.673003999999999</v>
      </c>
      <c r="I747" s="201">
        <f t="shared" ref="I747:I754" si="101">+G747*H747</f>
        <v>2246.9576477087999</v>
      </c>
      <c r="J747" s="291"/>
    </row>
    <row r="748" spans="1:10" x14ac:dyDescent="0.3">
      <c r="B748" s="197" t="s">
        <v>14390</v>
      </c>
      <c r="C748" s="197" t="s">
        <v>13039</v>
      </c>
      <c r="D748" s="198" t="s">
        <v>11046</v>
      </c>
      <c r="E748" s="199" t="str">
        <f>VLOOKUP($D748,'Preços Unitários'!$B:$G,2,FALSE)</f>
        <v>Compactação de aterros a 100% do Proctor normal</v>
      </c>
      <c r="F748" s="197" t="str">
        <f>VLOOKUP($D748,'Preços Unitários'!$B:$G,3,FALSE)</f>
        <v>m³</v>
      </c>
      <c r="G748" s="200">
        <f>+'MC GALERIAS'!V$6</f>
        <v>51.519999999999982</v>
      </c>
      <c r="H748" s="200">
        <f>VLOOKUP($D748,'Preços Unitários'!$B:$G,6,FALSE)</f>
        <v>7.1028090000000006</v>
      </c>
      <c r="I748" s="201">
        <f t="shared" si="101"/>
        <v>365.9367196799999</v>
      </c>
      <c r="J748"/>
    </row>
    <row r="749" spans="1:10" ht="28.8" x14ac:dyDescent="0.3">
      <c r="B749" s="197" t="s">
        <v>14391</v>
      </c>
      <c r="C749" s="197" t="s">
        <v>13039</v>
      </c>
      <c r="D749" s="198" t="s">
        <v>11947</v>
      </c>
      <c r="E749" s="199" t="str">
        <f>VLOOKUP($D749,'Preços Unitários'!$B:$G,2,FALSE)</f>
        <v>Transporte com caminhão basculante de 14 m³ - rodovia em leito natural</v>
      </c>
      <c r="F749" s="197" t="str">
        <f>VLOOKUP($D749,'Preços Unitários'!$B:$G,3,FALSE)</f>
        <v>tkm</v>
      </c>
      <c r="G749" s="200">
        <f>+'MC GALERIAS'!V$7</f>
        <v>1113.0504000000001</v>
      </c>
      <c r="H749" s="200">
        <f>VLOOKUP($D749,'Preços Unitários'!$B:$G,6,FALSE)</f>
        <v>1.165011</v>
      </c>
      <c r="I749" s="201">
        <f t="shared" si="101"/>
        <v>1296.7159595544001</v>
      </c>
      <c r="J749"/>
    </row>
    <row r="750" spans="1:10" ht="28.8" x14ac:dyDescent="0.3">
      <c r="B750" s="197" t="s">
        <v>14392</v>
      </c>
      <c r="C750" s="197" t="s">
        <v>13039</v>
      </c>
      <c r="D750" s="198" t="s">
        <v>3149</v>
      </c>
      <c r="E750" s="199" t="str">
        <f>VLOOKUP($D750,'Preços Unitários'!$B:$G,2,FALSE)</f>
        <v>Concreto para bombeamento fck = 30 MPa - confecção em central dosadora de 30 m³/h - areia e brita comerciais</v>
      </c>
      <c r="F750" s="197" t="str">
        <f>VLOOKUP($D750,'Preços Unitários'!$B:$G,3,FALSE)</f>
        <v>m³</v>
      </c>
      <c r="G750" s="200">
        <f>+'MC GALERIAS'!V$8</f>
        <v>60.72</v>
      </c>
      <c r="H750" s="200">
        <f>VLOOKUP($D750,'Preços Unitários'!$B:$G,6,FALSE)</f>
        <v>575.92882499999996</v>
      </c>
      <c r="I750" s="201">
        <f t="shared" si="101"/>
        <v>34970.398254</v>
      </c>
      <c r="J750"/>
    </row>
    <row r="751" spans="1:10" ht="43.2" x14ac:dyDescent="0.3">
      <c r="B751" s="197" t="s">
        <v>14393</v>
      </c>
      <c r="C751" s="197" t="s">
        <v>13039</v>
      </c>
      <c r="D751" s="198" t="s">
        <v>3201</v>
      </c>
      <c r="E751" s="199" t="str">
        <f>VLOOKUP($D751,'Preços Unitários'!$B:$G,2,FALSE)</f>
        <v>Lançamento mecânico de concreto com bomba rebocável com capacidade de 30 m³/h - confecção em central dosadora de 30 m³/h</v>
      </c>
      <c r="F751" s="197" t="str">
        <f>VLOOKUP($D751,'Preços Unitários'!$B:$G,3,FALSE)</f>
        <v>m³</v>
      </c>
      <c r="G751" s="200">
        <f>+'MC GALERIAS'!V$9</f>
        <v>60.72</v>
      </c>
      <c r="H751" s="200">
        <f>VLOOKUP($D751,'Preços Unitários'!$B:$G,6,FALSE)</f>
        <v>86.285976000000005</v>
      </c>
      <c r="I751" s="201">
        <f t="shared" si="101"/>
        <v>5239.2844627200002</v>
      </c>
      <c r="J751"/>
    </row>
    <row r="752" spans="1:10" ht="28.8" x14ac:dyDescent="0.3">
      <c r="B752" s="197" t="s">
        <v>14394</v>
      </c>
      <c r="C752" s="197" t="s">
        <v>13039</v>
      </c>
      <c r="D752" s="198" t="s">
        <v>8335</v>
      </c>
      <c r="E752" s="199" t="str">
        <f>VLOOKUP($D752,'Preços Unitários'!$B:$G,2,FALSE)</f>
        <v>Fôrmas de compensado plastificado 12 mm - uso geral - utilização de 1 vez - confecção, instalação e retirada</v>
      </c>
      <c r="F752" s="197" t="str">
        <f>VLOOKUP($D752,'Preços Unitários'!$B:$G,3,FALSE)</f>
        <v>m²</v>
      </c>
      <c r="G752" s="200">
        <f>+'MC GALERIAS'!V$10</f>
        <v>117.60000000000001</v>
      </c>
      <c r="H752" s="200">
        <f>VLOOKUP($D752,'Preços Unitários'!$B:$G,6,FALSE)</f>
        <v>175.71622900000003</v>
      </c>
      <c r="I752" s="201">
        <f t="shared" si="101"/>
        <v>20664.228530400003</v>
      </c>
      <c r="J752"/>
    </row>
    <row r="753" spans="1:10" ht="28.8" x14ac:dyDescent="0.3">
      <c r="B753" s="197" t="s">
        <v>14395</v>
      </c>
      <c r="C753" s="197" t="s">
        <v>13039</v>
      </c>
      <c r="D753" s="198" t="s">
        <v>211</v>
      </c>
      <c r="E753" s="199" t="str">
        <f>VLOOKUP($D753,'Preços Unitários'!$B:$G,2,FALSE)</f>
        <v>Armação em aço CA-50 - fornecimento, preparo e colocação</v>
      </c>
      <c r="F753" s="197" t="str">
        <f>VLOOKUP($D753,'Preços Unitários'!$B:$G,3,FALSE)</f>
        <v>kg</v>
      </c>
      <c r="G753" s="200">
        <f>+'MC GALERIAS'!V$11</f>
        <v>7286.4</v>
      </c>
      <c r="H753" s="200">
        <f>VLOOKUP($D753,'Preços Unitários'!$B:$G,6,FALSE)</f>
        <v>15.846655000000002</v>
      </c>
      <c r="I753" s="201">
        <f t="shared" si="101"/>
        <v>115465.06699200001</v>
      </c>
      <c r="J753"/>
    </row>
    <row r="754" spans="1:10" ht="28.8" x14ac:dyDescent="0.3">
      <c r="B754" s="197" t="s">
        <v>14396</v>
      </c>
      <c r="C754" s="197" t="s">
        <v>13039</v>
      </c>
      <c r="D754" s="198" t="s">
        <v>193</v>
      </c>
      <c r="E754" s="199" t="str">
        <f>VLOOKUP($D754,'Preços Unitários'!$B:$G,2,FALSE)</f>
        <v>Junta de dilatação em elastômero e perfil VV - L = 20 mm e H = 40 mm - fornecimento e instalação</v>
      </c>
      <c r="F754" s="197" t="str">
        <f>VLOOKUP($D754,'Preços Unitários'!$B:$G,3,FALSE)</f>
        <v>m</v>
      </c>
      <c r="G754" s="200">
        <f>+'MC GALERIAS'!V$12</f>
        <v>26.4</v>
      </c>
      <c r="H754" s="200">
        <f>VLOOKUP($D754,'Preços Unitários'!$B:$G,6,FALSE)</f>
        <v>346.45923900000003</v>
      </c>
      <c r="I754" s="201">
        <f t="shared" si="101"/>
        <v>9146.5239096000005</v>
      </c>
      <c r="J754"/>
    </row>
    <row r="755" spans="1:10" x14ac:dyDescent="0.3">
      <c r="A755" s="42" t="s">
        <v>14476</v>
      </c>
      <c r="B755" s="244" t="s">
        <v>14397</v>
      </c>
      <c r="C755" s="244" t="s">
        <v>13</v>
      </c>
      <c r="D755" s="245" t="s">
        <v>13</v>
      </c>
      <c r="E755" s="246" t="s">
        <v>14408</v>
      </c>
      <c r="F755" s="244"/>
      <c r="G755" s="247"/>
      <c r="H755" s="247"/>
      <c r="I755" s="247">
        <f>SUM(I756:I763)</f>
        <v>151125.90427994402</v>
      </c>
      <c r="J755" s="284" t="s">
        <v>14478</v>
      </c>
    </row>
    <row r="756" spans="1:10" ht="43.2" x14ac:dyDescent="0.3">
      <c r="B756" s="197" t="s">
        <v>14398</v>
      </c>
      <c r="C756" s="197" t="s">
        <v>13039</v>
      </c>
      <c r="D756" s="198" t="s">
        <v>11092</v>
      </c>
      <c r="E756" s="199" t="str">
        <f>VLOOKUP($D756,'Preços Unitários'!$B:$G,2,FALSE)</f>
        <v>Escavação, carga e transporte de material de 1ª categoria - DMT de 1.000 a 1.200 m - caminho de serviço em leito natural - com escavadeira e caminhão basculante de 14 m³</v>
      </c>
      <c r="F756" s="197" t="str">
        <f>VLOOKUP($D756,'Preços Unitários'!$B:$G,3,FALSE)</f>
        <v>m³</v>
      </c>
      <c r="G756" s="200">
        <f>+'MC GALERIAS'!W$5</f>
        <v>151.10400000000001</v>
      </c>
      <c r="H756" s="200">
        <f>VLOOKUP($D756,'Preços Unitários'!$B:$G,6,FALSE)</f>
        <v>10.673003999999999</v>
      </c>
      <c r="I756" s="201">
        <f t="shared" ref="I756:I763" si="102">+G756*H756</f>
        <v>1612.733596416</v>
      </c>
      <c r="J756" s="297"/>
    </row>
    <row r="757" spans="1:10" x14ac:dyDescent="0.3">
      <c r="B757" s="197" t="s">
        <v>14399</v>
      </c>
      <c r="C757" s="197" t="s">
        <v>13039</v>
      </c>
      <c r="D757" s="198" t="s">
        <v>11046</v>
      </c>
      <c r="E757" s="199" t="str">
        <f>VLOOKUP($D757,'Preços Unitários'!$B:$G,2,FALSE)</f>
        <v>Compactação de aterros a 100% do Proctor normal</v>
      </c>
      <c r="F757" s="197" t="str">
        <f>VLOOKUP($D757,'Preços Unitários'!$B:$G,3,FALSE)</f>
        <v>m³</v>
      </c>
      <c r="G757" s="200">
        <f>+'MC GALERIAS'!W$6</f>
        <v>41.16</v>
      </c>
      <c r="H757" s="200">
        <f>VLOOKUP($D757,'Preços Unitários'!$B:$G,6,FALSE)</f>
        <v>7.1028090000000006</v>
      </c>
      <c r="I757" s="201">
        <f t="shared" si="102"/>
        <v>292.35161843999998</v>
      </c>
      <c r="J757" s="296"/>
    </row>
    <row r="758" spans="1:10" ht="28.8" x14ac:dyDescent="0.3">
      <c r="B758" s="197" t="s">
        <v>14400</v>
      </c>
      <c r="C758" s="197" t="s">
        <v>13039</v>
      </c>
      <c r="D758" s="198" t="s">
        <v>11947</v>
      </c>
      <c r="E758" s="199" t="str">
        <f>VLOOKUP($D758,'Preços Unitários'!$B:$G,2,FALSE)</f>
        <v>Transporte com caminhão basculante de 14 m³ - rodovia em leito natural</v>
      </c>
      <c r="F758" s="197" t="str">
        <f>VLOOKUP($D758,'Preços Unitários'!$B:$G,3,FALSE)</f>
        <v>tkm</v>
      </c>
      <c r="G758" s="200">
        <f>+'MC GALERIAS'!W$7</f>
        <v>769.60799999999995</v>
      </c>
      <c r="H758" s="200">
        <f>VLOOKUP($D758,'Preços Unitários'!$B:$G,6,FALSE)</f>
        <v>1.165011</v>
      </c>
      <c r="I758" s="201">
        <f t="shared" si="102"/>
        <v>896.60178568799995</v>
      </c>
      <c r="J758" s="297"/>
    </row>
    <row r="759" spans="1:10" ht="28.8" x14ac:dyDescent="0.3">
      <c r="B759" s="197" t="s">
        <v>14401</v>
      </c>
      <c r="C759" s="197" t="s">
        <v>13039</v>
      </c>
      <c r="D759" s="198" t="s">
        <v>3149</v>
      </c>
      <c r="E759" s="199" t="str">
        <f>VLOOKUP($D759,'Preços Unitários'!$B:$G,2,FALSE)</f>
        <v>Concreto para bombeamento fck = 30 MPa - confecção em central dosadora de 30 m³/h - areia e brita comerciais</v>
      </c>
      <c r="F759" s="197" t="str">
        <f>VLOOKUP($D759,'Preços Unitários'!$B:$G,3,FALSE)</f>
        <v>m³</v>
      </c>
      <c r="G759" s="200">
        <f>+'MC GALERIAS'!W$8</f>
        <v>47.519999999999996</v>
      </c>
      <c r="H759" s="200">
        <f>VLOOKUP($D759,'Preços Unitários'!$B:$G,6,FALSE)</f>
        <v>575.92882499999996</v>
      </c>
      <c r="I759" s="201">
        <f t="shared" si="102"/>
        <v>27368.137763999996</v>
      </c>
      <c r="J759" s="297"/>
    </row>
    <row r="760" spans="1:10" ht="43.2" x14ac:dyDescent="0.3">
      <c r="B760" s="197" t="s">
        <v>14402</v>
      </c>
      <c r="C760" s="197" t="s">
        <v>13039</v>
      </c>
      <c r="D760" s="198" t="s">
        <v>3201</v>
      </c>
      <c r="E760" s="199" t="str">
        <f>VLOOKUP($D760,'Preços Unitários'!$B:$G,2,FALSE)</f>
        <v>Lançamento mecânico de concreto com bomba rebocável com capacidade de 30 m³/h - confecção em central dosadora de 30 m³/h</v>
      </c>
      <c r="F760" s="197" t="str">
        <f>VLOOKUP($D760,'Preços Unitários'!$B:$G,3,FALSE)</f>
        <v>m³</v>
      </c>
      <c r="G760" s="200">
        <f>+'MC GALERIAS'!W$9</f>
        <v>88.2</v>
      </c>
      <c r="H760" s="200">
        <f>VLOOKUP($D760,'Preços Unitários'!$B:$G,6,FALSE)</f>
        <v>86.285976000000005</v>
      </c>
      <c r="I760" s="201">
        <f t="shared" si="102"/>
        <v>7610.4230832000003</v>
      </c>
      <c r="J760"/>
    </row>
    <row r="761" spans="1:10" ht="28.8" x14ac:dyDescent="0.3">
      <c r="B761" s="197" t="s">
        <v>14403</v>
      </c>
      <c r="C761" s="197" t="s">
        <v>13039</v>
      </c>
      <c r="D761" s="198" t="s">
        <v>8335</v>
      </c>
      <c r="E761" s="199" t="str">
        <f>VLOOKUP($D761,'Preços Unitários'!$B:$G,2,FALSE)</f>
        <v>Fôrmas de compensado plastificado 12 mm - uso geral - utilização de 1 vez - confecção, instalação e retirada</v>
      </c>
      <c r="F761" s="197" t="str">
        <f>VLOOKUP($D761,'Preços Unitários'!$B:$G,3,FALSE)</f>
        <v>m²</v>
      </c>
      <c r="G761" s="200">
        <f>+'MC GALERIAS'!W$10</f>
        <v>88.2</v>
      </c>
      <c r="H761" s="200">
        <f>VLOOKUP($D761,'Preços Unitários'!$B:$G,6,FALSE)</f>
        <v>175.71622900000003</v>
      </c>
      <c r="I761" s="201">
        <f t="shared" si="102"/>
        <v>15498.171397800003</v>
      </c>
      <c r="J761"/>
    </row>
    <row r="762" spans="1:10" ht="28.8" x14ac:dyDescent="0.3">
      <c r="B762" s="197" t="s">
        <v>14404</v>
      </c>
      <c r="C762" s="197" t="s">
        <v>13039</v>
      </c>
      <c r="D762" s="198" t="s">
        <v>211</v>
      </c>
      <c r="E762" s="199" t="str">
        <f>VLOOKUP($D762,'Preços Unitários'!$B:$G,2,FALSE)</f>
        <v>Armação em aço CA-50 - fornecimento, preparo e colocação</v>
      </c>
      <c r="F762" s="197" t="str">
        <f>VLOOKUP($D762,'Preços Unitários'!$B:$G,3,FALSE)</f>
        <v>kg</v>
      </c>
      <c r="G762" s="200">
        <f>+'MC GALERIAS'!W$11</f>
        <v>5702.4</v>
      </c>
      <c r="H762" s="200">
        <f>VLOOKUP($D762,'Preços Unitários'!$B:$G,6,FALSE)</f>
        <v>15.846655000000002</v>
      </c>
      <c r="I762" s="201">
        <f t="shared" si="102"/>
        <v>90363.965472000011</v>
      </c>
      <c r="J762"/>
    </row>
    <row r="763" spans="1:10" ht="28.8" x14ac:dyDescent="0.3">
      <c r="B763" s="197" t="s">
        <v>14405</v>
      </c>
      <c r="C763" s="197" t="s">
        <v>13039</v>
      </c>
      <c r="D763" s="198" t="s">
        <v>193</v>
      </c>
      <c r="E763" s="199" t="str">
        <f>VLOOKUP($D763,'Preços Unitários'!$B:$G,2,FALSE)</f>
        <v>Junta de dilatação em elastômero e perfil VV - L = 20 mm e H = 40 mm - fornecimento e instalação</v>
      </c>
      <c r="F763" s="197" t="str">
        <f>VLOOKUP($D763,'Preços Unitários'!$B:$G,3,FALSE)</f>
        <v>m</v>
      </c>
      <c r="G763" s="200">
        <f>+'MC GALERIAS'!W$12</f>
        <v>21.6</v>
      </c>
      <c r="H763" s="200">
        <f>VLOOKUP($D763,'Preços Unitários'!$B:$G,6,FALSE)</f>
        <v>346.45923900000003</v>
      </c>
      <c r="I763" s="201">
        <f t="shared" si="102"/>
        <v>7483.5195624000007</v>
      </c>
      <c r="J763" s="297"/>
    </row>
    <row r="764" spans="1:10" x14ac:dyDescent="0.3">
      <c r="B764" s="202"/>
      <c r="C764" s="202"/>
      <c r="D764" s="203"/>
      <c r="E764" s="204"/>
      <c r="F764" s="202"/>
      <c r="G764" s="205"/>
      <c r="H764" s="205"/>
      <c r="I764" s="205"/>
      <c r="J764" s="297"/>
    </row>
    <row r="765" spans="1:10" x14ac:dyDescent="0.3">
      <c r="A765" s="42" t="s">
        <v>14477</v>
      </c>
      <c r="B765" s="202">
        <v>6</v>
      </c>
      <c r="C765" s="202" t="s">
        <v>13</v>
      </c>
      <c r="D765" s="203" t="s">
        <v>13</v>
      </c>
      <c r="E765" s="204" t="s">
        <v>13993</v>
      </c>
      <c r="F765" s="202" t="s">
        <v>13</v>
      </c>
      <c r="G765" s="205">
        <v>0</v>
      </c>
      <c r="H765" s="205">
        <v>0</v>
      </c>
      <c r="I765" s="205">
        <f>+I766</f>
        <v>12404390.643928243</v>
      </c>
      <c r="J765" s="297"/>
    </row>
    <row r="766" spans="1:10" x14ac:dyDescent="0.3">
      <c r="B766" s="202" t="s">
        <v>13992</v>
      </c>
      <c r="C766" s="202" t="s">
        <v>13</v>
      </c>
      <c r="D766" s="203" t="s">
        <v>13</v>
      </c>
      <c r="E766" s="204" t="s">
        <v>13994</v>
      </c>
      <c r="F766" s="202"/>
      <c r="G766" s="205"/>
      <c r="H766" s="205"/>
      <c r="I766" s="205">
        <f>SUM(I767:I773)</f>
        <v>12404390.643928243</v>
      </c>
      <c r="J766" s="284" t="s">
        <v>14477</v>
      </c>
    </row>
    <row r="767" spans="1:10" ht="43.2" x14ac:dyDescent="0.3">
      <c r="B767" s="197" t="s">
        <v>14057</v>
      </c>
      <c r="C767" s="197" t="s">
        <v>13039</v>
      </c>
      <c r="D767" s="198" t="s">
        <v>11092</v>
      </c>
      <c r="E767" s="199" t="s">
        <v>11093</v>
      </c>
      <c r="F767" s="197" t="s">
        <v>427</v>
      </c>
      <c r="G767" s="200">
        <v>2827.44</v>
      </c>
      <c r="H767" s="200">
        <v>10.673003999999999</v>
      </c>
      <c r="I767" s="201">
        <f t="shared" ref="I767:I773" si="103">+G767*H767</f>
        <v>30177.278429759997</v>
      </c>
      <c r="J767" s="297"/>
    </row>
    <row r="768" spans="1:10" x14ac:dyDescent="0.3">
      <c r="B768" s="197" t="s">
        <v>14058</v>
      </c>
      <c r="C768" s="197" t="s">
        <v>13039</v>
      </c>
      <c r="D768" s="198" t="s">
        <v>11046</v>
      </c>
      <c r="E768" s="199" t="s">
        <v>11047</v>
      </c>
      <c r="F768" s="197" t="s">
        <v>427</v>
      </c>
      <c r="G768" s="200">
        <v>5921.790336</v>
      </c>
      <c r="H768" s="200">
        <v>7.1028090000000006</v>
      </c>
      <c r="I768" s="201">
        <f t="shared" si="103"/>
        <v>42061.345694653828</v>
      </c>
      <c r="J768" s="299"/>
    </row>
    <row r="769" spans="1:10" ht="28.8" x14ac:dyDescent="0.3">
      <c r="B769" s="197" t="s">
        <v>14059</v>
      </c>
      <c r="C769" s="197" t="s">
        <v>13039</v>
      </c>
      <c r="D769" s="198" t="s">
        <v>11947</v>
      </c>
      <c r="E769" s="199" t="s">
        <v>11948</v>
      </c>
      <c r="F769" s="197" t="s">
        <v>11936</v>
      </c>
      <c r="G769" s="200">
        <v>1981.4699519999999</v>
      </c>
      <c r="H769" s="200">
        <v>1.165011</v>
      </c>
      <c r="I769" s="201">
        <f t="shared" si="103"/>
        <v>2308.4342902494718</v>
      </c>
      <c r="J769" s="299"/>
    </row>
    <row r="770" spans="1:10" ht="57.6" x14ac:dyDescent="0.3">
      <c r="B770" s="197" t="s">
        <v>14060</v>
      </c>
      <c r="C770" s="197" t="s">
        <v>13039</v>
      </c>
      <c r="D770" s="198" t="s">
        <v>6992</v>
      </c>
      <c r="E770" s="199" t="s">
        <v>6993</v>
      </c>
      <c r="F770" s="197" t="s">
        <v>2904</v>
      </c>
      <c r="G770" s="200">
        <v>4039.2</v>
      </c>
      <c r="H770" s="200">
        <v>193.692474</v>
      </c>
      <c r="I770" s="201">
        <f t="shared" si="103"/>
        <v>782362.64098080003</v>
      </c>
      <c r="J770" s="299"/>
    </row>
    <row r="771" spans="1:10" x14ac:dyDescent="0.3">
      <c r="B771" s="197" t="s">
        <v>14061</v>
      </c>
      <c r="C771" s="197" t="s">
        <v>13039</v>
      </c>
      <c r="D771" s="198" t="s">
        <v>2937</v>
      </c>
      <c r="E771" s="199" t="str">
        <f>VLOOKUP($D771,'Preços Unitários'!$B:$G,2,FALSE)</f>
        <v>Lastro de brita comercial - espalhamento mecânico</v>
      </c>
      <c r="F771" s="197" t="s">
        <v>2904</v>
      </c>
      <c r="G771" s="200">
        <v>605.88</v>
      </c>
      <c r="H771" s="200">
        <f>VLOOKUP($D771,'Preços Unitários'!$B:$G,6,FALSE)</f>
        <v>214.762888</v>
      </c>
      <c r="I771" s="201">
        <f t="shared" ref="I771" si="104">+G771*H771</f>
        <v>130120.53858144001</v>
      </c>
      <c r="J771" s="299"/>
    </row>
    <row r="772" spans="1:10" ht="28.8" x14ac:dyDescent="0.3">
      <c r="B772" s="197" t="s">
        <v>14062</v>
      </c>
      <c r="C772" s="197" t="s">
        <v>13039</v>
      </c>
      <c r="D772" s="198" t="s">
        <v>3137</v>
      </c>
      <c r="E772" s="199" t="s">
        <v>3138</v>
      </c>
      <c r="F772" s="197" t="s">
        <v>427</v>
      </c>
      <c r="G772" s="200">
        <v>201.96</v>
      </c>
      <c r="H772" s="200">
        <v>573.22299299999997</v>
      </c>
      <c r="I772" s="201">
        <f t="shared" si="103"/>
        <v>115768.11566628001</v>
      </c>
      <c r="J772" s="299"/>
    </row>
    <row r="773" spans="1:10" x14ac:dyDescent="0.3">
      <c r="B773" s="197" t="s">
        <v>14570</v>
      </c>
      <c r="C773" s="204" t="s">
        <v>12</v>
      </c>
      <c r="D773" s="204" t="s">
        <v>12</v>
      </c>
      <c r="E773" s="204" t="s">
        <v>13169</v>
      </c>
      <c r="F773" s="202" t="s">
        <v>195</v>
      </c>
      <c r="G773" s="200">
        <v>1683</v>
      </c>
      <c r="H773" s="200">
        <v>6715.1469342157216</v>
      </c>
      <c r="I773" s="201">
        <f t="shared" si="103"/>
        <v>11301592.29028506</v>
      </c>
      <c r="J773" s="299"/>
    </row>
    <row r="774" spans="1:10" x14ac:dyDescent="0.3">
      <c r="B774" s="197"/>
      <c r="C774" s="204"/>
      <c r="D774" s="204"/>
      <c r="E774" s="204"/>
      <c r="F774" s="202"/>
      <c r="G774" s="200"/>
      <c r="H774" s="200"/>
      <c r="I774" s="201"/>
      <c r="J774" s="299"/>
    </row>
    <row r="775" spans="1:10" x14ac:dyDescent="0.3">
      <c r="A775" s="42" t="s">
        <v>14476</v>
      </c>
      <c r="B775" s="202">
        <v>7</v>
      </c>
      <c r="C775" s="202" t="s">
        <v>13</v>
      </c>
      <c r="D775" s="203" t="s">
        <v>13</v>
      </c>
      <c r="E775" s="204" t="s">
        <v>13380</v>
      </c>
      <c r="F775" s="202" t="s">
        <v>13</v>
      </c>
      <c r="G775" s="205">
        <v>0</v>
      </c>
      <c r="H775" s="205">
        <v>0</v>
      </c>
      <c r="I775" s="205">
        <f>+I776</f>
        <v>1252889.9112890649</v>
      </c>
      <c r="J775" s="299"/>
    </row>
    <row r="776" spans="1:10" x14ac:dyDescent="0.3">
      <c r="A776" s="42"/>
      <c r="B776" s="202" t="s">
        <v>14248</v>
      </c>
      <c r="C776" s="202" t="s">
        <v>13</v>
      </c>
      <c r="D776" s="203" t="s">
        <v>13</v>
      </c>
      <c r="E776" s="204" t="s">
        <v>13379</v>
      </c>
      <c r="F776" s="202"/>
      <c r="G776" s="205"/>
      <c r="H776" s="205"/>
      <c r="I776" s="205">
        <f>SUM(I777:I785)</f>
        <v>1252889.9112890649</v>
      </c>
      <c r="J776" s="299" t="s">
        <v>14476</v>
      </c>
    </row>
    <row r="777" spans="1:10" ht="28.8" x14ac:dyDescent="0.3">
      <c r="B777" s="197" t="s">
        <v>14249</v>
      </c>
      <c r="C777" s="197" t="s">
        <v>13039</v>
      </c>
      <c r="D777" s="198" t="s">
        <v>11052</v>
      </c>
      <c r="E777" s="199" t="str">
        <f>VLOOKUP($D777,'Preços Unitários'!$B:$G,2,FALSE)</f>
        <v>Desmatamento, destocamento e limpeza de área com árvores de diâmetro até 0,15 m</v>
      </c>
      <c r="F777" s="197" t="str">
        <f>VLOOKUP($D777,'Preços Unitários'!$B:$G,3,FALSE)</f>
        <v>m²</v>
      </c>
      <c r="G777" s="200">
        <f>+'MC ERs'!D5</f>
        <v>760.2</v>
      </c>
      <c r="H777" s="200">
        <f>VLOOKUP($D777,'Preços Unitários'!$B:$G,6,FALSE)</f>
        <v>0.87688999999999995</v>
      </c>
      <c r="I777" s="201">
        <f t="shared" ref="I777:I784" si="105">+G777*H777</f>
        <v>666.61177799999996</v>
      </c>
      <c r="J777" s="299"/>
    </row>
    <row r="778" spans="1:10" ht="43.2" x14ac:dyDescent="0.3">
      <c r="B778" s="197" t="s">
        <v>14250</v>
      </c>
      <c r="C778" s="197" t="s">
        <v>13039</v>
      </c>
      <c r="D778" s="198" t="s">
        <v>11092</v>
      </c>
      <c r="E778" s="199" t="str">
        <f>VLOOKUP($D778,'Preços Unitários'!$B:$G,2,FALSE)</f>
        <v>Escavação, carga e transporte de material de 1ª categoria - DMT de 1.000 a 1.200 m - caminho de serviço em leito natural - com escavadeira e caminhão basculante de 14 m³</v>
      </c>
      <c r="F778" s="197" t="str">
        <f>VLOOKUP($D778,'Preços Unitários'!$B:$G,3,FALSE)</f>
        <v>m³</v>
      </c>
      <c r="G778" s="200">
        <f>+'MC ERs'!D6</f>
        <v>777.59999999999991</v>
      </c>
      <c r="H778" s="200">
        <f>VLOOKUP($D778,'Preços Unitários'!$B:$G,6,FALSE)</f>
        <v>10.673003999999999</v>
      </c>
      <c r="I778" s="201">
        <f t="shared" si="105"/>
        <v>8299.3279103999976</v>
      </c>
      <c r="J778" s="299"/>
    </row>
    <row r="779" spans="1:10" ht="28.8" x14ac:dyDescent="0.3">
      <c r="B779" s="197" t="s">
        <v>14251</v>
      </c>
      <c r="C779" s="197" t="s">
        <v>13039</v>
      </c>
      <c r="D779" s="198" t="s">
        <v>11947</v>
      </c>
      <c r="E779" s="199" t="str">
        <f>VLOOKUP($D779,'Preços Unitários'!$B:$G,2,FALSE)</f>
        <v>Transporte com caminhão basculante de 14 m³ - rodovia em leito natural</v>
      </c>
      <c r="F779" s="197" t="str">
        <f>VLOOKUP($D779,'Preços Unitários'!$B:$G,3,FALSE)</f>
        <v>tkm</v>
      </c>
      <c r="G779" s="200">
        <f>+'MC ERs'!D7</f>
        <v>5443.1999999999989</v>
      </c>
      <c r="H779" s="200">
        <f>VLOOKUP($D779,'Preços Unitários'!$B:$G,6,FALSE)</f>
        <v>1.165011</v>
      </c>
      <c r="I779" s="201">
        <f t="shared" si="105"/>
        <v>6341.3878751999991</v>
      </c>
      <c r="J779" s="297"/>
    </row>
    <row r="780" spans="1:10" ht="28.8" x14ac:dyDescent="0.3">
      <c r="B780" s="197" t="s">
        <v>14252</v>
      </c>
      <c r="C780" s="197" t="s">
        <v>13039</v>
      </c>
      <c r="D780" s="198" t="s">
        <v>3149</v>
      </c>
      <c r="E780" s="199" t="str">
        <f>VLOOKUP($D780,'Preços Unitários'!$B:$G,2,FALSE)</f>
        <v>Concreto para bombeamento fck = 30 MPa - confecção em central dosadora de 30 m³/h - areia e brita comerciais</v>
      </c>
      <c r="F780" s="197" t="str">
        <f>VLOOKUP($D780,'Preços Unitários'!$B:$G,3,FALSE)</f>
        <v>m³</v>
      </c>
      <c r="G780" s="200">
        <f>+'MC ERs'!H8</f>
        <v>297.863</v>
      </c>
      <c r="H780" s="200">
        <f>VLOOKUP($D780,'Preços Unitários'!$B:$G,6,FALSE)</f>
        <v>575.92882499999996</v>
      </c>
      <c r="I780" s="201">
        <f t="shared" si="105"/>
        <v>171547.88760097499</v>
      </c>
      <c r="J780" s="299"/>
    </row>
    <row r="781" spans="1:10" ht="43.2" x14ac:dyDescent="0.3">
      <c r="B781" s="197" t="s">
        <v>14253</v>
      </c>
      <c r="C781" s="197" t="s">
        <v>13039</v>
      </c>
      <c r="D781" s="198" t="s">
        <v>3201</v>
      </c>
      <c r="E781" s="199" t="str">
        <f>VLOOKUP($D781,'Preços Unitários'!$B:$G,2,FALSE)</f>
        <v>Lançamento mecânico de concreto com bomba rebocável com capacidade de 30 m³/h - confecção em central dosadora de 30 m³/h</v>
      </c>
      <c r="F781" s="197" t="str">
        <f>VLOOKUP($D781,'Preços Unitários'!$B:$G,3,FALSE)</f>
        <v>m³</v>
      </c>
      <c r="G781" s="200">
        <f>+'MC ERs'!H15</f>
        <v>1787.1779999999999</v>
      </c>
      <c r="H781" s="200">
        <f>VLOOKUP($D781,'Preços Unitários'!$B:$G,6,FALSE)</f>
        <v>86.285976000000005</v>
      </c>
      <c r="I781" s="201">
        <f t="shared" si="105"/>
        <v>154208.39801572799</v>
      </c>
      <c r="J781" s="299"/>
    </row>
    <row r="782" spans="1:10" ht="28.8" x14ac:dyDescent="0.3">
      <c r="B782" s="197" t="s">
        <v>14254</v>
      </c>
      <c r="C782" s="197" t="s">
        <v>13039</v>
      </c>
      <c r="D782" s="198" t="s">
        <v>8335</v>
      </c>
      <c r="E782" s="199" t="str">
        <f>VLOOKUP($D782,'Preços Unitários'!$B:$G,2,FALSE)</f>
        <v>Fôrmas de compensado plastificado 12 mm - uso geral - utilização de 1 vez - confecção, instalação e retirada</v>
      </c>
      <c r="F782" s="197" t="str">
        <f>VLOOKUP($D782,'Preços Unitários'!$B:$G,3,FALSE)</f>
        <v>m²</v>
      </c>
      <c r="G782" s="200">
        <f>+'MC ERs'!H15</f>
        <v>1787.1779999999999</v>
      </c>
      <c r="H782" s="200">
        <f>VLOOKUP($D782,'Preços Unitários'!$B:$G,6,FALSE)</f>
        <v>175.71622900000003</v>
      </c>
      <c r="I782" s="201">
        <f t="shared" si="105"/>
        <v>314036.17871176201</v>
      </c>
      <c r="J782" s="299"/>
    </row>
    <row r="783" spans="1:10" ht="57.6" x14ac:dyDescent="0.3">
      <c r="B783" s="197" t="s">
        <v>14255</v>
      </c>
      <c r="C783" s="197" t="s">
        <v>13039</v>
      </c>
      <c r="D783" s="198" t="s">
        <v>6998</v>
      </c>
      <c r="E783" s="199" t="str">
        <f>VLOOKUP($D783,'Preços Unitários'!$B:$G,2,FALSE)</f>
        <v>Escoramento metálico tubular galvanizado para formas com capacidade de 2.100 a 750 kg por unidade - regulável de 3,0 a 4,5 m - utilização de 20 vezes - fornecimento, instalação e retirada</v>
      </c>
      <c r="F783" s="197" t="str">
        <f>VLOOKUP($D783,'Preços Unitários'!$B:$G,3,FALSE)</f>
        <v>un</v>
      </c>
      <c r="G783" s="200">
        <f>+'MC ERs'!H16</f>
        <v>137.19999999999999</v>
      </c>
      <c r="H783" s="200">
        <f>VLOOKUP($D783,'Preços Unitários'!$B:$G,6,FALSE)</f>
        <v>24.214690999999998</v>
      </c>
      <c r="I783" s="201">
        <f t="shared" ref="I783" si="106">+G783*H783</f>
        <v>3322.2556051999995</v>
      </c>
      <c r="J783" s="299"/>
    </row>
    <row r="784" spans="1:10" ht="28.8" x14ac:dyDescent="0.3">
      <c r="B784" s="197" t="s">
        <v>14256</v>
      </c>
      <c r="C784" s="197" t="s">
        <v>13039</v>
      </c>
      <c r="D784" s="198" t="s">
        <v>211</v>
      </c>
      <c r="E784" s="199" t="str">
        <f>VLOOKUP($D784,'Preços Unitários'!$B:$G,2,FALSE)</f>
        <v>Armação em aço CA-50 - fornecimento, preparo e colocação</v>
      </c>
      <c r="F784" s="197" t="str">
        <f>VLOOKUP($D784,'Preços Unitários'!$B:$G,3,FALSE)</f>
        <v>kg</v>
      </c>
      <c r="G784" s="200">
        <f>+'MC ERs'!H17</f>
        <v>35743.56</v>
      </c>
      <c r="H784" s="200">
        <f>VLOOKUP($D784,'Preços Unitários'!$B:$G,6,FALSE)</f>
        <v>15.846655000000002</v>
      </c>
      <c r="I784" s="201">
        <f t="shared" si="105"/>
        <v>566415.86379179999</v>
      </c>
      <c r="J784" s="299"/>
    </row>
    <row r="785" spans="1:10" x14ac:dyDescent="0.3">
      <c r="B785" s="197" t="s">
        <v>14560</v>
      </c>
      <c r="C785" s="197" t="s">
        <v>12</v>
      </c>
      <c r="D785" s="197" t="s">
        <v>12</v>
      </c>
      <c r="E785" s="199" t="s">
        <v>14056</v>
      </c>
      <c r="F785" s="197" t="s">
        <v>2904</v>
      </c>
      <c r="G785" s="200">
        <f>+'MC ERs'!H18</f>
        <v>100</v>
      </c>
      <c r="H785" s="200">
        <v>280.52</v>
      </c>
      <c r="I785" s="201">
        <f t="shared" ref="I785" si="107">+G785*H785</f>
        <v>28052</v>
      </c>
      <c r="J785" s="299"/>
    </row>
    <row r="786" spans="1:10" x14ac:dyDescent="0.3">
      <c r="B786" s="202"/>
      <c r="C786" s="202"/>
      <c r="D786" s="203"/>
      <c r="E786" s="204"/>
      <c r="F786" s="202"/>
      <c r="G786" s="205"/>
      <c r="H786" s="205"/>
      <c r="I786" s="205"/>
      <c r="J786" s="299"/>
    </row>
    <row r="787" spans="1:10" s="219" customFormat="1" x14ac:dyDescent="0.3">
      <c r="B787" s="215" t="s">
        <v>14222</v>
      </c>
      <c r="C787" s="215" t="s">
        <v>13</v>
      </c>
      <c r="D787" s="216" t="s">
        <v>13</v>
      </c>
      <c r="E787" s="217" t="s">
        <v>13341</v>
      </c>
      <c r="F787" s="215" t="s">
        <v>13</v>
      </c>
      <c r="G787" s="214">
        <v>0</v>
      </c>
      <c r="H787" s="214">
        <v>0</v>
      </c>
      <c r="I787" s="214">
        <f>+I788</f>
        <v>11064618.332477733</v>
      </c>
      <c r="J787" s="299"/>
    </row>
    <row r="788" spans="1:10" x14ac:dyDescent="0.3">
      <c r="B788" s="202">
        <v>1</v>
      </c>
      <c r="C788" s="202" t="s">
        <v>13</v>
      </c>
      <c r="D788" s="203" t="s">
        <v>13</v>
      </c>
      <c r="E788" s="204" t="s">
        <v>13121</v>
      </c>
      <c r="F788" s="202" t="s">
        <v>13</v>
      </c>
      <c r="G788" s="205">
        <v>0</v>
      </c>
      <c r="H788" s="205">
        <v>0</v>
      </c>
      <c r="I788" s="205">
        <f>+I789+I792+I795+I805+I807</f>
        <v>11064618.332477733</v>
      </c>
      <c r="J788" s="299"/>
    </row>
    <row r="789" spans="1:10" x14ac:dyDescent="0.3">
      <c r="B789" s="202" t="s">
        <v>11</v>
      </c>
      <c r="C789" s="202" t="s">
        <v>13</v>
      </c>
      <c r="D789" s="203" t="s">
        <v>13</v>
      </c>
      <c r="E789" s="204" t="s">
        <v>13123</v>
      </c>
      <c r="F789" s="202" t="s">
        <v>13</v>
      </c>
      <c r="G789" s="205">
        <v>0</v>
      </c>
      <c r="H789" s="205">
        <v>0</v>
      </c>
      <c r="I789" s="205">
        <f>SUM(I790:I791)</f>
        <v>7544692.0703821871</v>
      </c>
      <c r="J789" s="284" t="s">
        <v>14637</v>
      </c>
    </row>
    <row r="790" spans="1:10" x14ac:dyDescent="0.3">
      <c r="A790" s="42" t="s">
        <v>14476</v>
      </c>
      <c r="B790" s="202" t="s">
        <v>13202</v>
      </c>
      <c r="C790" s="202" t="s">
        <v>12</v>
      </c>
      <c r="D790" s="202" t="s">
        <v>12</v>
      </c>
      <c r="E790" s="204" t="s">
        <v>13132</v>
      </c>
      <c r="F790" s="202" t="s">
        <v>13126</v>
      </c>
      <c r="G790" s="205">
        <v>2</v>
      </c>
      <c r="H790" s="205">
        <f>+Bombas!I4</f>
        <v>2965326.7341303122</v>
      </c>
      <c r="I790" s="205">
        <f>+G790*H790</f>
        <v>5930653.4682606244</v>
      </c>
      <c r="J790" s="299"/>
    </row>
    <row r="791" spans="1:10" x14ac:dyDescent="0.3">
      <c r="A791" s="42" t="s">
        <v>14476</v>
      </c>
      <c r="B791" s="202" t="s">
        <v>13221</v>
      </c>
      <c r="C791" s="202" t="s">
        <v>12</v>
      </c>
      <c r="D791" s="202" t="s">
        <v>12</v>
      </c>
      <c r="E791" s="204" t="s">
        <v>13133</v>
      </c>
      <c r="F791" s="202" t="s">
        <v>13126</v>
      </c>
      <c r="G791" s="205">
        <v>1</v>
      </c>
      <c r="H791" s="205">
        <f>+Bombas!I5</f>
        <v>1614038.6021215627</v>
      </c>
      <c r="I791" s="205">
        <f>+G791*H791</f>
        <v>1614038.6021215627</v>
      </c>
      <c r="J791" s="299"/>
    </row>
    <row r="792" spans="1:10" x14ac:dyDescent="0.3">
      <c r="B792" s="202" t="s">
        <v>13053</v>
      </c>
      <c r="C792" s="202" t="s">
        <v>13</v>
      </c>
      <c r="D792" s="203" t="s">
        <v>13</v>
      </c>
      <c r="E792" s="204" t="s">
        <v>13129</v>
      </c>
      <c r="F792" s="202" t="s">
        <v>13</v>
      </c>
      <c r="G792" s="205">
        <v>0</v>
      </c>
      <c r="H792" s="205">
        <v>0</v>
      </c>
      <c r="I792" s="205">
        <f>SUM(I793:I794)</f>
        <v>553999.62207279692</v>
      </c>
      <c r="J792" s="284" t="s">
        <v>14637</v>
      </c>
    </row>
    <row r="793" spans="1:10" x14ac:dyDescent="0.3">
      <c r="A793" s="42" t="s">
        <v>14476</v>
      </c>
      <c r="B793" s="202" t="s">
        <v>13381</v>
      </c>
      <c r="C793" s="204" t="s">
        <v>12</v>
      </c>
      <c r="D793" s="202" t="s">
        <v>12</v>
      </c>
      <c r="E793" s="204" t="s">
        <v>13130</v>
      </c>
      <c r="F793" s="202" t="s">
        <v>195</v>
      </c>
      <c r="G793" s="205">
        <v>42</v>
      </c>
      <c r="H793" s="205">
        <f>+'Tubulações ER'!D16</f>
        <v>10492.417084712062</v>
      </c>
      <c r="I793" s="205">
        <f>+G793*H793</f>
        <v>440681.51755790663</v>
      </c>
      <c r="J793" s="299"/>
    </row>
    <row r="794" spans="1:10" x14ac:dyDescent="0.3">
      <c r="A794" s="42" t="s">
        <v>14476</v>
      </c>
      <c r="B794" s="202" t="s">
        <v>13382</v>
      </c>
      <c r="C794" s="204" t="s">
        <v>12</v>
      </c>
      <c r="D794" s="202" t="s">
        <v>12</v>
      </c>
      <c r="E794" s="204" t="s">
        <v>13131</v>
      </c>
      <c r="F794" s="202" t="s">
        <v>195</v>
      </c>
      <c r="G794" s="205">
        <v>15</v>
      </c>
      <c r="H794" s="205">
        <f>+'Tubulações ER'!I16</f>
        <v>7554.5403009926868</v>
      </c>
      <c r="I794" s="205">
        <f>+G794*H794</f>
        <v>113318.10451489031</v>
      </c>
      <c r="J794" s="299"/>
    </row>
    <row r="795" spans="1:10" x14ac:dyDescent="0.3">
      <c r="B795" s="202" t="s">
        <v>13054</v>
      </c>
      <c r="C795" s="202" t="s">
        <v>13</v>
      </c>
      <c r="D795" s="203" t="s">
        <v>13</v>
      </c>
      <c r="E795" s="204" t="s">
        <v>13200</v>
      </c>
      <c r="F795" s="202" t="s">
        <v>13</v>
      </c>
      <c r="G795" s="205">
        <v>0</v>
      </c>
      <c r="H795" s="205">
        <v>0</v>
      </c>
      <c r="I795" s="205">
        <f>SUM(I796:I804)</f>
        <v>1033778.1479999998</v>
      </c>
      <c r="J795" s="299"/>
    </row>
    <row r="796" spans="1:10" x14ac:dyDescent="0.3">
      <c r="A796" s="42" t="s">
        <v>14475</v>
      </c>
      <c r="B796" s="202" t="s">
        <v>13443</v>
      </c>
      <c r="C796" s="204" t="s">
        <v>12</v>
      </c>
      <c r="D796" s="198" t="s">
        <v>13917</v>
      </c>
      <c r="E796" s="204" t="s">
        <v>13908</v>
      </c>
      <c r="F796" s="202" t="s">
        <v>13932</v>
      </c>
      <c r="G796" s="205">
        <v>0</v>
      </c>
      <c r="H796" s="205">
        <v>0</v>
      </c>
      <c r="I796" s="205">
        <f>+'Ficha EC'!L5</f>
        <v>130280.8</v>
      </c>
      <c r="J796" s="284" t="s">
        <v>14638</v>
      </c>
    </row>
    <row r="797" spans="1:10" x14ac:dyDescent="0.3">
      <c r="A797" s="42" t="s">
        <v>14477</v>
      </c>
      <c r="B797" s="202" t="s">
        <v>13455</v>
      </c>
      <c r="C797" s="204" t="s">
        <v>12</v>
      </c>
      <c r="D797" s="198" t="s">
        <v>13918</v>
      </c>
      <c r="E797" s="204" t="s">
        <v>13909</v>
      </c>
      <c r="F797" s="202" t="s">
        <v>13932</v>
      </c>
      <c r="G797" s="205">
        <v>0</v>
      </c>
      <c r="H797" s="205">
        <v>0</v>
      </c>
      <c r="I797" s="205">
        <f>+'Ficha EC'!L6</f>
        <v>104224.64</v>
      </c>
      <c r="J797" s="284" t="s">
        <v>14639</v>
      </c>
    </row>
    <row r="798" spans="1:10" x14ac:dyDescent="0.3">
      <c r="A798" s="42" t="s">
        <v>14477</v>
      </c>
      <c r="B798" s="202" t="s">
        <v>13463</v>
      </c>
      <c r="C798" s="204" t="s">
        <v>12</v>
      </c>
      <c r="D798" s="198" t="s">
        <v>13919</v>
      </c>
      <c r="E798" s="204" t="s">
        <v>13910</v>
      </c>
      <c r="F798" s="202" t="s">
        <v>13932</v>
      </c>
      <c r="G798" s="205">
        <v>0</v>
      </c>
      <c r="H798" s="205">
        <v>0</v>
      </c>
      <c r="I798" s="205">
        <f>+'Ficha EC'!L7</f>
        <v>104224.64</v>
      </c>
      <c r="J798" s="284" t="s">
        <v>14639</v>
      </c>
    </row>
    <row r="799" spans="1:10" x14ac:dyDescent="0.3">
      <c r="A799" s="42" t="s">
        <v>14477</v>
      </c>
      <c r="B799" s="202" t="s">
        <v>13468</v>
      </c>
      <c r="C799" s="204" t="s">
        <v>12</v>
      </c>
      <c r="D799" s="198" t="s">
        <v>13920</v>
      </c>
      <c r="E799" s="204" t="s">
        <v>13911</v>
      </c>
      <c r="F799" s="202" t="s">
        <v>13932</v>
      </c>
      <c r="G799" s="205">
        <v>0</v>
      </c>
      <c r="H799" s="205">
        <v>0</v>
      </c>
      <c r="I799" s="205">
        <f>+'Ficha EC'!L8</f>
        <v>66443.207999999999</v>
      </c>
      <c r="J799" s="284" t="s">
        <v>14639</v>
      </c>
    </row>
    <row r="800" spans="1:10" x14ac:dyDescent="0.3">
      <c r="B800" s="202" t="s">
        <v>13474</v>
      </c>
      <c r="C800" s="204" t="s">
        <v>12</v>
      </c>
      <c r="D800" s="198" t="s">
        <v>13921</v>
      </c>
      <c r="E800" s="204" t="s">
        <v>13912</v>
      </c>
      <c r="F800" s="202" t="s">
        <v>13932</v>
      </c>
      <c r="G800" s="205">
        <v>0</v>
      </c>
      <c r="H800" s="205">
        <v>0</v>
      </c>
      <c r="I800" s="205">
        <f>+'Ficha EC'!L9</f>
        <v>0</v>
      </c>
      <c r="J800" s="284" t="s">
        <v>14638</v>
      </c>
    </row>
    <row r="801" spans="1:10" x14ac:dyDescent="0.3">
      <c r="A801" s="42" t="s">
        <v>14476</v>
      </c>
      <c r="B801" s="202" t="s">
        <v>14284</v>
      </c>
      <c r="C801" s="204" t="s">
        <v>12</v>
      </c>
      <c r="D801" s="198" t="s">
        <v>13922</v>
      </c>
      <c r="E801" s="204" t="s">
        <v>13913</v>
      </c>
      <c r="F801" s="202" t="s">
        <v>13932</v>
      </c>
      <c r="G801" s="205">
        <v>0</v>
      </c>
      <c r="H801" s="205">
        <v>0</v>
      </c>
      <c r="I801" s="205">
        <f>+'Ficha EC'!L10</f>
        <v>201935.24</v>
      </c>
      <c r="J801" s="284" t="s">
        <v>14637</v>
      </c>
    </row>
    <row r="802" spans="1:10" x14ac:dyDescent="0.3">
      <c r="A802" s="42" t="s">
        <v>14476</v>
      </c>
      <c r="B802" s="202" t="s">
        <v>14285</v>
      </c>
      <c r="C802" s="204" t="s">
        <v>12</v>
      </c>
      <c r="D802" s="198" t="s">
        <v>13923</v>
      </c>
      <c r="E802" s="204" t="s">
        <v>13914</v>
      </c>
      <c r="F802" s="202" t="s">
        <v>13932</v>
      </c>
      <c r="G802" s="205">
        <v>0</v>
      </c>
      <c r="H802" s="205">
        <v>0</v>
      </c>
      <c r="I802" s="205">
        <f>+'Ficha EC'!L11</f>
        <v>152428.53599999999</v>
      </c>
      <c r="J802" s="284" t="s">
        <v>14640</v>
      </c>
    </row>
    <row r="803" spans="1:10" x14ac:dyDescent="0.3">
      <c r="A803" s="42" t="s">
        <v>14478</v>
      </c>
      <c r="B803" s="202" t="s">
        <v>14286</v>
      </c>
      <c r="C803" s="204" t="s">
        <v>12</v>
      </c>
      <c r="D803" s="198" t="s">
        <v>13924</v>
      </c>
      <c r="E803" s="204" t="s">
        <v>13915</v>
      </c>
      <c r="F803" s="202" t="s">
        <v>13932</v>
      </c>
      <c r="G803" s="205">
        <v>0</v>
      </c>
      <c r="H803" s="205">
        <v>0</v>
      </c>
      <c r="I803" s="205">
        <f>+'Ficha EC'!L12</f>
        <v>132886.416</v>
      </c>
      <c r="J803" s="284" t="s">
        <v>14640</v>
      </c>
    </row>
    <row r="804" spans="1:10" x14ac:dyDescent="0.3">
      <c r="A804" s="42" t="s">
        <v>14478</v>
      </c>
      <c r="B804" s="202" t="s">
        <v>14287</v>
      </c>
      <c r="C804" s="204" t="s">
        <v>12</v>
      </c>
      <c r="D804" s="198" t="s">
        <v>13925</v>
      </c>
      <c r="E804" s="204" t="s">
        <v>13916</v>
      </c>
      <c r="F804" s="202" t="s">
        <v>13932</v>
      </c>
      <c r="G804" s="205">
        <v>0</v>
      </c>
      <c r="H804" s="205">
        <v>0</v>
      </c>
      <c r="I804" s="205">
        <f>+'Ficha EC'!L13</f>
        <v>141354.66800000001</v>
      </c>
      <c r="J804" s="284" t="s">
        <v>14640</v>
      </c>
    </row>
    <row r="805" spans="1:10" x14ac:dyDescent="0.3">
      <c r="B805" s="202" t="s">
        <v>13055</v>
      </c>
      <c r="C805" s="202" t="s">
        <v>13</v>
      </c>
      <c r="D805" s="203" t="s">
        <v>13</v>
      </c>
      <c r="E805" s="204" t="s">
        <v>14457</v>
      </c>
      <c r="F805" s="202" t="s">
        <v>13932</v>
      </c>
      <c r="G805" s="205">
        <v>0</v>
      </c>
      <c r="H805" s="205">
        <v>0</v>
      </c>
      <c r="I805" s="205">
        <f>+I806</f>
        <v>1475525</v>
      </c>
      <c r="J805" s="297"/>
    </row>
    <row r="806" spans="1:10" x14ac:dyDescent="0.3">
      <c r="A806" s="42" t="s">
        <v>14476</v>
      </c>
      <c r="B806" s="202" t="s">
        <v>13476</v>
      </c>
      <c r="C806" s="202" t="s">
        <v>12</v>
      </c>
      <c r="D806" s="202" t="s">
        <v>12</v>
      </c>
      <c r="E806" s="204" t="s">
        <v>14458</v>
      </c>
      <c r="F806" s="202" t="s">
        <v>13932</v>
      </c>
      <c r="G806" s="205">
        <v>0</v>
      </c>
      <c r="H806" s="205">
        <v>0</v>
      </c>
      <c r="I806" s="205">
        <f>SUM('Equipamentos Elétricos'!H16:H22)</f>
        <v>1475525</v>
      </c>
      <c r="J806" s="284" t="s">
        <v>14476</v>
      </c>
    </row>
    <row r="807" spans="1:10" x14ac:dyDescent="0.3">
      <c r="B807" s="202" t="s">
        <v>13056</v>
      </c>
      <c r="C807" s="202" t="s">
        <v>12</v>
      </c>
      <c r="D807" s="202" t="s">
        <v>12</v>
      </c>
      <c r="E807" s="204" t="s">
        <v>14043</v>
      </c>
      <c r="F807" s="202" t="s">
        <v>13932</v>
      </c>
      <c r="G807" s="205">
        <v>0</v>
      </c>
      <c r="H807" s="205">
        <v>0</v>
      </c>
      <c r="I807" s="205">
        <f>(I789+I792+I795)*0.05</f>
        <v>456623.49202274927</v>
      </c>
      <c r="J807" s="294" t="s">
        <v>14641</v>
      </c>
    </row>
    <row r="808" spans="1:10" x14ac:dyDescent="0.3">
      <c r="B808" s="202"/>
      <c r="C808" s="202"/>
      <c r="D808" s="203"/>
      <c r="E808" s="204"/>
      <c r="F808" s="202"/>
      <c r="G808" s="205"/>
      <c r="H808" s="205"/>
      <c r="I808" s="205"/>
      <c r="J808" s="299"/>
    </row>
    <row r="809" spans="1:10" s="219" customFormat="1" x14ac:dyDescent="0.3">
      <c r="B809" s="215" t="s">
        <v>13</v>
      </c>
      <c r="C809" s="215" t="s">
        <v>13</v>
      </c>
      <c r="D809" s="215" t="s">
        <v>13</v>
      </c>
      <c r="E809" s="217" t="s">
        <v>14468</v>
      </c>
      <c r="F809" s="215" t="s">
        <v>13</v>
      </c>
      <c r="G809" s="215" t="s">
        <v>13</v>
      </c>
      <c r="H809" s="215" t="s">
        <v>13</v>
      </c>
      <c r="I809" s="214">
        <f>+I787+I24</f>
        <v>172866729.27189857</v>
      </c>
      <c r="J809" s="299"/>
    </row>
    <row r="810" spans="1:10" s="219" customFormat="1" x14ac:dyDescent="0.3">
      <c r="B810" s="215" t="s">
        <v>13</v>
      </c>
      <c r="C810" s="215" t="s">
        <v>13</v>
      </c>
      <c r="D810" s="215" t="s">
        <v>13</v>
      </c>
      <c r="E810" s="217"/>
      <c r="F810" s="215"/>
      <c r="G810" s="214"/>
      <c r="H810" s="218"/>
      <c r="I810" s="214"/>
      <c r="J810" s="299"/>
    </row>
    <row r="811" spans="1:10" s="219" customFormat="1" x14ac:dyDescent="0.3">
      <c r="B811" s="215" t="s">
        <v>13</v>
      </c>
      <c r="C811" s="215" t="s">
        <v>13</v>
      </c>
      <c r="D811" s="215" t="s">
        <v>13</v>
      </c>
      <c r="E811" s="217" t="s">
        <v>14239</v>
      </c>
      <c r="F811" s="215" t="s">
        <v>13378</v>
      </c>
      <c r="G811" s="215" t="s">
        <v>13</v>
      </c>
      <c r="H811" s="215" t="s">
        <v>13</v>
      </c>
      <c r="I811" s="214">
        <f>+I20</f>
        <v>12187104.41366885</v>
      </c>
      <c r="J811" s="299"/>
    </row>
    <row r="812" spans="1:10" s="219" customFormat="1" x14ac:dyDescent="0.3">
      <c r="B812" s="215" t="s">
        <v>13</v>
      </c>
      <c r="C812" s="215" t="s">
        <v>13</v>
      </c>
      <c r="D812" s="215" t="s">
        <v>13</v>
      </c>
      <c r="E812" s="217" t="s">
        <v>13936</v>
      </c>
      <c r="F812" s="215" t="s">
        <v>13</v>
      </c>
      <c r="G812" s="215" t="s">
        <v>13</v>
      </c>
      <c r="H812" s="215" t="s">
        <v>13</v>
      </c>
      <c r="I812" s="214">
        <f>SUM(I809:I811)</f>
        <v>185053833.68556741</v>
      </c>
      <c r="J812" s="299"/>
    </row>
    <row r="813" spans="1:10" x14ac:dyDescent="0.3">
      <c r="B813" s="204"/>
      <c r="C813" s="204"/>
      <c r="D813" s="204"/>
      <c r="E813" s="204"/>
      <c r="F813" s="204"/>
      <c r="G813" s="204"/>
      <c r="H813" s="204"/>
      <c r="I813" s="204"/>
      <c r="J813" s="297"/>
    </row>
    <row r="814" spans="1:10" s="219" customFormat="1" x14ac:dyDescent="0.3">
      <c r="B814" s="215" t="s">
        <v>13339</v>
      </c>
      <c r="C814" s="215" t="s">
        <v>13</v>
      </c>
      <c r="D814" s="216" t="s">
        <v>13</v>
      </c>
      <c r="E814" s="217" t="s">
        <v>13135</v>
      </c>
      <c r="F814" s="215" t="s">
        <v>13</v>
      </c>
      <c r="G814" s="214">
        <v>0</v>
      </c>
      <c r="H814" s="214">
        <v>0</v>
      </c>
      <c r="I814" s="214">
        <f>I1453</f>
        <v>154042249.90110841</v>
      </c>
      <c r="J814" s="299"/>
    </row>
    <row r="815" spans="1:10" s="219" customFormat="1" x14ac:dyDescent="0.3">
      <c r="B815" s="215" t="s">
        <v>13340</v>
      </c>
      <c r="C815" s="215" t="s">
        <v>13</v>
      </c>
      <c r="D815" s="216" t="s">
        <v>13</v>
      </c>
      <c r="E815" s="217" t="s">
        <v>14235</v>
      </c>
      <c r="F815" s="215" t="s">
        <v>13</v>
      </c>
      <c r="G815" s="214">
        <v>0</v>
      </c>
      <c r="H815" s="214">
        <v>0</v>
      </c>
      <c r="I815" s="214">
        <f>SUM(I816:I818)</f>
        <v>10144772.179381732</v>
      </c>
      <c r="J815" s="299"/>
    </row>
    <row r="816" spans="1:10" s="219" customFormat="1" x14ac:dyDescent="0.3">
      <c r="B816" s="202">
        <v>1</v>
      </c>
      <c r="C816" s="204" t="s">
        <v>12</v>
      </c>
      <c r="D816" s="203">
        <v>1</v>
      </c>
      <c r="E816" s="204" t="s">
        <v>14236</v>
      </c>
      <c r="F816" s="202" t="s">
        <v>13378</v>
      </c>
      <c r="G816" s="242">
        <v>4</v>
      </c>
      <c r="H816" s="242">
        <f>+$I$1450+$I$1451</f>
        <v>143897477.72172669</v>
      </c>
      <c r="I816" s="242">
        <f>+G816*H816/100</f>
        <v>5755899.1088690674</v>
      </c>
      <c r="J816" s="298" t="s">
        <v>14642</v>
      </c>
    </row>
    <row r="817" spans="1:10" s="219" customFormat="1" x14ac:dyDescent="0.3">
      <c r="B817" s="202">
        <v>2</v>
      </c>
      <c r="C817" s="204" t="s">
        <v>12</v>
      </c>
      <c r="D817" s="203">
        <v>1</v>
      </c>
      <c r="E817" s="204" t="s">
        <v>14237</v>
      </c>
      <c r="F817" s="202" t="s">
        <v>13378</v>
      </c>
      <c r="G817" s="242">
        <v>3</v>
      </c>
      <c r="H817" s="242">
        <f>+$I$1450+$I$1451</f>
        <v>143897477.72172669</v>
      </c>
      <c r="I817" s="242">
        <f>+G817*H817/100</f>
        <v>4316924.3316518012</v>
      </c>
      <c r="J817" s="294" t="s">
        <v>14643</v>
      </c>
    </row>
    <row r="818" spans="1:10" s="219" customFormat="1" x14ac:dyDescent="0.3">
      <c r="B818" s="202">
        <v>3</v>
      </c>
      <c r="C818" s="204" t="s">
        <v>12</v>
      </c>
      <c r="D818" s="203">
        <v>1</v>
      </c>
      <c r="E818" s="204" t="s">
        <v>14238</v>
      </c>
      <c r="F818" s="202" t="s">
        <v>13378</v>
      </c>
      <c r="G818" s="242">
        <v>0.05</v>
      </c>
      <c r="H818" s="242">
        <f>+$I$1450+$I$1451</f>
        <v>143897477.72172669</v>
      </c>
      <c r="I818" s="242">
        <f t="shared" ref="I818" si="108">+G818*H818/100</f>
        <v>71948.738860863348</v>
      </c>
      <c r="J818" s="294" t="s">
        <v>14643</v>
      </c>
    </row>
    <row r="819" spans="1:10" s="219" customFormat="1" x14ac:dyDescent="0.3">
      <c r="B819" s="215" t="s">
        <v>13342</v>
      </c>
      <c r="C819" s="215" t="s">
        <v>13</v>
      </c>
      <c r="D819" s="216" t="s">
        <v>13</v>
      </c>
      <c r="E819" s="217" t="s">
        <v>19</v>
      </c>
      <c r="F819" s="215" t="s">
        <v>13</v>
      </c>
      <c r="G819" s="214">
        <v>0</v>
      </c>
      <c r="H819" s="214">
        <v>0</v>
      </c>
      <c r="I819" s="214">
        <f>+I820+I1198+I1248+I1301+I1310+I1382+I1348</f>
        <v>129522228.99259776</v>
      </c>
      <c r="J819" s="299"/>
    </row>
    <row r="820" spans="1:10" x14ac:dyDescent="0.3">
      <c r="B820" s="202">
        <v>1</v>
      </c>
      <c r="C820" s="202" t="s">
        <v>13</v>
      </c>
      <c r="D820" s="203" t="s">
        <v>13</v>
      </c>
      <c r="E820" s="204" t="s">
        <v>22</v>
      </c>
      <c r="F820" s="202" t="s">
        <v>13</v>
      </c>
      <c r="G820" s="205">
        <v>0</v>
      </c>
      <c r="H820" s="205">
        <v>0</v>
      </c>
      <c r="I820" s="205">
        <f>+I821+I933+I1008+I1046+I1084+I1159</f>
        <v>84709228.936653733</v>
      </c>
      <c r="J820" s="299"/>
    </row>
    <row r="821" spans="1:10" s="219" customFormat="1" x14ac:dyDescent="0.3">
      <c r="B821" s="214">
        <v>0</v>
      </c>
      <c r="C821" s="215" t="s">
        <v>13</v>
      </c>
      <c r="D821" s="216" t="s">
        <v>13</v>
      </c>
      <c r="E821" s="217" t="s">
        <v>13346</v>
      </c>
      <c r="F821" s="215" t="s">
        <v>13</v>
      </c>
      <c r="G821" s="214">
        <v>0</v>
      </c>
      <c r="H821" s="214">
        <v>0</v>
      </c>
      <c r="I821" s="214">
        <f>+I822+I859+I896</f>
        <v>32679054.805798389</v>
      </c>
      <c r="J821" s="299"/>
    </row>
    <row r="822" spans="1:10" x14ac:dyDescent="0.3">
      <c r="A822" s="285" t="s">
        <v>14472</v>
      </c>
      <c r="B822" s="286" t="s">
        <v>11</v>
      </c>
      <c r="C822" s="209" t="s">
        <v>13</v>
      </c>
      <c r="D822" s="210" t="s">
        <v>13</v>
      </c>
      <c r="E822" s="211" t="s">
        <v>13136</v>
      </c>
      <c r="F822" s="209" t="s">
        <v>13</v>
      </c>
      <c r="G822" s="212">
        <v>0</v>
      </c>
      <c r="H822" s="212">
        <v>0</v>
      </c>
      <c r="I822" s="212">
        <f>SUM(I823:I858)</f>
        <v>7307178.0525274733</v>
      </c>
      <c r="J822" s="284" t="s">
        <v>14472</v>
      </c>
    </row>
    <row r="823" spans="1:10" x14ac:dyDescent="0.3">
      <c r="B823" s="202" t="s">
        <v>13202</v>
      </c>
      <c r="C823" s="202" t="s">
        <v>13</v>
      </c>
      <c r="D823" s="203" t="s">
        <v>13</v>
      </c>
      <c r="E823" s="204" t="s">
        <v>13203</v>
      </c>
      <c r="F823" s="202"/>
      <c r="G823" s="205"/>
      <c r="H823" s="205"/>
      <c r="I823" s="205"/>
      <c r="J823" s="299"/>
    </row>
    <row r="824" spans="1:10" ht="28.8" x14ac:dyDescent="0.3">
      <c r="B824" s="197" t="s">
        <v>13387</v>
      </c>
      <c r="C824" s="197" t="s">
        <v>13039</v>
      </c>
      <c r="D824" s="198" t="s">
        <v>11052</v>
      </c>
      <c r="E824" s="199" t="str">
        <f>VLOOKUP($D824,'Preços Unitários'!$B:$G,2,FALSE)</f>
        <v>Desmatamento, destocamento e limpeza de área com árvores de diâmetro até 0,15 m</v>
      </c>
      <c r="F824" s="197" t="str">
        <f>VLOOKUP($D824,'Preços Unitários'!$B:$G,3,FALSE)</f>
        <v>m²</v>
      </c>
      <c r="G824" s="200">
        <f>+'MC Canais'!J613</f>
        <v>78000</v>
      </c>
      <c r="H824" s="200">
        <f>VLOOKUP($D824,'Preços Unitários'!$B:$G,6,FALSE)</f>
        <v>0.87688999999999995</v>
      </c>
      <c r="I824" s="201">
        <f>+G824*H824</f>
        <v>68397.42</v>
      </c>
      <c r="J824" s="299"/>
    </row>
    <row r="825" spans="1:10" ht="43.2" x14ac:dyDescent="0.3">
      <c r="B825" s="197" t="s">
        <v>13388</v>
      </c>
      <c r="C825" s="197" t="s">
        <v>13039</v>
      </c>
      <c r="D825" s="198" t="s">
        <v>11092</v>
      </c>
      <c r="E825" s="199" t="str">
        <f>VLOOKUP($D825,'Preços Unitários'!$B:$G,2,FALSE)</f>
        <v>Escavação, carga e transporte de material de 1ª categoria - DMT de 1.000 a 1.200 m - caminho de serviço em leito natural - com escavadeira e caminhão basculante de 14 m³</v>
      </c>
      <c r="F825" s="197" t="str">
        <f>VLOOKUP($D825,'Preços Unitários'!$B:$G,3,FALSE)</f>
        <v>m³</v>
      </c>
      <c r="G825" s="200">
        <f>+'MC Canais'!J614</f>
        <v>1049.1099999999999</v>
      </c>
      <c r="H825" s="200">
        <f>VLOOKUP($D825,'Preços Unitários'!$B:$G,6,FALSE)</f>
        <v>10.673003999999999</v>
      </c>
      <c r="I825" s="201">
        <f t="shared" ref="I825:I837" si="109">+G825*H825</f>
        <v>11197.155226439998</v>
      </c>
      <c r="J825" s="299"/>
    </row>
    <row r="826" spans="1:10" x14ac:dyDescent="0.3">
      <c r="B826" s="197" t="s">
        <v>13389</v>
      </c>
      <c r="C826" s="197" t="s">
        <v>13039</v>
      </c>
      <c r="D826" s="198" t="s">
        <v>11046</v>
      </c>
      <c r="E826" s="213" t="str">
        <f>VLOOKUP($D826,'Preços Unitários'!$B:$G,2,FALSE)</f>
        <v>Compactação de aterros a 100% do Proctor normal</v>
      </c>
      <c r="F826" s="197" t="str">
        <f>VLOOKUP($D826,'Preços Unitários'!$B:$G,3,FALSE)</f>
        <v>m³</v>
      </c>
      <c r="G826" s="200">
        <f>+'MC Canais'!J615</f>
        <v>86734.59</v>
      </c>
      <c r="H826" s="200">
        <f>VLOOKUP($D826,'Preços Unitários'!$B:$G,6,FALSE)</f>
        <v>7.1028090000000006</v>
      </c>
      <c r="I826" s="201">
        <f t="shared" si="109"/>
        <v>616059.22646331007</v>
      </c>
      <c r="J826" s="299"/>
    </row>
    <row r="827" spans="1:10" ht="28.8" x14ac:dyDescent="0.3">
      <c r="B827" s="197" t="s">
        <v>13390</v>
      </c>
      <c r="C827" s="197" t="s">
        <v>13039</v>
      </c>
      <c r="D827" s="198" t="s">
        <v>11947</v>
      </c>
      <c r="E827" s="199" t="str">
        <f>VLOOKUP($D827,'Preços Unitários'!$B:$G,2,FALSE)</f>
        <v>Transporte com caminhão basculante de 14 m³ - rodovia em leito natural</v>
      </c>
      <c r="F827" s="197" t="str">
        <f>VLOOKUP($D827,'Preços Unitários'!$B:$G,3,FALSE)</f>
        <v>tkm</v>
      </c>
      <c r="G827" s="200">
        <f>+'MC Canais'!J616</f>
        <v>599798.36</v>
      </c>
      <c r="H827" s="200">
        <f>VLOOKUP($D827,'Preços Unitários'!$B:$G,6,FALSE)</f>
        <v>1.165011</v>
      </c>
      <c r="I827" s="201">
        <f t="shared" si="109"/>
        <v>698771.68718195998</v>
      </c>
      <c r="J827" s="299"/>
    </row>
    <row r="828" spans="1:10" x14ac:dyDescent="0.3">
      <c r="B828" s="197" t="s">
        <v>13391</v>
      </c>
      <c r="C828" s="197" t="s">
        <v>13039</v>
      </c>
      <c r="D828" s="198" t="s">
        <v>9440</v>
      </c>
      <c r="E828" s="199" t="str">
        <f>VLOOKUP($D828,'Preços Unitários'!$B:$G,2,FALSE)</f>
        <v>Regularização de superfície com motoniveladora</v>
      </c>
      <c r="F828" s="197" t="str">
        <f>VLOOKUP($D828,'Preços Unitários'!$B:$G,3,FALSE)</f>
        <v>m²</v>
      </c>
      <c r="G828" s="200">
        <f>+'MC Canais'!J617</f>
        <v>3510</v>
      </c>
      <c r="H828" s="200">
        <f>VLOOKUP($D828,'Preços Unitários'!$B:$G,6,FALSE)</f>
        <v>0.100216</v>
      </c>
      <c r="I828" s="201">
        <f>+G828*H828</f>
        <v>351.75815999999998</v>
      </c>
      <c r="J828" s="299"/>
    </row>
    <row r="829" spans="1:10" ht="28.8" x14ac:dyDescent="0.3">
      <c r="B829" s="197" t="s">
        <v>13392</v>
      </c>
      <c r="C829" s="197" t="s">
        <v>12</v>
      </c>
      <c r="D829" s="198" t="s">
        <v>13205</v>
      </c>
      <c r="E829" s="199" t="s">
        <v>13204</v>
      </c>
      <c r="F829" s="197" t="s">
        <v>2904</v>
      </c>
      <c r="G829" s="200">
        <f>+'MC Canais'!J618</f>
        <v>5449.1</v>
      </c>
      <c r="H829" s="200">
        <f>+'Composições de Preços'!$F$87</f>
        <v>59.387948601153852</v>
      </c>
      <c r="I829" s="201">
        <f t="shared" si="109"/>
        <v>323610.87072254746</v>
      </c>
      <c r="J829" s="299"/>
    </row>
    <row r="830" spans="1:10" ht="28.8" x14ac:dyDescent="0.3">
      <c r="B830" s="197" t="s">
        <v>13393</v>
      </c>
      <c r="C830" s="197" t="s">
        <v>12</v>
      </c>
      <c r="D830" s="198" t="s">
        <v>14504</v>
      </c>
      <c r="E830" s="199" t="s">
        <v>14497</v>
      </c>
      <c r="F830" s="197" t="s">
        <v>427</v>
      </c>
      <c r="G830" s="200">
        <f>+'MC Canais'!J619</f>
        <v>4359.2</v>
      </c>
      <c r="H830" s="200">
        <f>+'Composições de Preços'!$F$446</f>
        <v>99.894988108799993</v>
      </c>
      <c r="I830" s="201">
        <f t="shared" si="109"/>
        <v>435462.23216388089</v>
      </c>
      <c r="J830" s="299"/>
    </row>
    <row r="831" spans="1:10" ht="28.8" x14ac:dyDescent="0.3">
      <c r="B831" s="197" t="s">
        <v>13394</v>
      </c>
      <c r="C831" s="197" t="s">
        <v>12</v>
      </c>
      <c r="D831" s="198" t="s">
        <v>13192</v>
      </c>
      <c r="E831" s="199" t="s">
        <v>13191</v>
      </c>
      <c r="F831" s="197" t="s">
        <v>2904</v>
      </c>
      <c r="G831" s="200">
        <f>+'MC Canais'!J620</f>
        <v>21796</v>
      </c>
      <c r="H831" s="200">
        <f>+'Composições de Preços'!$F$44</f>
        <v>73.117919302000004</v>
      </c>
      <c r="I831" s="201">
        <f t="shared" si="109"/>
        <v>1593678.1691063922</v>
      </c>
      <c r="J831" s="299"/>
    </row>
    <row r="832" spans="1:10" ht="28.8" x14ac:dyDescent="0.3">
      <c r="B832" s="197" t="s">
        <v>13395</v>
      </c>
      <c r="C832" s="197" t="s">
        <v>12</v>
      </c>
      <c r="D832" s="198" t="s">
        <v>14506</v>
      </c>
      <c r="E832" s="199" t="s">
        <v>14505</v>
      </c>
      <c r="F832" s="197" t="s">
        <v>427</v>
      </c>
      <c r="G832" s="200">
        <f>+'MC Canais'!J621</f>
        <v>3900</v>
      </c>
      <c r="H832" s="200">
        <f>+'Composições de Preços'!$F$492</f>
        <v>107.93859485200001</v>
      </c>
      <c r="I832" s="201">
        <f t="shared" si="109"/>
        <v>420960.51992280001</v>
      </c>
      <c r="J832" s="299"/>
    </row>
    <row r="833" spans="2:10" ht="28.8" x14ac:dyDescent="0.3">
      <c r="B833" s="197" t="s">
        <v>13396</v>
      </c>
      <c r="C833" s="197" t="s">
        <v>13039</v>
      </c>
      <c r="D833" s="198" t="s">
        <v>3149</v>
      </c>
      <c r="E833" s="199" t="str">
        <f>VLOOKUP($D833,'Preços Unitários'!$B:$G,2,FALSE)</f>
        <v>Concreto para bombeamento fck = 30 MPa - confecção em central dosadora de 30 m³/h - areia e brita comerciais</v>
      </c>
      <c r="F833" s="197" t="str">
        <f>VLOOKUP($D833,'Preços Unitários'!$B:$G,3,FALSE)</f>
        <v>m³</v>
      </c>
      <c r="G833" s="200">
        <f>+'MC Canais'!J622</f>
        <v>1525.7200000000003</v>
      </c>
      <c r="H833" s="200">
        <f>VLOOKUP($D833,'Preços Unitários'!$B:$G,6,FALSE)</f>
        <v>575.92882499999996</v>
      </c>
      <c r="I833" s="201">
        <f t="shared" si="109"/>
        <v>878706.1268790001</v>
      </c>
      <c r="J833" s="299"/>
    </row>
    <row r="834" spans="2:10" ht="43.2" x14ac:dyDescent="0.3">
      <c r="B834" s="197" t="s">
        <v>13397</v>
      </c>
      <c r="C834" s="197" t="s">
        <v>13039</v>
      </c>
      <c r="D834" s="198" t="s">
        <v>3201</v>
      </c>
      <c r="E834" s="199" t="str">
        <f>VLOOKUP($D834,'Preços Unitários'!$B:$G,2,FALSE)</f>
        <v>Lançamento mecânico de concreto com bomba rebocável com capacidade de 30 m³/h - confecção em central dosadora de 30 m³/h</v>
      </c>
      <c r="F834" s="197" t="str">
        <f>VLOOKUP($D834,'Preços Unitários'!$B:$G,3,FALSE)</f>
        <v>m³</v>
      </c>
      <c r="G834" s="200">
        <f>+'MC Canais'!J623</f>
        <v>1525.7200000000003</v>
      </c>
      <c r="H834" s="200">
        <f>VLOOKUP($D834,'Preços Unitários'!$B:$G,6,FALSE)</f>
        <v>86.285976000000005</v>
      </c>
      <c r="I834" s="201">
        <f t="shared" si="109"/>
        <v>131648.23930272003</v>
      </c>
      <c r="J834"/>
    </row>
    <row r="835" spans="2:10" ht="28.8" x14ac:dyDescent="0.3">
      <c r="B835" s="197" t="s">
        <v>14516</v>
      </c>
      <c r="C835" s="197" t="s">
        <v>13039</v>
      </c>
      <c r="D835" s="198" t="s">
        <v>206</v>
      </c>
      <c r="E835" s="199" t="str">
        <f>VLOOKUP($D835,'Preços Unitários'!$B:$G,2,FALSE)</f>
        <v>Lábios poliméricos em junta de pavimento de concreto - L = 20 mm e H = 30 mm - confecção e assentamento</v>
      </c>
      <c r="F835" s="197" t="str">
        <f>VLOOKUP($D835,'Preços Unitários'!$B:$G,3,FALSE)</f>
        <v>m</v>
      </c>
      <c r="G835" s="200">
        <f>+'MC Canais'!J624</f>
        <v>11485.500000000002</v>
      </c>
      <c r="H835" s="200">
        <f>VLOOKUP($D835,'Preços Unitários'!$B:$G,6,FALSE)</f>
        <v>39.635428000000005</v>
      </c>
      <c r="I835" s="201">
        <f t="shared" si="109"/>
        <v>455232.70829400013</v>
      </c>
      <c r="J835" s="297"/>
    </row>
    <row r="836" spans="2:10" x14ac:dyDescent="0.3">
      <c r="B836" s="197" t="s">
        <v>14517</v>
      </c>
      <c r="C836" s="197" t="s">
        <v>12</v>
      </c>
      <c r="D836" s="198" t="s">
        <v>13209</v>
      </c>
      <c r="E836" s="199" t="s">
        <v>13208</v>
      </c>
      <c r="F836" s="197" t="s">
        <v>195</v>
      </c>
      <c r="G836" s="200">
        <f>+'MC Canais'!J625</f>
        <v>3900</v>
      </c>
      <c r="H836" s="200">
        <f>+'Composições de Preços'!$F$130</f>
        <v>37.70076957596789</v>
      </c>
      <c r="I836" s="201">
        <f t="shared" si="109"/>
        <v>147033.00134627477</v>
      </c>
      <c r="J836" s="299"/>
    </row>
    <row r="837" spans="2:10" ht="28.8" x14ac:dyDescent="0.3">
      <c r="B837" s="197" t="s">
        <v>14573</v>
      </c>
      <c r="C837" s="197" t="s">
        <v>13039</v>
      </c>
      <c r="D837" s="198" t="s">
        <v>9446</v>
      </c>
      <c r="E837" s="199" t="str">
        <f>VLOOKUP($D837,'Preços Unitários'!$B:$G,2,FALSE)</f>
        <v>Revestimento vegetal com grama em mudas em superfícies inclinadas</v>
      </c>
      <c r="F837" s="197" t="str">
        <f>VLOOKUP($D837,'Preços Unitários'!$B:$G,3,FALSE)</f>
        <v>m²</v>
      </c>
      <c r="G837" s="200">
        <f>+'MC Canais'!J626</f>
        <v>23400</v>
      </c>
      <c r="H837" s="200">
        <f>VLOOKUP($D837,'Preços Unitários'!$B:$G,6,FALSE)</f>
        <v>9.984019</v>
      </c>
      <c r="I837" s="201">
        <f t="shared" si="109"/>
        <v>233626.04459999999</v>
      </c>
      <c r="J837" s="299"/>
    </row>
    <row r="838" spans="2:10" x14ac:dyDescent="0.3">
      <c r="B838" s="202" t="s">
        <v>13221</v>
      </c>
      <c r="C838" s="202" t="s">
        <v>13</v>
      </c>
      <c r="D838" s="203" t="s">
        <v>13</v>
      </c>
      <c r="E838" s="204" t="s">
        <v>13222</v>
      </c>
      <c r="F838" s="202"/>
      <c r="G838" s="200">
        <f>+'MC Canais'!J627</f>
        <v>0</v>
      </c>
      <c r="H838" s="205"/>
      <c r="I838" s="205"/>
      <c r="J838" s="299"/>
    </row>
    <row r="839" spans="2:10" x14ac:dyDescent="0.3">
      <c r="B839" s="197" t="s">
        <v>13398</v>
      </c>
      <c r="C839" s="197" t="s">
        <v>13039</v>
      </c>
      <c r="D839" s="198" t="s">
        <v>9806</v>
      </c>
      <c r="E839" s="199" t="str">
        <f>VLOOKUP($D839,'Preços Unitários'!$B:$G,2,FALSE)</f>
        <v>Escavação mecânica de vala em material de 1ª categoria</v>
      </c>
      <c r="F839" s="197" t="str">
        <f>VLOOKUP($D839,'Preços Unitários'!$B:$G,3,FALSE)</f>
        <v>m³</v>
      </c>
      <c r="G839" s="200">
        <f>+'MC Canais'!J628</f>
        <v>1638</v>
      </c>
      <c r="H839" s="200">
        <f>VLOOKUP($D839,'Preços Unitários'!$B:$G,6,FALSE)</f>
        <v>8.7313189999999992</v>
      </c>
      <c r="I839" s="201">
        <f t="shared" ref="I839:I845" si="110">+G839*H839</f>
        <v>14301.900521999998</v>
      </c>
      <c r="J839" s="299"/>
    </row>
    <row r="840" spans="2:10" x14ac:dyDescent="0.3">
      <c r="B840" s="197" t="s">
        <v>13399</v>
      </c>
      <c r="C840" s="197" t="s">
        <v>13039</v>
      </c>
      <c r="D840" s="198" t="s">
        <v>9830</v>
      </c>
      <c r="E840" s="199" t="str">
        <f>VLOOKUP($D840,'Preços Unitários'!$B:$G,2,FALSE)</f>
        <v>Reaterro e compactação com soquete vibratório</v>
      </c>
      <c r="F840" s="197" t="str">
        <f>VLOOKUP($D840,'Preços Unitários'!$B:$G,3,FALSE)</f>
        <v>m³</v>
      </c>
      <c r="G840" s="200">
        <f>+'MC Canais'!J629</f>
        <v>936</v>
      </c>
      <c r="H840" s="200">
        <f>VLOOKUP($D840,'Preços Unitários'!$B:$G,6,FALSE)</f>
        <v>22.611235000000001</v>
      </c>
      <c r="I840" s="201">
        <f t="shared" si="110"/>
        <v>21164.115959999999</v>
      </c>
      <c r="J840" s="299"/>
    </row>
    <row r="841" spans="2:10" ht="28.8" x14ac:dyDescent="0.3">
      <c r="B841" s="197" t="s">
        <v>13400</v>
      </c>
      <c r="C841" s="197" t="s">
        <v>13039</v>
      </c>
      <c r="D841" s="198" t="s">
        <v>11947</v>
      </c>
      <c r="E841" s="199" t="str">
        <f>VLOOKUP($D841,'Preços Unitários'!$B:$G,2,FALSE)</f>
        <v>Transporte com caminhão basculante de 14 m³ - rodovia em leito natural</v>
      </c>
      <c r="F841" s="197" t="str">
        <f>VLOOKUP($D841,'Preços Unitários'!$B:$G,3,FALSE)</f>
        <v>tkm</v>
      </c>
      <c r="G841" s="200">
        <f>+'MC Canais'!J630</f>
        <v>4914</v>
      </c>
      <c r="H841" s="200">
        <f>VLOOKUP($D841,'Preços Unitários'!$B:$G,6,FALSE)</f>
        <v>1.165011</v>
      </c>
      <c r="I841" s="201">
        <f t="shared" si="110"/>
        <v>5724.8640539999997</v>
      </c>
      <c r="J841" s="299"/>
    </row>
    <row r="842" spans="2:10" ht="28.8" x14ac:dyDescent="0.3">
      <c r="B842" s="197" t="s">
        <v>13401</v>
      </c>
      <c r="C842" s="197" t="s">
        <v>12</v>
      </c>
      <c r="D842" s="198" t="s">
        <v>13224</v>
      </c>
      <c r="E842" s="199" t="s">
        <v>13223</v>
      </c>
      <c r="F842" s="197" t="s">
        <v>2904</v>
      </c>
      <c r="G842" s="200">
        <f>+'MC Canais'!J631</f>
        <v>4680</v>
      </c>
      <c r="H842" s="200">
        <f>+'Composições de Preços'!$F$173</f>
        <v>26.052132569499999</v>
      </c>
      <c r="I842" s="201">
        <f t="shared" si="110"/>
        <v>121923.98042526</v>
      </c>
      <c r="J842" s="299"/>
    </row>
    <row r="843" spans="2:10" ht="28.8" x14ac:dyDescent="0.3">
      <c r="B843" s="197" t="s">
        <v>13402</v>
      </c>
      <c r="C843" s="197" t="s">
        <v>13039</v>
      </c>
      <c r="D843" s="198" t="s">
        <v>6908</v>
      </c>
      <c r="E843" s="199" t="str">
        <f>VLOOKUP($D843,'Preços Unitários'!$B:$G,2,FALSE)</f>
        <v>Tubo de concreto perfurado produzido na obra para drenagem - D = 0,40 m - fornecimento e instalação</v>
      </c>
      <c r="F843" s="197" t="str">
        <f>VLOOKUP($D843,'Preços Unitários'!$B:$G,3,FALSE)</f>
        <v>m</v>
      </c>
      <c r="G843" s="200">
        <f>+'MC Canais'!J632</f>
        <v>1950</v>
      </c>
      <c r="H843" s="200">
        <f>VLOOKUP($D843,'Preços Unitários'!$B:$G,6,FALSE)</f>
        <v>116.764167</v>
      </c>
      <c r="I843" s="201">
        <f t="shared" si="110"/>
        <v>227690.12565</v>
      </c>
      <c r="J843" s="299"/>
    </row>
    <row r="844" spans="2:10" ht="28.8" x14ac:dyDescent="0.3">
      <c r="B844" s="197" t="s">
        <v>13403</v>
      </c>
      <c r="C844" s="197" t="s">
        <v>13039</v>
      </c>
      <c r="D844" s="198" t="s">
        <v>6438</v>
      </c>
      <c r="E844" s="199" t="str">
        <f>VLOOKUP($D844,'Preços Unitários'!$B:$G,2,FALSE)</f>
        <v>Lastro de brita comercial compactado com soquete vibratório - espalhamento manual</v>
      </c>
      <c r="F844" s="197" t="str">
        <f>VLOOKUP($D844,'Preços Unitários'!$B:$G,3,FALSE)</f>
        <v>m³</v>
      </c>
      <c r="G844" s="200">
        <f>+'MC Canais'!J633</f>
        <v>457.07999999999993</v>
      </c>
      <c r="H844" s="200">
        <f>VLOOKUP($D844,'Preços Unitários'!$B:$G,6,FALSE)</f>
        <v>239.34086200000002</v>
      </c>
      <c r="I844" s="201">
        <f t="shared" si="110"/>
        <v>109397.92120295999</v>
      </c>
      <c r="J844" s="299"/>
    </row>
    <row r="845" spans="2:10" x14ac:dyDescent="0.3">
      <c r="B845" s="197" t="s">
        <v>13404</v>
      </c>
      <c r="C845" s="197" t="s">
        <v>13039</v>
      </c>
      <c r="D845" s="206" t="s">
        <v>6430</v>
      </c>
      <c r="E845" s="199" t="str">
        <f>VLOOKUP($D845,'Preços Unitários'!$B:$G,2,FALSE)</f>
        <v>Lastro de areia comercial - espalhamento manual</v>
      </c>
      <c r="F845" s="197" t="str">
        <f>VLOOKUP($D845,'Preços Unitários'!$B:$G,3,FALSE)</f>
        <v>m³</v>
      </c>
      <c r="G845" s="200">
        <f>+'MC Canais'!J634</f>
        <v>234</v>
      </c>
      <c r="H845" s="200">
        <f>VLOOKUP($D845,'Preços Unitários'!$B:$G,6,FALSE)</f>
        <v>198.06439700000001</v>
      </c>
      <c r="I845" s="201">
        <f t="shared" si="110"/>
        <v>46347.068898000005</v>
      </c>
      <c r="J845" s="299"/>
    </row>
    <row r="846" spans="2:10" s="243" customFormat="1" ht="28.8" x14ac:dyDescent="0.3">
      <c r="B846" s="197" t="s">
        <v>13227</v>
      </c>
      <c r="C846" s="197" t="s">
        <v>13</v>
      </c>
      <c r="D846" s="198" t="s">
        <v>13</v>
      </c>
      <c r="E846" s="207" t="s">
        <v>13228</v>
      </c>
      <c r="F846" s="197"/>
      <c r="G846" s="200">
        <f>+'MC Canais'!J635</f>
        <v>0</v>
      </c>
      <c r="H846" s="201"/>
      <c r="I846" s="201"/>
      <c r="J846" s="299"/>
    </row>
    <row r="847" spans="2:10" ht="28.8" x14ac:dyDescent="0.3">
      <c r="B847" s="197" t="s">
        <v>13405</v>
      </c>
      <c r="C847" s="197" t="s">
        <v>13039</v>
      </c>
      <c r="D847" s="198" t="s">
        <v>6964</v>
      </c>
      <c r="E847" s="199" t="str">
        <f>VLOOKUP($D847,'Preços Unitários'!$B:$G,2,FALSE)</f>
        <v>Valeta de proteção de cortes com revestimento vegetal - VPCG 120-30 - escavação mecânica</v>
      </c>
      <c r="F847" s="197" t="str">
        <f>VLOOKUP($D847,'Preços Unitários'!$B:$G,3,FALSE)</f>
        <v>m</v>
      </c>
      <c r="G847" s="200">
        <f>+'MC Canais'!J636</f>
        <v>3900</v>
      </c>
      <c r="H847" s="200">
        <f>VLOOKUP($D847,'Preços Unitários'!$B:$G,6,FALSE)</f>
        <v>51.961995999999999</v>
      </c>
      <c r="I847" s="201">
        <f t="shared" ref="I847:I850" si="111">+G847*H847</f>
        <v>202651.7844</v>
      </c>
      <c r="J847" s="297"/>
    </row>
    <row r="848" spans="2:10" ht="28.8" x14ac:dyDescent="0.3">
      <c r="B848" s="197" t="s">
        <v>13406</v>
      </c>
      <c r="C848" s="197" t="s">
        <v>13039</v>
      </c>
      <c r="D848" s="198" t="s">
        <v>6744</v>
      </c>
      <c r="E848" s="199" t="str">
        <f>VLOOKUP($D848,'Preços Unitários'!$B:$G,2,FALSE)</f>
        <v>Sarjeta triangular de grama - STG 125-25 - escavação mecânica</v>
      </c>
      <c r="F848" s="197" t="str">
        <f>VLOOKUP($D848,'Preços Unitários'!$B:$G,3,FALSE)</f>
        <v>m</v>
      </c>
      <c r="G848" s="200">
        <f>+'MC Canais'!J637</f>
        <v>3900</v>
      </c>
      <c r="H848" s="200">
        <f>VLOOKUP($D848,'Preços Unitários'!$B:$G,6,FALSE)</f>
        <v>29.776679000000001</v>
      </c>
      <c r="I848" s="201">
        <f t="shared" si="111"/>
        <v>116129.0481</v>
      </c>
      <c r="J848" s="299"/>
    </row>
    <row r="849" spans="1:10" ht="28.8" x14ac:dyDescent="0.3">
      <c r="B849" s="197" t="s">
        <v>13407</v>
      </c>
      <c r="C849" s="197" t="s">
        <v>13039</v>
      </c>
      <c r="D849" s="198" t="s">
        <v>2740</v>
      </c>
      <c r="E849" s="199" t="str">
        <f>VLOOKUP($D849,'Preços Unitários'!$B:$G,2,FALSE)</f>
        <v>Corpo de BSTC D = 0,80 m PA1 - areia, brita e pedra de mão comerciais</v>
      </c>
      <c r="F849" s="197" t="str">
        <f>VLOOKUP($D849,'Preços Unitários'!$B:$G,3,FALSE)</f>
        <v>m</v>
      </c>
      <c r="G849" s="200">
        <f>+'MC Canais'!J638</f>
        <v>78</v>
      </c>
      <c r="H849" s="200">
        <f>VLOOKUP($D849,'Preços Unitários'!$B:$G,6,FALSE)</f>
        <v>799.67357200000004</v>
      </c>
      <c r="I849" s="201">
        <f t="shared" si="111"/>
        <v>62374.538616000005</v>
      </c>
      <c r="J849" s="299"/>
    </row>
    <row r="850" spans="1:10" ht="28.8" x14ac:dyDescent="0.3">
      <c r="B850" s="197" t="s">
        <v>13408</v>
      </c>
      <c r="C850" s="197" t="s">
        <v>13039</v>
      </c>
      <c r="D850" s="208" t="s">
        <v>2172</v>
      </c>
      <c r="E850" s="199" t="str">
        <f>VLOOKUP($D850,'Preços Unitários'!$B:$G,2,FALSE)</f>
        <v>Boca de BSTC D = 0,80 m - esconsidade 0° - areia e brita comerciais - alas retas</v>
      </c>
      <c r="F850" s="197" t="str">
        <f>VLOOKUP($D850,'Preços Unitários'!$B:$G,3,FALSE)</f>
        <v>un</v>
      </c>
      <c r="G850" s="200">
        <f>+'MC Canais'!J639</f>
        <v>6</v>
      </c>
      <c r="H850" s="200">
        <f>VLOOKUP($D850,'Preços Unitários'!$B:$G,6,FALSE)</f>
        <v>1606.687966</v>
      </c>
      <c r="I850" s="201">
        <f t="shared" si="111"/>
        <v>9640.1277960000007</v>
      </c>
      <c r="J850" s="299"/>
    </row>
    <row r="851" spans="1:10" s="243" customFormat="1" x14ac:dyDescent="0.3">
      <c r="B851" s="197" t="s">
        <v>13229</v>
      </c>
      <c r="C851" s="197" t="s">
        <v>13</v>
      </c>
      <c r="D851" s="198" t="s">
        <v>13</v>
      </c>
      <c r="E851" s="207" t="s">
        <v>13230</v>
      </c>
      <c r="F851" s="197"/>
      <c r="G851" s="200">
        <f>+'MC Canais'!J640</f>
        <v>0</v>
      </c>
      <c r="H851" s="201"/>
      <c r="I851" s="201"/>
      <c r="J851" s="299"/>
    </row>
    <row r="852" spans="1:10" ht="28.8" x14ac:dyDescent="0.3">
      <c r="B852" s="197" t="s">
        <v>13409</v>
      </c>
      <c r="C852" s="197" t="s">
        <v>13039</v>
      </c>
      <c r="D852" s="198" t="s">
        <v>11088</v>
      </c>
      <c r="E852" s="199" t="str">
        <f>VLOOKUP($D852,'Preços Unitários'!$B:$G,2,FALSE)</f>
        <v>Escavação mecânica com retroescavadeira em material de 1ª categoria</v>
      </c>
      <c r="F852" s="197" t="str">
        <f>VLOOKUP($D852,'Preços Unitários'!$B:$G,3,FALSE)</f>
        <v>m³</v>
      </c>
      <c r="G852" s="200">
        <f>+'MC Canais'!J641</f>
        <v>2047.5</v>
      </c>
      <c r="H852" s="200">
        <f>VLOOKUP($D852,'Preços Unitários'!$B:$G,6,FALSE)</f>
        <v>8.7313189999999992</v>
      </c>
      <c r="I852" s="201">
        <f t="shared" ref="I852:I856" si="112">+G852*H852</f>
        <v>17877.375652499999</v>
      </c>
      <c r="J852" s="299"/>
    </row>
    <row r="853" spans="1:10" x14ac:dyDescent="0.3">
      <c r="B853" s="197" t="s">
        <v>13410</v>
      </c>
      <c r="C853" s="197" t="s">
        <v>13039</v>
      </c>
      <c r="D853" s="198" t="s">
        <v>11046</v>
      </c>
      <c r="E853" s="199" t="str">
        <f>VLOOKUP($D853,'Preços Unitários'!$B:$G,2,FALSE)</f>
        <v>Compactação de aterros a 100% do Proctor normal</v>
      </c>
      <c r="F853" s="197" t="str">
        <f>VLOOKUP($D853,'Preços Unitários'!$B:$G,3,FALSE)</f>
        <v>m³</v>
      </c>
      <c r="G853" s="200">
        <f>+'MC Canais'!J642</f>
        <v>1365</v>
      </c>
      <c r="H853" s="200">
        <f>VLOOKUP($D853,'Preços Unitários'!$B:$G,6,FALSE)</f>
        <v>7.1028090000000006</v>
      </c>
      <c r="I853" s="201">
        <f t="shared" si="112"/>
        <v>9695.3342850000008</v>
      </c>
      <c r="J853" s="299"/>
    </row>
    <row r="854" spans="1:10" ht="28.8" x14ac:dyDescent="0.3">
      <c r="B854" s="197" t="s">
        <v>13412</v>
      </c>
      <c r="C854" s="197" t="s">
        <v>13039</v>
      </c>
      <c r="D854" s="198" t="s">
        <v>11947</v>
      </c>
      <c r="E854" s="199" t="str">
        <f>VLOOKUP($D854,'Preços Unitários'!$B:$G,2,FALSE)</f>
        <v>Transporte com caminhão basculante de 14 m³ - rodovia em leito natural</v>
      </c>
      <c r="F854" s="197" t="str">
        <f>VLOOKUP($D854,'Preços Unitários'!$B:$G,3,FALSE)</f>
        <v>tkm</v>
      </c>
      <c r="G854" s="200">
        <f>+'MC Canais'!J643</f>
        <v>682.5</v>
      </c>
      <c r="H854" s="200">
        <f>VLOOKUP($D854,'Preços Unitários'!$B:$G,6,FALSE)</f>
        <v>1.165011</v>
      </c>
      <c r="I854" s="201">
        <f t="shared" si="112"/>
        <v>795.12000750000004</v>
      </c>
      <c r="J854" s="299"/>
    </row>
    <row r="855" spans="1:10" x14ac:dyDescent="0.3">
      <c r="B855" s="197" t="s">
        <v>13413</v>
      </c>
      <c r="C855" s="197" t="s">
        <v>13039</v>
      </c>
      <c r="D855" s="198" t="s">
        <v>9440</v>
      </c>
      <c r="E855" s="199" t="str">
        <f>VLOOKUP($D855,'Preços Unitários'!$B:$G,2,FALSE)</f>
        <v>Regularização de superfície com motoniveladora</v>
      </c>
      <c r="F855" s="197" t="str">
        <f>VLOOKUP($D855,'Preços Unitários'!$B:$G,3,FALSE)</f>
        <v>m²</v>
      </c>
      <c r="G855" s="200">
        <f>+'MC Canais'!J644</f>
        <v>13650</v>
      </c>
      <c r="H855" s="200">
        <f>VLOOKUP($D855,'Preços Unitários'!$B:$G,6,FALSE)</f>
        <v>0.100216</v>
      </c>
      <c r="I855" s="201">
        <f t="shared" si="112"/>
        <v>1367.9484</v>
      </c>
      <c r="J855" s="299"/>
    </row>
    <row r="856" spans="1:10" x14ac:dyDescent="0.3">
      <c r="B856" s="197" t="s">
        <v>13411</v>
      </c>
      <c r="C856" s="197" t="s">
        <v>12</v>
      </c>
      <c r="D856" s="198" t="s">
        <v>13232</v>
      </c>
      <c r="E856" s="199" t="s">
        <v>13231</v>
      </c>
      <c r="F856" s="197" t="s">
        <v>427</v>
      </c>
      <c r="G856" s="200">
        <f>+'MC Canais'!J645</f>
        <v>1023.75</v>
      </c>
      <c r="H856" s="200">
        <f>+'Composições de Preços'!$F$216</f>
        <v>214.40019935426301</v>
      </c>
      <c r="I856" s="201">
        <f t="shared" si="112"/>
        <v>219492.20408892675</v>
      </c>
      <c r="J856" s="299"/>
    </row>
    <row r="857" spans="1:10" s="243" customFormat="1" x14ac:dyDescent="0.3">
      <c r="B857" s="197" t="s">
        <v>13241</v>
      </c>
      <c r="C857" s="197" t="s">
        <v>13</v>
      </c>
      <c r="D857" s="198" t="s">
        <v>13</v>
      </c>
      <c r="E857" s="207" t="s">
        <v>13386</v>
      </c>
      <c r="F857" s="197"/>
      <c r="G857" s="200">
        <f>+'MC Canais'!J646</f>
        <v>0</v>
      </c>
      <c r="H857" s="201"/>
      <c r="I857" s="201"/>
      <c r="J857" s="299"/>
    </row>
    <row r="858" spans="1:10" ht="28.8" x14ac:dyDescent="0.3">
      <c r="B858" s="197" t="s">
        <v>13414</v>
      </c>
      <c r="C858" s="197" t="s">
        <v>13039</v>
      </c>
      <c r="D858" s="198" t="s">
        <v>8625</v>
      </c>
      <c r="E858" s="199" t="str">
        <f>VLOOKUP($D858,'Preços Unitários'!$B:$G,2,FALSE)</f>
        <v>Cerca com 4 fios de arame liso galvanizado e mourão de madeira a cada 2,5 m e esticador a cada 50 m</v>
      </c>
      <c r="F858" s="197" t="str">
        <f>VLOOKUP($D858,'Preços Unitários'!$B:$G,3,FALSE)</f>
        <v>m</v>
      </c>
      <c r="G858" s="200">
        <f>+'MC Canais'!J647</f>
        <v>3900</v>
      </c>
      <c r="H858" s="200">
        <f>VLOOKUP($D858,'Preços Unitários'!$B:$G,6,FALSE)</f>
        <v>27.146009000000003</v>
      </c>
      <c r="I858" s="201">
        <f t="shared" ref="I858" si="113">+G858*H858</f>
        <v>105869.43510000002</v>
      </c>
      <c r="J858" s="299"/>
    </row>
    <row r="859" spans="1:10" x14ac:dyDescent="0.3">
      <c r="A859" s="284" t="s">
        <v>14472</v>
      </c>
      <c r="B859" s="286" t="s">
        <v>13053</v>
      </c>
      <c r="C859" s="209" t="s">
        <v>13</v>
      </c>
      <c r="D859" s="210" t="s">
        <v>13</v>
      </c>
      <c r="E859" s="211" t="s">
        <v>13137</v>
      </c>
      <c r="F859" s="209" t="s">
        <v>13</v>
      </c>
      <c r="G859" s="212">
        <v>0</v>
      </c>
      <c r="H859" s="212">
        <v>0</v>
      </c>
      <c r="I859" s="212">
        <f>SUM(I860:I895)</f>
        <v>16259302.486317288</v>
      </c>
      <c r="J859" s="284" t="s">
        <v>14472</v>
      </c>
    </row>
    <row r="860" spans="1:10" x14ac:dyDescent="0.3">
      <c r="B860" s="202" t="s">
        <v>13381</v>
      </c>
      <c r="C860" s="202" t="s">
        <v>13</v>
      </c>
      <c r="D860" s="203" t="s">
        <v>13</v>
      </c>
      <c r="E860" s="204" t="s">
        <v>13203</v>
      </c>
      <c r="F860" s="202"/>
      <c r="G860" s="205"/>
      <c r="H860" s="205"/>
      <c r="I860" s="205"/>
      <c r="J860" s="299"/>
    </row>
    <row r="861" spans="1:10" ht="28.8" x14ac:dyDescent="0.3">
      <c r="B861" s="197" t="s">
        <v>13415</v>
      </c>
      <c r="C861" s="197" t="s">
        <v>13039</v>
      </c>
      <c r="D861" s="198" t="s">
        <v>11052</v>
      </c>
      <c r="E861" s="199" t="str">
        <f>VLOOKUP($D861,'Preços Unitários'!$B:$G,2,FALSE)</f>
        <v>Desmatamento, destocamento e limpeza de área com árvores de diâmetro até 0,15 m</v>
      </c>
      <c r="F861" s="197" t="str">
        <f>VLOOKUP($D861,'Preços Unitários'!$B:$G,3,FALSE)</f>
        <v>m²</v>
      </c>
      <c r="G861" s="200">
        <f>+'MC Canais'!J651</f>
        <v>196000</v>
      </c>
      <c r="H861" s="200">
        <f>VLOOKUP($D861,'Preços Unitários'!$B:$G,6,FALSE)</f>
        <v>0.87688999999999995</v>
      </c>
      <c r="I861" s="201">
        <f>+G861*H861</f>
        <v>171870.44</v>
      </c>
      <c r="J861" s="299"/>
    </row>
    <row r="862" spans="1:10" ht="43.2" x14ac:dyDescent="0.3">
      <c r="B862" s="197" t="s">
        <v>13416</v>
      </c>
      <c r="C862" s="197" t="s">
        <v>13039</v>
      </c>
      <c r="D862" s="198" t="s">
        <v>11092</v>
      </c>
      <c r="E862" s="199" t="str">
        <f>VLOOKUP($D862,'Preços Unitários'!$B:$G,2,FALSE)</f>
        <v>Escavação, carga e transporte de material de 1ª categoria - DMT de 1.000 a 1.200 m - caminho de serviço em leito natural - com escavadeira e caminhão basculante de 14 m³</v>
      </c>
      <c r="F862" s="197" t="str">
        <f>VLOOKUP($D862,'Preços Unitários'!$B:$G,3,FALSE)</f>
        <v>m³</v>
      </c>
      <c r="G862" s="200">
        <f>+'MC Canais'!J652</f>
        <v>87315.64</v>
      </c>
      <c r="H862" s="200">
        <f>VLOOKUP($D862,'Preços Unitários'!$B:$G,6,FALSE)</f>
        <v>10.673003999999999</v>
      </c>
      <c r="I862" s="201">
        <f t="shared" ref="I862:I874" si="114">+G862*H862</f>
        <v>931920.17498255987</v>
      </c>
      <c r="J862" s="299"/>
    </row>
    <row r="863" spans="1:10" x14ac:dyDescent="0.3">
      <c r="B863" s="197" t="s">
        <v>13417</v>
      </c>
      <c r="C863" s="197" t="s">
        <v>13039</v>
      </c>
      <c r="D863" s="198" t="s">
        <v>11046</v>
      </c>
      <c r="E863" s="213" t="str">
        <f>VLOOKUP($D863,'Preços Unitários'!$B:$G,2,FALSE)</f>
        <v>Compactação de aterros a 100% do Proctor normal</v>
      </c>
      <c r="F863" s="197" t="str">
        <f>VLOOKUP($D863,'Preços Unitários'!$B:$G,3,FALSE)</f>
        <v>m³</v>
      </c>
      <c r="G863" s="200">
        <f>+'MC Canais'!J653</f>
        <v>35943.57</v>
      </c>
      <c r="H863" s="200">
        <f>VLOOKUP($D863,'Preços Unitários'!$B:$G,6,FALSE)</f>
        <v>7.1028090000000006</v>
      </c>
      <c r="I863" s="201">
        <f t="shared" si="114"/>
        <v>255300.31248813003</v>
      </c>
      <c r="J863" s="299"/>
    </row>
    <row r="864" spans="1:10" ht="28.8" x14ac:dyDescent="0.3">
      <c r="B864" s="197" t="s">
        <v>13418</v>
      </c>
      <c r="C864" s="197" t="s">
        <v>13039</v>
      </c>
      <c r="D864" s="198" t="s">
        <v>11947</v>
      </c>
      <c r="E864" s="199" t="str">
        <f>VLOOKUP($D864,'Preços Unitários'!$B:$G,2,FALSE)</f>
        <v>Transporte com caminhão basculante de 14 m³ - rodovia em leito natural</v>
      </c>
      <c r="F864" s="197" t="str">
        <f>VLOOKUP($D864,'Preços Unitários'!$B:$G,3,FALSE)</f>
        <v>tkm</v>
      </c>
      <c r="G864" s="200">
        <f>+'MC Canais'!J654</f>
        <v>359604.49</v>
      </c>
      <c r="H864" s="200">
        <f>VLOOKUP($D864,'Preços Unitários'!$B:$G,6,FALSE)</f>
        <v>1.165011</v>
      </c>
      <c r="I864" s="201">
        <f t="shared" si="114"/>
        <v>418943.18649938999</v>
      </c>
      <c r="J864" s="299"/>
    </row>
    <row r="865" spans="2:10" x14ac:dyDescent="0.3">
      <c r="B865" s="197" t="s">
        <v>13419</v>
      </c>
      <c r="C865" s="197" t="s">
        <v>13039</v>
      </c>
      <c r="D865" s="198" t="s">
        <v>9440</v>
      </c>
      <c r="E865" s="199" t="str">
        <f>VLOOKUP($D865,'Preços Unitários'!$B:$G,2,FALSE)</f>
        <v>Regularização de superfície com motoniveladora</v>
      </c>
      <c r="F865" s="197" t="str">
        <f>VLOOKUP($D865,'Preços Unitários'!$B:$G,3,FALSE)</f>
        <v>m²</v>
      </c>
      <c r="G865" s="200">
        <f>+'MC Canais'!J655</f>
        <v>8820</v>
      </c>
      <c r="H865" s="200">
        <f>VLOOKUP($D865,'Preços Unitários'!$B:$G,6,FALSE)</f>
        <v>0.100216</v>
      </c>
      <c r="I865" s="201">
        <f>+G865*H865</f>
        <v>883.90512000000001</v>
      </c>
      <c r="J865" s="299"/>
    </row>
    <row r="866" spans="2:10" ht="28.8" x14ac:dyDescent="0.3">
      <c r="B866" s="197" t="s">
        <v>13420</v>
      </c>
      <c r="C866" s="197" t="s">
        <v>12</v>
      </c>
      <c r="D866" s="198" t="s">
        <v>13205</v>
      </c>
      <c r="E866" s="199" t="s">
        <v>13204</v>
      </c>
      <c r="F866" s="197" t="s">
        <v>2904</v>
      </c>
      <c r="G866" s="200">
        <f>+'MC Canais'!J656</f>
        <v>13330.72</v>
      </c>
      <c r="H866" s="200">
        <f>+'Composições de Preços'!$F$87</f>
        <v>59.387948601153852</v>
      </c>
      <c r="I866" s="201">
        <f t="shared" si="114"/>
        <v>791684.11417637358</v>
      </c>
      <c r="J866" s="299"/>
    </row>
    <row r="867" spans="2:10" ht="28.8" x14ac:dyDescent="0.3">
      <c r="B867" s="197" t="s">
        <v>13421</v>
      </c>
      <c r="C867" s="197" t="s">
        <v>12</v>
      </c>
      <c r="D867" s="198" t="s">
        <v>14504</v>
      </c>
      <c r="E867" s="199" t="s">
        <v>14497</v>
      </c>
      <c r="F867" s="197" t="s">
        <v>427</v>
      </c>
      <c r="G867" s="200">
        <f>+'MC Canais'!J657</f>
        <v>10664.6</v>
      </c>
      <c r="H867" s="200">
        <f>+'Composições de Preços'!$F$446</f>
        <v>99.894988108799993</v>
      </c>
      <c r="I867" s="201">
        <f t="shared" si="114"/>
        <v>1065340.0901851084</v>
      </c>
      <c r="J867" s="299"/>
    </row>
    <row r="868" spans="2:10" ht="28.8" x14ac:dyDescent="0.3">
      <c r="B868" s="197" t="s">
        <v>13422</v>
      </c>
      <c r="C868" s="197" t="s">
        <v>12</v>
      </c>
      <c r="D868" s="198" t="s">
        <v>13192</v>
      </c>
      <c r="E868" s="199" t="s">
        <v>13191</v>
      </c>
      <c r="F868" s="197" t="s">
        <v>2904</v>
      </c>
      <c r="G868" s="200">
        <f>+'MC Canais'!J658</f>
        <v>53323</v>
      </c>
      <c r="H868" s="200">
        <f>+'Composições de Preços'!$F$44</f>
        <v>73.117919302000004</v>
      </c>
      <c r="I868" s="201">
        <f t="shared" si="114"/>
        <v>3898866.8109405464</v>
      </c>
      <c r="J868" s="297"/>
    </row>
    <row r="869" spans="2:10" ht="28.8" x14ac:dyDescent="0.3">
      <c r="B869" s="197" t="s">
        <v>13423</v>
      </c>
      <c r="C869" s="197" t="s">
        <v>12</v>
      </c>
      <c r="D869" s="198" t="s">
        <v>14506</v>
      </c>
      <c r="E869" s="199" t="s">
        <v>14505</v>
      </c>
      <c r="F869" s="197" t="s">
        <v>427</v>
      </c>
      <c r="G869" s="200">
        <f>+'MC Canais'!J659</f>
        <v>9800</v>
      </c>
      <c r="H869" s="200">
        <f>+'Composições de Preços'!$F$492</f>
        <v>107.93859485200001</v>
      </c>
      <c r="I869" s="201">
        <f t="shared" si="114"/>
        <v>1057798.2295496</v>
      </c>
      <c r="J869"/>
    </row>
    <row r="870" spans="2:10" ht="28.8" x14ac:dyDescent="0.3">
      <c r="B870" s="197" t="s">
        <v>13424</v>
      </c>
      <c r="C870" s="197" t="s">
        <v>13039</v>
      </c>
      <c r="D870" s="198" t="s">
        <v>3149</v>
      </c>
      <c r="E870" s="199" t="str">
        <f>VLOOKUP($D870,'Preços Unitários'!$B:$G,2,FALSE)</f>
        <v>Concreto para bombeamento fck = 30 MPa - confecção em central dosadora de 30 m³/h - areia e brita comerciais</v>
      </c>
      <c r="F870" s="197" t="str">
        <f>VLOOKUP($D870,'Preços Unitários'!$B:$G,3,FALSE)</f>
        <v>m³</v>
      </c>
      <c r="G870" s="200">
        <f>+'MC Canais'!J660</f>
        <v>3732.6100000000006</v>
      </c>
      <c r="H870" s="200">
        <f>VLOOKUP($D870,'Preços Unitários'!$B:$G,6,FALSE)</f>
        <v>575.92882499999996</v>
      </c>
      <c r="I870" s="201">
        <f t="shared" si="114"/>
        <v>2149717.6914832504</v>
      </c>
      <c r="J870" s="297"/>
    </row>
    <row r="871" spans="2:10" ht="43.2" x14ac:dyDescent="0.3">
      <c r="B871" s="197" t="s">
        <v>13425</v>
      </c>
      <c r="C871" s="197" t="s">
        <v>13039</v>
      </c>
      <c r="D871" s="198" t="s">
        <v>3201</v>
      </c>
      <c r="E871" s="199" t="str">
        <f>VLOOKUP($D871,'Preços Unitários'!$B:$G,2,FALSE)</f>
        <v>Lançamento mecânico de concreto com bomba rebocável com capacidade de 30 m³/h - confecção em central dosadora de 30 m³/h</v>
      </c>
      <c r="F871" s="197" t="str">
        <f>VLOOKUP($D871,'Preços Unitários'!$B:$G,3,FALSE)</f>
        <v>m³</v>
      </c>
      <c r="G871" s="200">
        <f>+'MC Canais'!J661</f>
        <v>3732.6100000000006</v>
      </c>
      <c r="H871" s="200">
        <f>VLOOKUP($D871,'Preços Unitários'!$B:$G,6,FALSE)</f>
        <v>86.285976000000005</v>
      </c>
      <c r="I871" s="201">
        <f t="shared" si="114"/>
        <v>322071.89687736006</v>
      </c>
      <c r="J871" s="299"/>
    </row>
    <row r="872" spans="2:10" ht="28.8" x14ac:dyDescent="0.3">
      <c r="B872" s="197" t="s">
        <v>14543</v>
      </c>
      <c r="C872" s="197" t="s">
        <v>13039</v>
      </c>
      <c r="D872" s="198" t="s">
        <v>206</v>
      </c>
      <c r="E872" s="199" t="str">
        <f>VLOOKUP($D872,'Preços Unitários'!$B:$G,2,FALSE)</f>
        <v>Lábios poliméricos em junta de pavimento de concreto - L = 20 mm e H = 30 mm - confecção e assentamento</v>
      </c>
      <c r="F872" s="197" t="str">
        <f>VLOOKUP($D872,'Preços Unitários'!$B:$G,3,FALSE)</f>
        <v>m</v>
      </c>
      <c r="G872" s="200">
        <f>+'MC Canais'!J662</f>
        <v>28067.200000000004</v>
      </c>
      <c r="H872" s="200">
        <f>VLOOKUP($D872,'Preços Unitários'!$B:$G,6,FALSE)</f>
        <v>39.635428000000005</v>
      </c>
      <c r="I872" s="201">
        <f t="shared" si="114"/>
        <v>1112455.4847616004</v>
      </c>
      <c r="J872" s="299"/>
    </row>
    <row r="873" spans="2:10" x14ac:dyDescent="0.3">
      <c r="B873" s="197" t="s">
        <v>14544</v>
      </c>
      <c r="C873" s="197" t="s">
        <v>12</v>
      </c>
      <c r="D873" s="198" t="s">
        <v>13209</v>
      </c>
      <c r="E873" s="199" t="s">
        <v>13208</v>
      </c>
      <c r="F873" s="197" t="s">
        <v>195</v>
      </c>
      <c r="G873" s="200">
        <f>+'MC Canais'!J663</f>
        <v>9800</v>
      </c>
      <c r="H873" s="200">
        <f>+'Composições de Preços'!$F$130</f>
        <v>37.70076957596789</v>
      </c>
      <c r="I873" s="201">
        <f t="shared" si="114"/>
        <v>369467.54184448533</v>
      </c>
      <c r="J873" s="299"/>
    </row>
    <row r="874" spans="2:10" ht="28.8" x14ac:dyDescent="0.3">
      <c r="B874" s="197" t="s">
        <v>14574</v>
      </c>
      <c r="C874" s="197" t="s">
        <v>13039</v>
      </c>
      <c r="D874" s="198" t="s">
        <v>9446</v>
      </c>
      <c r="E874" s="199" t="str">
        <f>VLOOKUP($D874,'Preços Unitários'!$B:$G,2,FALSE)</f>
        <v>Revestimento vegetal com grama em mudas em superfícies inclinadas</v>
      </c>
      <c r="F874" s="197" t="str">
        <f>VLOOKUP($D874,'Preços Unitários'!$B:$G,3,FALSE)</f>
        <v>m²</v>
      </c>
      <c r="G874" s="200">
        <f>+'MC Canais'!J664</f>
        <v>58800</v>
      </c>
      <c r="H874" s="200">
        <f>VLOOKUP($D874,'Preços Unitários'!$B:$G,6,FALSE)</f>
        <v>9.984019</v>
      </c>
      <c r="I874" s="201">
        <f t="shared" si="114"/>
        <v>587060.31720000005</v>
      </c>
      <c r="J874" s="299"/>
    </row>
    <row r="875" spans="2:10" x14ac:dyDescent="0.3">
      <c r="B875" s="202" t="s">
        <v>13382</v>
      </c>
      <c r="C875" s="202" t="s">
        <v>13</v>
      </c>
      <c r="D875" s="203" t="s">
        <v>13</v>
      </c>
      <c r="E875" s="204" t="s">
        <v>13222</v>
      </c>
      <c r="F875" s="202"/>
      <c r="G875" s="200">
        <f>+'MC Canais'!J665</f>
        <v>0</v>
      </c>
      <c r="H875" s="205"/>
      <c r="I875" s="205"/>
      <c r="J875" s="299"/>
    </row>
    <row r="876" spans="2:10" x14ac:dyDescent="0.3">
      <c r="B876" s="197" t="s">
        <v>13426</v>
      </c>
      <c r="C876" s="197" t="s">
        <v>13039</v>
      </c>
      <c r="D876" s="198" t="s">
        <v>9806</v>
      </c>
      <c r="E876" s="199" t="str">
        <f>VLOOKUP($D876,'Preços Unitários'!$B:$G,2,FALSE)</f>
        <v>Escavação mecânica de vala em material de 1ª categoria</v>
      </c>
      <c r="F876" s="197" t="str">
        <f>VLOOKUP($D876,'Preços Unitários'!$B:$G,3,FALSE)</f>
        <v>m³</v>
      </c>
      <c r="G876" s="200">
        <f>+'MC Canais'!J666</f>
        <v>4116</v>
      </c>
      <c r="H876" s="200">
        <f>VLOOKUP($D876,'Preços Unitários'!$B:$G,6,FALSE)</f>
        <v>8.7313189999999992</v>
      </c>
      <c r="I876" s="201">
        <f t="shared" ref="I876:I882" si="115">+G876*H876</f>
        <v>35938.109003999998</v>
      </c>
      <c r="J876" s="299"/>
    </row>
    <row r="877" spans="2:10" x14ac:dyDescent="0.3">
      <c r="B877" s="197" t="s">
        <v>13427</v>
      </c>
      <c r="C877" s="197" t="s">
        <v>13039</v>
      </c>
      <c r="D877" s="198" t="s">
        <v>9830</v>
      </c>
      <c r="E877" s="199" t="str">
        <f>VLOOKUP($D877,'Preços Unitários'!$B:$G,2,FALSE)</f>
        <v>Reaterro e compactação com soquete vibratório</v>
      </c>
      <c r="F877" s="197" t="str">
        <f>VLOOKUP($D877,'Preços Unitários'!$B:$G,3,FALSE)</f>
        <v>m³</v>
      </c>
      <c r="G877" s="200">
        <f>+'MC Canais'!J667</f>
        <v>2352</v>
      </c>
      <c r="H877" s="200">
        <f>VLOOKUP($D877,'Preços Unitários'!$B:$G,6,FALSE)</f>
        <v>22.611235000000001</v>
      </c>
      <c r="I877" s="201">
        <f t="shared" si="115"/>
        <v>53181.62472</v>
      </c>
      <c r="J877" s="299"/>
    </row>
    <row r="878" spans="2:10" ht="28.8" x14ac:dyDescent="0.3">
      <c r="B878" s="197" t="s">
        <v>13428</v>
      </c>
      <c r="C878" s="197" t="s">
        <v>13039</v>
      </c>
      <c r="D878" s="198" t="s">
        <v>11947</v>
      </c>
      <c r="E878" s="199" t="str">
        <f>VLOOKUP($D878,'Preços Unitários'!$B:$G,2,FALSE)</f>
        <v>Transporte com caminhão basculante de 14 m³ - rodovia em leito natural</v>
      </c>
      <c r="F878" s="197" t="str">
        <f>VLOOKUP($D878,'Preços Unitários'!$B:$G,3,FALSE)</f>
        <v>tkm</v>
      </c>
      <c r="G878" s="200">
        <f>+'MC Canais'!J668</f>
        <v>12348</v>
      </c>
      <c r="H878" s="200">
        <f>VLOOKUP($D878,'Preços Unitários'!$B:$G,6,FALSE)</f>
        <v>1.165011</v>
      </c>
      <c r="I878" s="201">
        <f t="shared" si="115"/>
        <v>14385.555828</v>
      </c>
      <c r="J878" s="299"/>
    </row>
    <row r="879" spans="2:10" ht="28.8" x14ac:dyDescent="0.3">
      <c r="B879" s="197" t="s">
        <v>13429</v>
      </c>
      <c r="C879" s="197" t="s">
        <v>12</v>
      </c>
      <c r="D879" s="198" t="s">
        <v>13224</v>
      </c>
      <c r="E879" s="199" t="s">
        <v>13223</v>
      </c>
      <c r="F879" s="197" t="s">
        <v>2904</v>
      </c>
      <c r="G879" s="200">
        <f>+'MC Canais'!J669</f>
        <v>11760</v>
      </c>
      <c r="H879" s="200">
        <f>+'Composições de Preços'!$F$173</f>
        <v>26.052132569499999</v>
      </c>
      <c r="I879" s="201">
        <f t="shared" si="115"/>
        <v>306373.07901732001</v>
      </c>
      <c r="J879" s="299"/>
    </row>
    <row r="880" spans="2:10" ht="28.8" x14ac:dyDescent="0.3">
      <c r="B880" s="197" t="s">
        <v>13430</v>
      </c>
      <c r="C880" s="197" t="s">
        <v>13039</v>
      </c>
      <c r="D880" s="198" t="s">
        <v>6908</v>
      </c>
      <c r="E880" s="199" t="str">
        <f>VLOOKUP($D880,'Preços Unitários'!$B:$G,2,FALSE)</f>
        <v>Tubo de concreto perfurado produzido na obra para drenagem - D = 0,40 m - fornecimento e instalação</v>
      </c>
      <c r="F880" s="197" t="str">
        <f>VLOOKUP($D880,'Preços Unitários'!$B:$G,3,FALSE)</f>
        <v>m</v>
      </c>
      <c r="G880" s="200">
        <f>+'MC Canais'!J670</f>
        <v>4900</v>
      </c>
      <c r="H880" s="200">
        <f>VLOOKUP($D880,'Preços Unitários'!$B:$G,6,FALSE)</f>
        <v>116.764167</v>
      </c>
      <c r="I880" s="201">
        <f t="shared" si="115"/>
        <v>572144.41830000002</v>
      </c>
      <c r="J880" s="299"/>
    </row>
    <row r="881" spans="1:10" ht="28.8" x14ac:dyDescent="0.3">
      <c r="B881" s="197" t="s">
        <v>13431</v>
      </c>
      <c r="C881" s="197" t="s">
        <v>13039</v>
      </c>
      <c r="D881" s="198" t="s">
        <v>6438</v>
      </c>
      <c r="E881" s="199" t="str">
        <f>VLOOKUP($D881,'Preços Unitários'!$B:$G,2,FALSE)</f>
        <v>Lastro de brita comercial compactado com soquete vibratório - espalhamento manual</v>
      </c>
      <c r="F881" s="197" t="str">
        <f>VLOOKUP($D881,'Preços Unitários'!$B:$G,3,FALSE)</f>
        <v>m³</v>
      </c>
      <c r="G881" s="200">
        <f>+'MC Canais'!J671</f>
        <v>1148.56</v>
      </c>
      <c r="H881" s="200">
        <f>VLOOKUP($D881,'Preços Unitários'!$B:$G,6,FALSE)</f>
        <v>239.34086200000002</v>
      </c>
      <c r="I881" s="201">
        <f t="shared" si="115"/>
        <v>274897.34045871999</v>
      </c>
      <c r="J881" s="299"/>
    </row>
    <row r="882" spans="1:10" x14ac:dyDescent="0.3">
      <c r="B882" s="197" t="s">
        <v>13432</v>
      </c>
      <c r="C882" s="197" t="s">
        <v>13039</v>
      </c>
      <c r="D882" s="206" t="s">
        <v>6430</v>
      </c>
      <c r="E882" s="199" t="str">
        <f>VLOOKUP($D882,'Preços Unitários'!$B:$G,2,FALSE)</f>
        <v>Lastro de areia comercial - espalhamento manual</v>
      </c>
      <c r="F882" s="197" t="str">
        <f>VLOOKUP($D882,'Preços Unitários'!$B:$G,3,FALSE)</f>
        <v>m³</v>
      </c>
      <c r="G882" s="200">
        <f>+'MC Canais'!J672</f>
        <v>588</v>
      </c>
      <c r="H882" s="200">
        <f>VLOOKUP($D882,'Preços Unitários'!$B:$G,6,FALSE)</f>
        <v>198.06439700000001</v>
      </c>
      <c r="I882" s="201">
        <f t="shared" si="115"/>
        <v>116461.86543600001</v>
      </c>
      <c r="J882" s="297"/>
    </row>
    <row r="883" spans="1:10" s="243" customFormat="1" ht="28.8" x14ac:dyDescent="0.3">
      <c r="B883" s="197" t="s">
        <v>13383</v>
      </c>
      <c r="C883" s="197" t="s">
        <v>13</v>
      </c>
      <c r="D883" s="198" t="s">
        <v>13</v>
      </c>
      <c r="E883" s="207" t="s">
        <v>13228</v>
      </c>
      <c r="F883" s="197"/>
      <c r="G883" s="200">
        <f>+'MC Canais'!J673</f>
        <v>0</v>
      </c>
      <c r="H883" s="201"/>
      <c r="I883" s="201"/>
      <c r="J883" s="299"/>
    </row>
    <row r="884" spans="1:10" ht="28.8" x14ac:dyDescent="0.3">
      <c r="B884" s="197" t="s">
        <v>13433</v>
      </c>
      <c r="C884" s="197" t="s">
        <v>13039</v>
      </c>
      <c r="D884" s="198" t="s">
        <v>6964</v>
      </c>
      <c r="E884" s="199" t="str">
        <f>VLOOKUP($D884,'Preços Unitários'!$B:$G,2,FALSE)</f>
        <v>Valeta de proteção de cortes com revestimento vegetal - VPCG 120-30 - escavação mecânica</v>
      </c>
      <c r="F884" s="197" t="str">
        <f>VLOOKUP($D884,'Preços Unitários'!$B:$G,3,FALSE)</f>
        <v>m</v>
      </c>
      <c r="G884" s="200">
        <f>+'MC Canais'!J674</f>
        <v>9800</v>
      </c>
      <c r="H884" s="200">
        <f>VLOOKUP($D884,'Preços Unitários'!$B:$G,6,FALSE)</f>
        <v>51.961995999999999</v>
      </c>
      <c r="I884" s="201">
        <f t="shared" ref="I884:I887" si="116">+G884*H884</f>
        <v>509227.56079999998</v>
      </c>
      <c r="J884" s="299"/>
    </row>
    <row r="885" spans="1:10" ht="28.8" x14ac:dyDescent="0.3">
      <c r="B885" s="197" t="s">
        <v>13434</v>
      </c>
      <c r="C885" s="197" t="s">
        <v>13039</v>
      </c>
      <c r="D885" s="198" t="s">
        <v>6744</v>
      </c>
      <c r="E885" s="199" t="str">
        <f>VLOOKUP($D885,'Preços Unitários'!$B:$G,2,FALSE)</f>
        <v>Sarjeta triangular de grama - STG 125-25 - escavação mecânica</v>
      </c>
      <c r="F885" s="197" t="str">
        <f>VLOOKUP($D885,'Preços Unitários'!$B:$G,3,FALSE)</f>
        <v>m</v>
      </c>
      <c r="G885" s="200">
        <f>+'MC Canais'!J675</f>
        <v>9800</v>
      </c>
      <c r="H885" s="200">
        <f>VLOOKUP($D885,'Preços Unitários'!$B:$G,6,FALSE)</f>
        <v>29.776679000000001</v>
      </c>
      <c r="I885" s="201">
        <f t="shared" si="116"/>
        <v>291811.45420000004</v>
      </c>
      <c r="J885" s="299"/>
    </row>
    <row r="886" spans="1:10" ht="28.8" x14ac:dyDescent="0.3">
      <c r="B886" s="197" t="s">
        <v>13435</v>
      </c>
      <c r="C886" s="197" t="s">
        <v>13039</v>
      </c>
      <c r="D886" s="198" t="s">
        <v>2740</v>
      </c>
      <c r="E886" s="199" t="str">
        <f>VLOOKUP($D886,'Preços Unitários'!$B:$G,2,FALSE)</f>
        <v>Corpo de BSTC D = 0,80 m PA1 - areia, brita e pedra de mão comerciais</v>
      </c>
      <c r="F886" s="197" t="str">
        <f>VLOOKUP($D886,'Preços Unitários'!$B:$G,3,FALSE)</f>
        <v>m</v>
      </c>
      <c r="G886" s="200">
        <f>+'MC Canais'!J676</f>
        <v>66</v>
      </c>
      <c r="H886" s="200">
        <f>VLOOKUP($D886,'Preços Unitários'!$B:$G,6,FALSE)</f>
        <v>799.67357200000004</v>
      </c>
      <c r="I886" s="201">
        <f t="shared" si="116"/>
        <v>52778.455752000002</v>
      </c>
      <c r="J886" s="299"/>
    </row>
    <row r="887" spans="1:10" ht="28.8" x14ac:dyDescent="0.3">
      <c r="B887" s="197" t="s">
        <v>13436</v>
      </c>
      <c r="C887" s="197" t="s">
        <v>13039</v>
      </c>
      <c r="D887" s="208" t="s">
        <v>2172</v>
      </c>
      <c r="E887" s="199" t="str">
        <f>VLOOKUP($D887,'Preços Unitários'!$B:$G,2,FALSE)</f>
        <v>Boca de BSTC D = 0,80 m - esconsidade 0° - areia e brita comerciais - alas retas</v>
      </c>
      <c r="F887" s="197" t="str">
        <f>VLOOKUP($D887,'Preços Unitários'!$B:$G,3,FALSE)</f>
        <v>un</v>
      </c>
      <c r="G887" s="200">
        <f>+'MC Canais'!J677</f>
        <v>4</v>
      </c>
      <c r="H887" s="200">
        <f>VLOOKUP($D887,'Preços Unitários'!$B:$G,6,FALSE)</f>
        <v>1606.687966</v>
      </c>
      <c r="I887" s="201">
        <f t="shared" si="116"/>
        <v>6426.7518639999998</v>
      </c>
      <c r="J887" s="299"/>
    </row>
    <row r="888" spans="1:10" s="243" customFormat="1" x14ac:dyDescent="0.3">
      <c r="B888" s="197" t="s">
        <v>13384</v>
      </c>
      <c r="C888" s="197" t="s">
        <v>13</v>
      </c>
      <c r="D888" s="198" t="s">
        <v>13</v>
      </c>
      <c r="E888" s="207" t="s">
        <v>13230</v>
      </c>
      <c r="F888" s="197"/>
      <c r="G888" s="200">
        <f>+'MC Canais'!J678</f>
        <v>0</v>
      </c>
      <c r="H888" s="201"/>
      <c r="I888" s="201"/>
      <c r="J888" s="299"/>
    </row>
    <row r="889" spans="1:10" ht="28.8" x14ac:dyDescent="0.3">
      <c r="B889" s="197" t="s">
        <v>13437</v>
      </c>
      <c r="C889" s="197" t="s">
        <v>13039</v>
      </c>
      <c r="D889" s="198" t="s">
        <v>11088</v>
      </c>
      <c r="E889" s="199" t="str">
        <f>VLOOKUP($D889,'Preços Unitários'!$B:$G,2,FALSE)</f>
        <v>Escavação mecânica com retroescavadeira em material de 1ª categoria</v>
      </c>
      <c r="F889" s="197" t="str">
        <f>VLOOKUP($D889,'Preços Unitários'!$B:$G,3,FALSE)</f>
        <v>m³</v>
      </c>
      <c r="G889" s="200">
        <f>+'MC Canais'!J679</f>
        <v>5145</v>
      </c>
      <c r="H889" s="200">
        <f>VLOOKUP($D889,'Preços Unitários'!$B:$G,6,FALSE)</f>
        <v>8.7313189999999992</v>
      </c>
      <c r="I889" s="201">
        <f t="shared" ref="I889:I893" si="117">+G889*H889</f>
        <v>44922.636254999998</v>
      </c>
      <c r="J889" s="299"/>
    </row>
    <row r="890" spans="1:10" x14ac:dyDescent="0.3">
      <c r="B890" s="197" t="s">
        <v>13438</v>
      </c>
      <c r="C890" s="197" t="s">
        <v>13039</v>
      </c>
      <c r="D890" s="198" t="s">
        <v>11046</v>
      </c>
      <c r="E890" s="199" t="str">
        <f>VLOOKUP($D890,'Preços Unitários'!$B:$G,2,FALSE)</f>
        <v>Compactação de aterros a 100% do Proctor normal</v>
      </c>
      <c r="F890" s="197" t="str">
        <f>VLOOKUP($D890,'Preços Unitários'!$B:$G,3,FALSE)</f>
        <v>m³</v>
      </c>
      <c r="G890" s="200">
        <f>+'MC Canais'!J680</f>
        <v>3430</v>
      </c>
      <c r="H890" s="200">
        <f>VLOOKUP($D890,'Preços Unitários'!$B:$G,6,FALSE)</f>
        <v>7.1028090000000006</v>
      </c>
      <c r="I890" s="201">
        <f t="shared" si="117"/>
        <v>24362.634870000002</v>
      </c>
      <c r="J890" s="299"/>
    </row>
    <row r="891" spans="1:10" ht="28.8" x14ac:dyDescent="0.3">
      <c r="B891" s="197" t="s">
        <v>13440</v>
      </c>
      <c r="C891" s="197" t="s">
        <v>13039</v>
      </c>
      <c r="D891" s="198" t="s">
        <v>11947</v>
      </c>
      <c r="E891" s="199" t="str">
        <f>VLOOKUP($D891,'Preços Unitários'!$B:$G,2,FALSE)</f>
        <v>Transporte com caminhão basculante de 14 m³ - rodovia em leito natural</v>
      </c>
      <c r="F891" s="197" t="str">
        <f>VLOOKUP($D891,'Preços Unitários'!$B:$G,3,FALSE)</f>
        <v>tkm</v>
      </c>
      <c r="G891" s="200">
        <f>+'MC Canais'!J681</f>
        <v>1715</v>
      </c>
      <c r="H891" s="200">
        <f>VLOOKUP($D891,'Preços Unitários'!$B:$G,6,FALSE)</f>
        <v>1.165011</v>
      </c>
      <c r="I891" s="201">
        <f t="shared" si="117"/>
        <v>1997.9938650000001</v>
      </c>
      <c r="J891" s="299"/>
    </row>
    <row r="892" spans="1:10" x14ac:dyDescent="0.3">
      <c r="B892" s="197" t="s">
        <v>13441</v>
      </c>
      <c r="C892" s="197" t="s">
        <v>13039</v>
      </c>
      <c r="D892" s="198" t="s">
        <v>9440</v>
      </c>
      <c r="E892" s="199" t="str">
        <f>VLOOKUP($D892,'Preços Unitários'!$B:$G,2,FALSE)</f>
        <v>Regularização de superfície com motoniveladora</v>
      </c>
      <c r="F892" s="197" t="str">
        <f>VLOOKUP($D892,'Preços Unitários'!$B:$G,3,FALSE)</f>
        <v>m²</v>
      </c>
      <c r="G892" s="200">
        <f>+'MC Canais'!J682</f>
        <v>34300</v>
      </c>
      <c r="H892" s="200">
        <f>VLOOKUP($D892,'Preços Unitários'!$B:$G,6,FALSE)</f>
        <v>0.100216</v>
      </c>
      <c r="I892" s="201">
        <f t="shared" si="117"/>
        <v>3437.4088000000002</v>
      </c>
      <c r="J892" s="299"/>
    </row>
    <row r="893" spans="1:10" x14ac:dyDescent="0.3">
      <c r="B893" s="197" t="s">
        <v>13439</v>
      </c>
      <c r="C893" s="197" t="s">
        <v>12</v>
      </c>
      <c r="D893" s="198" t="s">
        <v>13232</v>
      </c>
      <c r="E893" s="199" t="s">
        <v>13231</v>
      </c>
      <c r="F893" s="197" t="s">
        <v>427</v>
      </c>
      <c r="G893" s="200">
        <f>+'MC Canais'!J683</f>
        <v>2572.5</v>
      </c>
      <c r="H893" s="200">
        <f>+'Composições de Preços'!$F$216</f>
        <v>214.40019935426301</v>
      </c>
      <c r="I893" s="201">
        <f t="shared" si="117"/>
        <v>551544.51283884153</v>
      </c>
      <c r="J893" s="299"/>
    </row>
    <row r="894" spans="1:10" s="243" customFormat="1" x14ac:dyDescent="0.3">
      <c r="B894" s="197" t="s">
        <v>13385</v>
      </c>
      <c r="C894" s="197" t="s">
        <v>13</v>
      </c>
      <c r="D894" s="198" t="s">
        <v>13</v>
      </c>
      <c r="E894" s="207" t="s">
        <v>13386</v>
      </c>
      <c r="F894" s="197"/>
      <c r="G894" s="200">
        <f>+'MC Canais'!J684</f>
        <v>0</v>
      </c>
      <c r="H894" s="201"/>
      <c r="I894" s="201"/>
      <c r="J894" s="299"/>
    </row>
    <row r="895" spans="1:10" ht="28.8" x14ac:dyDescent="0.3">
      <c r="B895" s="197" t="s">
        <v>13442</v>
      </c>
      <c r="C895" s="197" t="s">
        <v>13039</v>
      </c>
      <c r="D895" s="198" t="s">
        <v>8625</v>
      </c>
      <c r="E895" s="199" t="str">
        <f>VLOOKUP($D895,'Preços Unitários'!$B:$G,2,FALSE)</f>
        <v>Cerca com 4 fios de arame liso galvanizado e mourão de madeira a cada 2,5 m e esticador a cada 50 m</v>
      </c>
      <c r="F895" s="197" t="str">
        <f>VLOOKUP($D895,'Preços Unitários'!$B:$G,3,FALSE)</f>
        <v>m</v>
      </c>
      <c r="G895" s="200">
        <f>+'MC Canais'!J685</f>
        <v>9800</v>
      </c>
      <c r="H895" s="200">
        <f>VLOOKUP($D895,'Preços Unitários'!$B:$G,6,FALSE)</f>
        <v>27.146009000000003</v>
      </c>
      <c r="I895" s="201">
        <f t="shared" ref="I895" si="118">+G895*H895</f>
        <v>266030.88820000004</v>
      </c>
      <c r="J895" s="299"/>
    </row>
    <row r="896" spans="1:10" x14ac:dyDescent="0.3">
      <c r="A896" s="284" t="s">
        <v>14472</v>
      </c>
      <c r="B896" s="286" t="s">
        <v>13054</v>
      </c>
      <c r="C896" s="209" t="s">
        <v>13</v>
      </c>
      <c r="D896" s="210" t="s">
        <v>13</v>
      </c>
      <c r="E896" s="211" t="s">
        <v>13138</v>
      </c>
      <c r="F896" s="209" t="s">
        <v>13</v>
      </c>
      <c r="G896" s="212">
        <v>0</v>
      </c>
      <c r="H896" s="212">
        <v>0</v>
      </c>
      <c r="I896" s="212">
        <f>SUM(I897:I932)</f>
        <v>9112574.2669536266</v>
      </c>
      <c r="J896" s="284" t="s">
        <v>14472</v>
      </c>
    </row>
    <row r="897" spans="2:10" x14ac:dyDescent="0.3">
      <c r="B897" s="202" t="s">
        <v>13443</v>
      </c>
      <c r="C897" s="202" t="s">
        <v>13</v>
      </c>
      <c r="D897" s="203" t="s">
        <v>13</v>
      </c>
      <c r="E897" s="204" t="s">
        <v>13203</v>
      </c>
      <c r="F897" s="202"/>
      <c r="G897" s="205"/>
      <c r="H897" s="205"/>
      <c r="I897" s="205"/>
      <c r="J897" s="299"/>
    </row>
    <row r="898" spans="2:10" ht="28.8" x14ac:dyDescent="0.3">
      <c r="B898" s="197" t="s">
        <v>13444</v>
      </c>
      <c r="C898" s="197" t="s">
        <v>13039</v>
      </c>
      <c r="D898" s="198" t="s">
        <v>11052</v>
      </c>
      <c r="E898" s="199" t="str">
        <f>VLOOKUP($D898,'Preços Unitários'!$B:$G,2,FALSE)</f>
        <v>Desmatamento, destocamento e limpeza de área com árvores de diâmetro até 0,15 m</v>
      </c>
      <c r="F898" s="197" t="str">
        <f>VLOOKUP($D898,'Preços Unitários'!$B:$G,3,FALSE)</f>
        <v>m²</v>
      </c>
      <c r="G898" s="200">
        <f>+'MC Canais'!J689</f>
        <v>119280</v>
      </c>
      <c r="H898" s="200">
        <f>VLOOKUP($D898,'Preços Unitários'!$B:$G,6,FALSE)</f>
        <v>0.87688999999999995</v>
      </c>
      <c r="I898" s="201">
        <f>+G898*H898</f>
        <v>104595.43919999999</v>
      </c>
      <c r="J898" s="299"/>
    </row>
    <row r="899" spans="2:10" ht="43.2" x14ac:dyDescent="0.3">
      <c r="B899" s="197" t="s">
        <v>13445</v>
      </c>
      <c r="C899" s="197" t="s">
        <v>13039</v>
      </c>
      <c r="D899" s="198" t="s">
        <v>11092</v>
      </c>
      <c r="E899" s="199" t="str">
        <f>VLOOKUP($D899,'Preços Unitários'!$B:$G,2,FALSE)</f>
        <v>Escavação, carga e transporte de material de 1ª categoria - DMT de 1.000 a 1.200 m - caminho de serviço em leito natural - com escavadeira e caminhão basculante de 14 m³</v>
      </c>
      <c r="F899" s="197" t="str">
        <f>VLOOKUP($D899,'Preços Unitários'!$B:$G,3,FALSE)</f>
        <v>m³</v>
      </c>
      <c r="G899" s="200">
        <f>+'MC Canais'!J690</f>
        <v>72198.38</v>
      </c>
      <c r="H899" s="200">
        <f>VLOOKUP($D899,'Preços Unitários'!$B:$G,6,FALSE)</f>
        <v>10.673003999999999</v>
      </c>
      <c r="I899" s="201">
        <f t="shared" ref="I899:I911" si="119">+G899*H899</f>
        <v>770573.59853352001</v>
      </c>
      <c r="J899" s="299"/>
    </row>
    <row r="900" spans="2:10" x14ac:dyDescent="0.3">
      <c r="B900" s="197" t="s">
        <v>13446</v>
      </c>
      <c r="C900" s="197" t="s">
        <v>13039</v>
      </c>
      <c r="D900" s="198" t="s">
        <v>11046</v>
      </c>
      <c r="E900" s="213" t="str">
        <f>VLOOKUP($D900,'Preços Unitários'!$B:$G,2,FALSE)</f>
        <v>Compactação de aterros a 100% do Proctor normal</v>
      </c>
      <c r="F900" s="197" t="str">
        <f>VLOOKUP($D900,'Preços Unitários'!$B:$G,3,FALSE)</f>
        <v>m³</v>
      </c>
      <c r="G900" s="200">
        <f>+'MC Canais'!J691</f>
        <v>10868.67</v>
      </c>
      <c r="H900" s="200">
        <f>VLOOKUP($D900,'Preços Unitários'!$B:$G,6,FALSE)</f>
        <v>7.1028090000000006</v>
      </c>
      <c r="I900" s="201">
        <f t="shared" si="119"/>
        <v>77198.087094030008</v>
      </c>
      <c r="J900" s="299"/>
    </row>
    <row r="901" spans="2:10" ht="28.8" x14ac:dyDescent="0.3">
      <c r="B901" s="197" t="s">
        <v>13447</v>
      </c>
      <c r="C901" s="197" t="s">
        <v>13039</v>
      </c>
      <c r="D901" s="198" t="s">
        <v>11947</v>
      </c>
      <c r="E901" s="199" t="str">
        <f>VLOOKUP($D901,'Preços Unitários'!$B:$G,2,FALSE)</f>
        <v>Transporte com caminhão basculante de 14 m³ - rodovia em leito natural</v>
      </c>
      <c r="F901" s="197" t="str">
        <f>VLOOKUP($D901,'Preços Unitários'!$B:$G,3,FALSE)</f>
        <v>tkm</v>
      </c>
      <c r="G901" s="200">
        <f>+'MC Canais'!J692</f>
        <v>429307.97</v>
      </c>
      <c r="H901" s="200">
        <f>VLOOKUP($D901,'Preços Unitários'!$B:$G,6,FALSE)</f>
        <v>1.165011</v>
      </c>
      <c r="I901" s="201">
        <f t="shared" si="119"/>
        <v>500148.50743766996</v>
      </c>
      <c r="J901" s="299"/>
    </row>
    <row r="902" spans="2:10" x14ac:dyDescent="0.3">
      <c r="B902" s="197" t="s">
        <v>13448</v>
      </c>
      <c r="C902" s="197" t="s">
        <v>13039</v>
      </c>
      <c r="D902" s="198" t="s">
        <v>9440</v>
      </c>
      <c r="E902" s="199" t="str">
        <f>VLOOKUP($D902,'Preços Unitários'!$B:$G,2,FALSE)</f>
        <v>Regularização de superfície com motoniveladora</v>
      </c>
      <c r="F902" s="197" t="str">
        <f>VLOOKUP($D902,'Preços Unitários'!$B:$G,3,FALSE)</f>
        <v>m²</v>
      </c>
      <c r="G902" s="200">
        <f>+'MC Canais'!J693</f>
        <v>4473</v>
      </c>
      <c r="H902" s="200">
        <f>VLOOKUP($D902,'Preços Unitários'!$B:$G,6,FALSE)</f>
        <v>0.100216</v>
      </c>
      <c r="I902" s="201">
        <f>+G902*H902</f>
        <v>448.26616799999999</v>
      </c>
      <c r="J902" s="299"/>
    </row>
    <row r="903" spans="2:10" ht="28.8" x14ac:dyDescent="0.3">
      <c r="B903" s="197" t="s">
        <v>13449</v>
      </c>
      <c r="C903" s="197" t="s">
        <v>12</v>
      </c>
      <c r="D903" s="198" t="s">
        <v>13205</v>
      </c>
      <c r="E903" s="199" t="s">
        <v>13204</v>
      </c>
      <c r="F903" s="197" t="s">
        <v>2904</v>
      </c>
      <c r="G903" s="200">
        <f>+'MC Canais'!J694</f>
        <v>6469.92</v>
      </c>
      <c r="H903" s="200">
        <f>+'Composições de Preços'!$F$87</f>
        <v>59.387948601153852</v>
      </c>
      <c r="I903" s="201">
        <f t="shared" si="119"/>
        <v>384235.27641357732</v>
      </c>
      <c r="J903" s="291"/>
    </row>
    <row r="904" spans="2:10" ht="28.8" x14ac:dyDescent="0.3">
      <c r="B904" s="197" t="s">
        <v>13450</v>
      </c>
      <c r="C904" s="197" t="s">
        <v>12</v>
      </c>
      <c r="D904" s="198" t="s">
        <v>14504</v>
      </c>
      <c r="E904" s="199" t="s">
        <v>14497</v>
      </c>
      <c r="F904" s="197" t="s">
        <v>427</v>
      </c>
      <c r="G904" s="200">
        <f>+'MC Canais'!J695</f>
        <v>5176</v>
      </c>
      <c r="H904" s="200">
        <f>+'Composições de Preços'!$F$446</f>
        <v>99.894988108799993</v>
      </c>
      <c r="I904" s="201">
        <f t="shared" si="119"/>
        <v>517056.45845114876</v>
      </c>
      <c r="J904" s="297"/>
    </row>
    <row r="905" spans="2:10" ht="28.8" x14ac:dyDescent="0.3">
      <c r="B905" s="197" t="s">
        <v>13451</v>
      </c>
      <c r="C905" s="197" t="s">
        <v>12</v>
      </c>
      <c r="D905" s="198" t="s">
        <v>13192</v>
      </c>
      <c r="E905" s="199" t="s">
        <v>13191</v>
      </c>
      <c r="F905" s="197" t="s">
        <v>2904</v>
      </c>
      <c r="G905" s="200">
        <f>+'MC Canais'!J696</f>
        <v>25880</v>
      </c>
      <c r="H905" s="200">
        <f>+'Composições de Preços'!$F$44</f>
        <v>73.117919302000004</v>
      </c>
      <c r="I905" s="201">
        <f t="shared" si="119"/>
        <v>1892291.75153576</v>
      </c>
      <c r="J905" s="299"/>
    </row>
    <row r="906" spans="2:10" ht="28.8" x14ac:dyDescent="0.3">
      <c r="B906" s="197" t="s">
        <v>13452</v>
      </c>
      <c r="C906" s="197" t="s">
        <v>12</v>
      </c>
      <c r="D906" s="198" t="s">
        <v>14506</v>
      </c>
      <c r="E906" s="199" t="s">
        <v>14505</v>
      </c>
      <c r="F906" s="197" t="s">
        <v>427</v>
      </c>
      <c r="G906" s="200">
        <f>+'MC Canais'!J697</f>
        <v>5964</v>
      </c>
      <c r="H906" s="200">
        <f>+'Composições de Preços'!$F$492</f>
        <v>107.93859485200001</v>
      </c>
      <c r="I906" s="201">
        <f t="shared" si="119"/>
        <v>643745.77969732811</v>
      </c>
      <c r="J906" s="299"/>
    </row>
    <row r="907" spans="2:10" ht="28.8" x14ac:dyDescent="0.3">
      <c r="B907" s="197" t="s">
        <v>13453</v>
      </c>
      <c r="C907" s="197" t="s">
        <v>13039</v>
      </c>
      <c r="D907" s="198" t="s">
        <v>3149</v>
      </c>
      <c r="E907" s="199" t="str">
        <f>VLOOKUP($D907,'Preços Unitários'!$B:$G,2,FALSE)</f>
        <v>Concreto para bombeamento fck = 30 MPa - confecção em central dosadora de 30 m³/h - areia e brita comerciais</v>
      </c>
      <c r="F907" s="197" t="str">
        <f>VLOOKUP($D907,'Preços Unitários'!$B:$G,3,FALSE)</f>
        <v>m³</v>
      </c>
      <c r="G907" s="200">
        <f>+'MC Canais'!J698</f>
        <v>1811.6000000000001</v>
      </c>
      <c r="H907" s="200">
        <f>VLOOKUP($D907,'Preços Unitários'!$B:$G,6,FALSE)</f>
        <v>575.92882499999996</v>
      </c>
      <c r="I907" s="201">
        <f t="shared" si="119"/>
        <v>1043352.65937</v>
      </c>
      <c r="J907" s="299"/>
    </row>
    <row r="908" spans="2:10" ht="43.2" x14ac:dyDescent="0.3">
      <c r="B908" s="197" t="s">
        <v>13454</v>
      </c>
      <c r="C908" s="197" t="s">
        <v>13039</v>
      </c>
      <c r="D908" s="198" t="s">
        <v>3201</v>
      </c>
      <c r="E908" s="199" t="str">
        <f>VLOOKUP($D908,'Preços Unitários'!$B:$G,2,FALSE)</f>
        <v>Lançamento mecânico de concreto com bomba rebocável com capacidade de 30 m³/h - confecção em central dosadora de 30 m³/h</v>
      </c>
      <c r="F908" s="197" t="str">
        <f>VLOOKUP($D908,'Preços Unitários'!$B:$G,3,FALSE)</f>
        <v>m³</v>
      </c>
      <c r="G908" s="200">
        <f>+'MC Canais'!J699</f>
        <v>1811.6000000000001</v>
      </c>
      <c r="H908" s="200">
        <f>VLOOKUP($D908,'Preços Unitários'!$B:$G,6,FALSE)</f>
        <v>86.285976000000005</v>
      </c>
      <c r="I908" s="201">
        <f t="shared" si="119"/>
        <v>156315.67412160002</v>
      </c>
      <c r="J908" s="299"/>
    </row>
    <row r="909" spans="2:10" ht="28.8" x14ac:dyDescent="0.3">
      <c r="B909" s="197" t="s">
        <v>14541</v>
      </c>
      <c r="C909" s="197" t="s">
        <v>13039</v>
      </c>
      <c r="D909" s="198" t="s">
        <v>206</v>
      </c>
      <c r="E909" s="199" t="str">
        <f>VLOOKUP($D909,'Preços Unitários'!$B:$G,2,FALSE)</f>
        <v>Lábios poliméricos em junta de pavimento de concreto - L = 20 mm e H = 30 mm - confecção e assentamento</v>
      </c>
      <c r="F909" s="197" t="str">
        <f>VLOOKUP($D909,'Preços Unitários'!$B:$G,3,FALSE)</f>
        <v>m</v>
      </c>
      <c r="G909" s="200">
        <f>+'MC Canais'!J700</f>
        <v>14486.556000000002</v>
      </c>
      <c r="H909" s="200">
        <f>VLOOKUP($D909,'Preços Unitários'!$B:$G,6,FALSE)</f>
        <v>39.635428000000005</v>
      </c>
      <c r="I909" s="201">
        <f t="shared" si="119"/>
        <v>574180.84730596817</v>
      </c>
      <c r="J909" s="299"/>
    </row>
    <row r="910" spans="2:10" x14ac:dyDescent="0.3">
      <c r="B910" s="197" t="s">
        <v>14542</v>
      </c>
      <c r="C910" s="197" t="s">
        <v>12</v>
      </c>
      <c r="D910" s="198" t="s">
        <v>13209</v>
      </c>
      <c r="E910" s="199" t="s">
        <v>13208</v>
      </c>
      <c r="F910" s="197" t="s">
        <v>195</v>
      </c>
      <c r="G910" s="200">
        <f>+'MC Canais'!J701</f>
        <v>5964</v>
      </c>
      <c r="H910" s="200">
        <f>+'Composições de Preços'!$F$130</f>
        <v>37.70076957596789</v>
      </c>
      <c r="I910" s="201">
        <f t="shared" si="119"/>
        <v>224847.38975107251</v>
      </c>
      <c r="J910" s="299"/>
    </row>
    <row r="911" spans="2:10" ht="28.8" x14ac:dyDescent="0.3">
      <c r="B911" s="197" t="s">
        <v>14575</v>
      </c>
      <c r="C911" s="197" t="s">
        <v>13039</v>
      </c>
      <c r="D911" s="198" t="s">
        <v>9446</v>
      </c>
      <c r="E911" s="199" t="str">
        <f>VLOOKUP($D911,'Preços Unitários'!$B:$G,2,FALSE)</f>
        <v>Revestimento vegetal com grama em mudas em superfícies inclinadas</v>
      </c>
      <c r="F911" s="197" t="str">
        <f>VLOOKUP($D911,'Preços Unitários'!$B:$G,3,FALSE)</f>
        <v>m²</v>
      </c>
      <c r="G911" s="200">
        <f>+'MC Canais'!J702</f>
        <v>35784</v>
      </c>
      <c r="H911" s="200">
        <f>VLOOKUP($D911,'Preços Unitários'!$B:$G,6,FALSE)</f>
        <v>9.984019</v>
      </c>
      <c r="I911" s="201">
        <f t="shared" si="119"/>
        <v>357268.13589600002</v>
      </c>
      <c r="J911" s="299"/>
    </row>
    <row r="912" spans="2:10" x14ac:dyDescent="0.3">
      <c r="B912" s="202" t="s">
        <v>13455</v>
      </c>
      <c r="C912" s="202" t="s">
        <v>13</v>
      </c>
      <c r="D912" s="203" t="s">
        <v>13</v>
      </c>
      <c r="E912" s="204" t="s">
        <v>13222</v>
      </c>
      <c r="F912" s="202"/>
      <c r="G912" s="200">
        <f>+'MC Canais'!J703</f>
        <v>0</v>
      </c>
      <c r="H912" s="205"/>
      <c r="I912" s="205"/>
      <c r="J912" s="299"/>
    </row>
    <row r="913" spans="2:10" x14ac:dyDescent="0.3">
      <c r="B913" s="197" t="s">
        <v>13456</v>
      </c>
      <c r="C913" s="197" t="s">
        <v>13039</v>
      </c>
      <c r="D913" s="198" t="s">
        <v>9806</v>
      </c>
      <c r="E913" s="199" t="str">
        <f>VLOOKUP($D913,'Preços Unitários'!$B:$G,2,FALSE)</f>
        <v>Escavação mecânica de vala em material de 1ª categoria</v>
      </c>
      <c r="F913" s="197" t="str">
        <f>VLOOKUP($D913,'Preços Unitários'!$B:$G,3,FALSE)</f>
        <v>m³</v>
      </c>
      <c r="G913" s="200">
        <f>+'MC Canais'!J704</f>
        <v>2504.88</v>
      </c>
      <c r="H913" s="200">
        <f>VLOOKUP($D913,'Preços Unitários'!$B:$G,6,FALSE)</f>
        <v>8.7313189999999992</v>
      </c>
      <c r="I913" s="201">
        <f t="shared" ref="I913:I919" si="120">+G913*H913</f>
        <v>21870.90633672</v>
      </c>
      <c r="J913" s="299"/>
    </row>
    <row r="914" spans="2:10" x14ac:dyDescent="0.3">
      <c r="B914" s="197" t="s">
        <v>13457</v>
      </c>
      <c r="C914" s="197" t="s">
        <v>13039</v>
      </c>
      <c r="D914" s="198" t="s">
        <v>9830</v>
      </c>
      <c r="E914" s="199" t="str">
        <f>VLOOKUP($D914,'Preços Unitários'!$B:$G,2,FALSE)</f>
        <v>Reaterro e compactação com soquete vibratório</v>
      </c>
      <c r="F914" s="197" t="str">
        <f>VLOOKUP($D914,'Preços Unitários'!$B:$G,3,FALSE)</f>
        <v>m³</v>
      </c>
      <c r="G914" s="200">
        <f>+'MC Canais'!J705</f>
        <v>1431.3600000000001</v>
      </c>
      <c r="H914" s="200">
        <f>VLOOKUP($D914,'Preços Unitários'!$B:$G,6,FALSE)</f>
        <v>22.611235000000001</v>
      </c>
      <c r="I914" s="201">
        <f t="shared" si="120"/>
        <v>32364.817329600002</v>
      </c>
      <c r="J914" s="299"/>
    </row>
    <row r="915" spans="2:10" ht="28.8" x14ac:dyDescent="0.3">
      <c r="B915" s="197" t="s">
        <v>13458</v>
      </c>
      <c r="C915" s="197" t="s">
        <v>13039</v>
      </c>
      <c r="D915" s="198" t="s">
        <v>11947</v>
      </c>
      <c r="E915" s="199" t="str">
        <f>VLOOKUP($D915,'Preços Unitários'!$B:$G,2,FALSE)</f>
        <v>Transporte com caminhão basculante de 14 m³ - rodovia em leito natural</v>
      </c>
      <c r="F915" s="197" t="str">
        <f>VLOOKUP($D915,'Preços Unitários'!$B:$G,3,FALSE)</f>
        <v>tkm</v>
      </c>
      <c r="G915" s="200">
        <f>+'MC Canais'!J706</f>
        <v>7514.6399999999994</v>
      </c>
      <c r="H915" s="200">
        <f>VLOOKUP($D915,'Preços Unitários'!$B:$G,6,FALSE)</f>
        <v>1.165011</v>
      </c>
      <c r="I915" s="201">
        <f t="shared" si="120"/>
        <v>8754.6382610399996</v>
      </c>
      <c r="J915" s="299"/>
    </row>
    <row r="916" spans="2:10" ht="28.8" x14ac:dyDescent="0.3">
      <c r="B916" s="197" t="s">
        <v>13459</v>
      </c>
      <c r="C916" s="197" t="s">
        <v>12</v>
      </c>
      <c r="D916" s="198" t="s">
        <v>13224</v>
      </c>
      <c r="E916" s="199" t="s">
        <v>13223</v>
      </c>
      <c r="F916" s="197" t="s">
        <v>2904</v>
      </c>
      <c r="G916" s="200">
        <f>+'MC Canais'!J707</f>
        <v>7156.8</v>
      </c>
      <c r="H916" s="200">
        <f>+'Composições de Preços'!$F$173</f>
        <v>26.052132569499999</v>
      </c>
      <c r="I916" s="201">
        <f t="shared" si="120"/>
        <v>186449.90237339761</v>
      </c>
      <c r="J916" s="297"/>
    </row>
    <row r="917" spans="2:10" ht="28.8" x14ac:dyDescent="0.3">
      <c r="B917" s="197" t="s">
        <v>13460</v>
      </c>
      <c r="C917" s="197" t="s">
        <v>13039</v>
      </c>
      <c r="D917" s="198" t="s">
        <v>6908</v>
      </c>
      <c r="E917" s="199" t="str">
        <f>VLOOKUP($D917,'Preços Unitários'!$B:$G,2,FALSE)</f>
        <v>Tubo de concreto perfurado produzido na obra para drenagem - D = 0,40 m - fornecimento e instalação</v>
      </c>
      <c r="F917" s="197" t="str">
        <f>VLOOKUP($D917,'Preços Unitários'!$B:$G,3,FALSE)</f>
        <v>m</v>
      </c>
      <c r="G917" s="200">
        <f>+'MC Canais'!J708</f>
        <v>2982</v>
      </c>
      <c r="H917" s="200">
        <f>VLOOKUP($D917,'Preços Unitários'!$B:$G,6,FALSE)</f>
        <v>116.764167</v>
      </c>
      <c r="I917" s="201">
        <f t="shared" si="120"/>
        <v>348190.745994</v>
      </c>
      <c r="J917" s="299"/>
    </row>
    <row r="918" spans="2:10" ht="28.8" x14ac:dyDescent="0.3">
      <c r="B918" s="197" t="s">
        <v>13461</v>
      </c>
      <c r="C918" s="197" t="s">
        <v>13039</v>
      </c>
      <c r="D918" s="198" t="s">
        <v>6438</v>
      </c>
      <c r="E918" s="199" t="str">
        <f>VLOOKUP($D918,'Preços Unitários'!$B:$G,2,FALSE)</f>
        <v>Lastro de brita comercial compactado com soquete vibratório - espalhamento manual</v>
      </c>
      <c r="F918" s="197" t="str">
        <f>VLOOKUP($D918,'Preços Unitários'!$B:$G,3,FALSE)</f>
        <v>m³</v>
      </c>
      <c r="G918" s="200">
        <f>+'MC Canais'!J709</f>
        <v>698.98080000000004</v>
      </c>
      <c r="H918" s="200">
        <f>VLOOKUP($D918,'Preços Unitários'!$B:$G,6,FALSE)</f>
        <v>239.34086200000002</v>
      </c>
      <c r="I918" s="201">
        <f t="shared" si="120"/>
        <v>167294.66719344963</v>
      </c>
      <c r="J918" s="299"/>
    </row>
    <row r="919" spans="2:10" x14ac:dyDescent="0.3">
      <c r="B919" s="197" t="s">
        <v>13462</v>
      </c>
      <c r="C919" s="197" t="s">
        <v>13039</v>
      </c>
      <c r="D919" s="206" t="s">
        <v>6430</v>
      </c>
      <c r="E919" s="199" t="str">
        <f>VLOOKUP($D919,'Preços Unitários'!$B:$G,2,FALSE)</f>
        <v>Lastro de areia comercial - espalhamento manual</v>
      </c>
      <c r="F919" s="197" t="str">
        <f>VLOOKUP($D919,'Preços Unitários'!$B:$G,3,FALSE)</f>
        <v>m³</v>
      </c>
      <c r="G919" s="200">
        <f>+'MC Canais'!J710</f>
        <v>357.84000000000003</v>
      </c>
      <c r="H919" s="200">
        <f>VLOOKUP($D919,'Preços Unitários'!$B:$G,6,FALSE)</f>
        <v>198.06439700000001</v>
      </c>
      <c r="I919" s="201">
        <f t="shared" si="120"/>
        <v>70875.363822480009</v>
      </c>
      <c r="J919" s="299"/>
    </row>
    <row r="920" spans="2:10" s="243" customFormat="1" ht="28.8" x14ac:dyDescent="0.3">
      <c r="B920" s="197" t="s">
        <v>13463</v>
      </c>
      <c r="C920" s="197" t="s">
        <v>13</v>
      </c>
      <c r="D920" s="198" t="s">
        <v>13</v>
      </c>
      <c r="E920" s="207" t="s">
        <v>13228</v>
      </c>
      <c r="F920" s="197"/>
      <c r="G920" s="200">
        <f>+'MC Canais'!J711</f>
        <v>0</v>
      </c>
      <c r="H920" s="201"/>
      <c r="I920" s="201"/>
      <c r="J920" s="299"/>
    </row>
    <row r="921" spans="2:10" ht="28.8" x14ac:dyDescent="0.3">
      <c r="B921" s="197" t="s">
        <v>13464</v>
      </c>
      <c r="C921" s="197" t="s">
        <v>13039</v>
      </c>
      <c r="D921" s="198" t="s">
        <v>6964</v>
      </c>
      <c r="E921" s="199" t="str">
        <f>VLOOKUP($D921,'Preços Unitários'!$B:$G,2,FALSE)</f>
        <v>Valeta de proteção de cortes com revestimento vegetal - VPCG 120-30 - escavação mecânica</v>
      </c>
      <c r="F921" s="197" t="str">
        <f>VLOOKUP($D921,'Preços Unitários'!$B:$G,3,FALSE)</f>
        <v>m</v>
      </c>
      <c r="G921" s="200">
        <f>+'MC Canais'!J712</f>
        <v>5964</v>
      </c>
      <c r="H921" s="200">
        <f>VLOOKUP($D921,'Preços Unitários'!$B:$G,6,FALSE)</f>
        <v>51.961995999999999</v>
      </c>
      <c r="I921" s="201">
        <f t="shared" ref="I921:I924" si="121">+G921*H921</f>
        <v>309901.34414399997</v>
      </c>
      <c r="J921" s="299"/>
    </row>
    <row r="922" spans="2:10" ht="28.8" x14ac:dyDescent="0.3">
      <c r="B922" s="197" t="s">
        <v>13465</v>
      </c>
      <c r="C922" s="197" t="s">
        <v>13039</v>
      </c>
      <c r="D922" s="198" t="s">
        <v>6744</v>
      </c>
      <c r="E922" s="199" t="str">
        <f>VLOOKUP($D922,'Preços Unitários'!$B:$G,2,FALSE)</f>
        <v>Sarjeta triangular de grama - STG 125-25 - escavação mecânica</v>
      </c>
      <c r="F922" s="197" t="str">
        <f>VLOOKUP($D922,'Preços Unitários'!$B:$G,3,FALSE)</f>
        <v>m</v>
      </c>
      <c r="G922" s="200">
        <f>+'MC Canais'!J713</f>
        <v>5964</v>
      </c>
      <c r="H922" s="200">
        <f>VLOOKUP($D922,'Preços Unitários'!$B:$G,6,FALSE)</f>
        <v>29.776679000000001</v>
      </c>
      <c r="I922" s="201">
        <f t="shared" si="121"/>
        <v>177588.113556</v>
      </c>
      <c r="J922" s="299"/>
    </row>
    <row r="923" spans="2:10" ht="28.8" x14ac:dyDescent="0.3">
      <c r="B923" s="197" t="s">
        <v>13466</v>
      </c>
      <c r="C923" s="197" t="s">
        <v>13039</v>
      </c>
      <c r="D923" s="198" t="s">
        <v>2740</v>
      </c>
      <c r="E923" s="199" t="str">
        <f>VLOOKUP($D923,'Preços Unitários'!$B:$G,2,FALSE)</f>
        <v>Corpo de BSTC D = 0,80 m PA1 - areia, brita e pedra de mão comerciais</v>
      </c>
      <c r="F923" s="197" t="str">
        <f>VLOOKUP($D923,'Preços Unitários'!$B:$G,3,FALSE)</f>
        <v>m</v>
      </c>
      <c r="G923" s="200">
        <f>+'MC Canais'!J714</f>
        <v>0</v>
      </c>
      <c r="H923" s="200">
        <f>VLOOKUP($D923,'Preços Unitários'!$B:$G,6,FALSE)</f>
        <v>799.67357200000004</v>
      </c>
      <c r="I923" s="201">
        <f t="shared" si="121"/>
        <v>0</v>
      </c>
      <c r="J923" s="299"/>
    </row>
    <row r="924" spans="2:10" ht="28.8" x14ac:dyDescent="0.3">
      <c r="B924" s="197" t="s">
        <v>13467</v>
      </c>
      <c r="C924" s="197" t="s">
        <v>13039</v>
      </c>
      <c r="D924" s="208" t="s">
        <v>2172</v>
      </c>
      <c r="E924" s="199" t="str">
        <f>VLOOKUP($D924,'Preços Unitários'!$B:$G,2,FALSE)</f>
        <v>Boca de BSTC D = 0,80 m - esconsidade 0° - areia e brita comerciais - alas retas</v>
      </c>
      <c r="F924" s="197" t="str">
        <f>VLOOKUP($D924,'Preços Unitários'!$B:$G,3,FALSE)</f>
        <v>un</v>
      </c>
      <c r="G924" s="200">
        <f>+'MC Canais'!J715</f>
        <v>0</v>
      </c>
      <c r="H924" s="200">
        <f>VLOOKUP($D924,'Preços Unitários'!$B:$G,6,FALSE)</f>
        <v>1606.687966</v>
      </c>
      <c r="I924" s="201">
        <f t="shared" si="121"/>
        <v>0</v>
      </c>
      <c r="J924" s="299"/>
    </row>
    <row r="925" spans="2:10" s="243" customFormat="1" x14ac:dyDescent="0.3">
      <c r="B925" s="197" t="s">
        <v>13468</v>
      </c>
      <c r="C925" s="197" t="s">
        <v>13</v>
      </c>
      <c r="D925" s="198" t="s">
        <v>13</v>
      </c>
      <c r="E925" s="207" t="s">
        <v>13230</v>
      </c>
      <c r="F925" s="197"/>
      <c r="G925" s="200">
        <f>+'MC Canais'!J716</f>
        <v>0</v>
      </c>
      <c r="H925" s="201"/>
      <c r="I925" s="201"/>
      <c r="J925" s="299"/>
    </row>
    <row r="926" spans="2:10" ht="28.8" x14ac:dyDescent="0.3">
      <c r="B926" s="197" t="s">
        <v>13469</v>
      </c>
      <c r="C926" s="197" t="s">
        <v>13039</v>
      </c>
      <c r="D926" s="198" t="s">
        <v>11088</v>
      </c>
      <c r="E926" s="199" t="str">
        <f>VLOOKUP($D926,'Preços Unitários'!$B:$G,2,FALSE)</f>
        <v>Escavação mecânica com retroescavadeira em material de 1ª categoria</v>
      </c>
      <c r="F926" s="197" t="str">
        <f>VLOOKUP($D926,'Preços Unitários'!$B:$G,3,FALSE)</f>
        <v>m³</v>
      </c>
      <c r="G926" s="200">
        <f>+'MC Canais'!J717</f>
        <v>3131.1</v>
      </c>
      <c r="H926" s="200">
        <f>VLOOKUP($D926,'Preços Unitários'!$B:$G,6,FALSE)</f>
        <v>8.7313189999999992</v>
      </c>
      <c r="I926" s="201">
        <f t="shared" ref="I926:I930" si="122">+G926*H926</f>
        <v>27338.632920899996</v>
      </c>
      <c r="J926" s="299"/>
    </row>
    <row r="927" spans="2:10" x14ac:dyDescent="0.3">
      <c r="B927" s="197" t="s">
        <v>13470</v>
      </c>
      <c r="C927" s="197" t="s">
        <v>13039</v>
      </c>
      <c r="D927" s="198" t="s">
        <v>11046</v>
      </c>
      <c r="E927" s="199" t="str">
        <f>VLOOKUP($D927,'Preços Unitários'!$B:$G,2,FALSE)</f>
        <v>Compactação de aterros a 100% do Proctor normal</v>
      </c>
      <c r="F927" s="197" t="str">
        <f>VLOOKUP($D927,'Preços Unitários'!$B:$G,3,FALSE)</f>
        <v>m³</v>
      </c>
      <c r="G927" s="200">
        <f>+'MC Canais'!J718</f>
        <v>2087.4</v>
      </c>
      <c r="H927" s="200">
        <f>VLOOKUP($D927,'Preços Unitários'!$B:$G,6,FALSE)</f>
        <v>7.1028090000000006</v>
      </c>
      <c r="I927" s="201">
        <f t="shared" si="122"/>
        <v>14826.403506600001</v>
      </c>
      <c r="J927" s="299"/>
    </row>
    <row r="928" spans="2:10" ht="28.8" x14ac:dyDescent="0.3">
      <c r="B928" s="197" t="s">
        <v>13471</v>
      </c>
      <c r="C928" s="197" t="s">
        <v>13039</v>
      </c>
      <c r="D928" s="198" t="s">
        <v>11947</v>
      </c>
      <c r="E928" s="199" t="str">
        <f>VLOOKUP($D928,'Preços Unitários'!$B:$G,2,FALSE)</f>
        <v>Transporte com caminhão basculante de 14 m³ - rodovia em leito natural</v>
      </c>
      <c r="F928" s="197" t="str">
        <f>VLOOKUP($D928,'Preços Unitários'!$B:$G,3,FALSE)</f>
        <v>tkm</v>
      </c>
      <c r="G928" s="200">
        <f>+'MC Canais'!J719</f>
        <v>1043.6999999999998</v>
      </c>
      <c r="H928" s="200">
        <f>VLOOKUP($D928,'Preços Unitários'!$B:$G,6,FALSE)</f>
        <v>1.165011</v>
      </c>
      <c r="I928" s="201">
        <f t="shared" si="122"/>
        <v>1215.9219806999997</v>
      </c>
      <c r="J928" s="299"/>
    </row>
    <row r="929" spans="1:10" x14ac:dyDescent="0.3">
      <c r="B929" s="197" t="s">
        <v>13472</v>
      </c>
      <c r="C929" s="197" t="s">
        <v>13039</v>
      </c>
      <c r="D929" s="198" t="s">
        <v>9440</v>
      </c>
      <c r="E929" s="199" t="str">
        <f>VLOOKUP($D929,'Preços Unitários'!$B:$G,2,FALSE)</f>
        <v>Regularização de superfície com motoniveladora</v>
      </c>
      <c r="F929" s="197" t="str">
        <f>VLOOKUP($D929,'Preços Unitários'!$B:$G,3,FALSE)</f>
        <v>m²</v>
      </c>
      <c r="G929" s="200">
        <f>+'MC Canais'!J720</f>
        <v>20874</v>
      </c>
      <c r="H929" s="200">
        <f>VLOOKUP($D929,'Preços Unitários'!$B:$G,6,FALSE)</f>
        <v>0.100216</v>
      </c>
      <c r="I929" s="201">
        <f t="shared" si="122"/>
        <v>2091.9087840000002</v>
      </c>
      <c r="J929" s="299"/>
    </row>
    <row r="930" spans="1:10" x14ac:dyDescent="0.3">
      <c r="B930" s="197" t="s">
        <v>13473</v>
      </c>
      <c r="C930" s="197" t="s">
        <v>12</v>
      </c>
      <c r="D930" s="198" t="s">
        <v>13232</v>
      </c>
      <c r="E930" s="199" t="s">
        <v>13231</v>
      </c>
      <c r="F930" s="197" t="s">
        <v>427</v>
      </c>
      <c r="G930" s="200">
        <f>+'MC Canais'!J721</f>
        <v>1565.55</v>
      </c>
      <c r="H930" s="200">
        <f>+'Composições de Preços'!$F$216</f>
        <v>214.40019935426301</v>
      </c>
      <c r="I930" s="201">
        <f t="shared" si="122"/>
        <v>335654.23209906643</v>
      </c>
      <c r="J930" s="299"/>
    </row>
    <row r="931" spans="1:10" s="243" customFormat="1" x14ac:dyDescent="0.3">
      <c r="B931" s="197" t="s">
        <v>13474</v>
      </c>
      <c r="C931" s="197" t="s">
        <v>13</v>
      </c>
      <c r="D931" s="198" t="s">
        <v>13</v>
      </c>
      <c r="E931" s="207" t="s">
        <v>13386</v>
      </c>
      <c r="F931" s="197"/>
      <c r="G931" s="200">
        <f>+'MC Canais'!J722</f>
        <v>0</v>
      </c>
      <c r="H931" s="201"/>
      <c r="I931" s="201"/>
      <c r="J931" s="299"/>
    </row>
    <row r="932" spans="1:10" ht="28.8" x14ac:dyDescent="0.3">
      <c r="B932" s="197" t="s">
        <v>13475</v>
      </c>
      <c r="C932" s="197" t="s">
        <v>13039</v>
      </c>
      <c r="D932" s="198" t="s">
        <v>8625</v>
      </c>
      <c r="E932" s="199" t="str">
        <f>VLOOKUP($D932,'Preços Unitários'!$B:$G,2,FALSE)</f>
        <v>Cerca com 4 fios de arame liso galvanizado e mourão de madeira a cada 2,5 m e esticador a cada 50 m</v>
      </c>
      <c r="F932" s="197" t="str">
        <f>VLOOKUP($D932,'Preços Unitários'!$B:$G,3,FALSE)</f>
        <v>m</v>
      </c>
      <c r="G932" s="200">
        <f>+'MC Canais'!J723</f>
        <v>5964</v>
      </c>
      <c r="H932" s="200">
        <f>VLOOKUP($D932,'Preços Unitários'!$B:$G,6,FALSE)</f>
        <v>27.146009000000003</v>
      </c>
      <c r="I932" s="201">
        <f t="shared" ref="I932" si="123">+G932*H932</f>
        <v>161898.79767600002</v>
      </c>
      <c r="J932" s="299"/>
    </row>
    <row r="933" spans="1:10" s="219" customFormat="1" x14ac:dyDescent="0.3">
      <c r="B933" s="214">
        <v>0</v>
      </c>
      <c r="C933" s="215" t="s">
        <v>13</v>
      </c>
      <c r="D933" s="216" t="s">
        <v>13</v>
      </c>
      <c r="E933" s="217" t="s">
        <v>13347</v>
      </c>
      <c r="F933" s="215" t="s">
        <v>13</v>
      </c>
      <c r="G933" s="214">
        <v>0</v>
      </c>
      <c r="H933" s="214">
        <v>0</v>
      </c>
      <c r="I933" s="214">
        <f>+I934+I971</f>
        <v>20912363.468518659</v>
      </c>
      <c r="J933" s="299"/>
    </row>
    <row r="934" spans="1:10" x14ac:dyDescent="0.3">
      <c r="A934" s="284" t="s">
        <v>14473</v>
      </c>
      <c r="B934" s="286" t="s">
        <v>13055</v>
      </c>
      <c r="C934" s="209" t="s">
        <v>13</v>
      </c>
      <c r="D934" s="210" t="s">
        <v>13</v>
      </c>
      <c r="E934" s="211" t="s">
        <v>13139</v>
      </c>
      <c r="F934" s="209" t="s">
        <v>13</v>
      </c>
      <c r="G934" s="212">
        <v>0</v>
      </c>
      <c r="H934" s="212">
        <v>0</v>
      </c>
      <c r="I934" s="212">
        <f>SUM(I935:I970)</f>
        <v>13552804.806525817</v>
      </c>
      <c r="J934" s="284" t="s">
        <v>14473</v>
      </c>
    </row>
    <row r="935" spans="1:10" x14ac:dyDescent="0.3">
      <c r="B935" s="202" t="s">
        <v>13476</v>
      </c>
      <c r="C935" s="202" t="s">
        <v>13</v>
      </c>
      <c r="D935" s="203" t="s">
        <v>13</v>
      </c>
      <c r="E935" s="204" t="s">
        <v>13203</v>
      </c>
      <c r="F935" s="202"/>
      <c r="G935" s="205"/>
      <c r="H935" s="205"/>
      <c r="I935" s="205"/>
      <c r="J935" s="299"/>
    </row>
    <row r="936" spans="1:10" ht="28.8" x14ac:dyDescent="0.3">
      <c r="B936" s="197" t="s">
        <v>13477</v>
      </c>
      <c r="C936" s="197" t="s">
        <v>13039</v>
      </c>
      <c r="D936" s="198" t="s">
        <v>11052</v>
      </c>
      <c r="E936" s="199" t="str">
        <f>VLOOKUP($D936,'Preços Unitários'!$B:$G,2,FALSE)</f>
        <v>Desmatamento, destocamento e limpeza de área com árvores de diâmetro até 0,15 m</v>
      </c>
      <c r="F936" s="197" t="str">
        <f>VLOOKUP($D936,'Preços Unitários'!$B:$G,3,FALSE)</f>
        <v>m²</v>
      </c>
      <c r="G936" s="200">
        <f>+'MC Canais'!J727</f>
        <v>200000</v>
      </c>
      <c r="H936" s="200">
        <f>VLOOKUP($D936,'Preços Unitários'!$B:$G,6,FALSE)</f>
        <v>0.87688999999999995</v>
      </c>
      <c r="I936" s="201">
        <f>+G936*H936</f>
        <v>175378</v>
      </c>
      <c r="J936" s="299"/>
    </row>
    <row r="937" spans="1:10" ht="43.2" x14ac:dyDescent="0.3">
      <c r="B937" s="197" t="s">
        <v>13478</v>
      </c>
      <c r="C937" s="197" t="s">
        <v>13039</v>
      </c>
      <c r="D937" s="198" t="s">
        <v>11092</v>
      </c>
      <c r="E937" s="199" t="str">
        <f>VLOOKUP($D937,'Preços Unitários'!$B:$G,2,FALSE)</f>
        <v>Escavação, carga e transporte de material de 1ª categoria - DMT de 1.000 a 1.200 m - caminho de serviço em leito natural - com escavadeira e caminhão basculante de 14 m³</v>
      </c>
      <c r="F937" s="197" t="str">
        <f>VLOOKUP($D937,'Preços Unitários'!$B:$G,3,FALSE)</f>
        <v>m³</v>
      </c>
      <c r="G937" s="200">
        <f>+'MC Canais'!J728</f>
        <v>86098.91</v>
      </c>
      <c r="H937" s="200">
        <f>VLOOKUP($D937,'Preços Unitários'!$B:$G,6,FALSE)</f>
        <v>10.673003999999999</v>
      </c>
      <c r="I937" s="201">
        <f t="shared" ref="I937:I949" si="124">+G937*H937</f>
        <v>918934.01082563994</v>
      </c>
      <c r="J937" s="297"/>
    </row>
    <row r="938" spans="1:10" x14ac:dyDescent="0.3">
      <c r="B938" s="197" t="s">
        <v>13479</v>
      </c>
      <c r="C938" s="197" t="s">
        <v>13039</v>
      </c>
      <c r="D938" s="198" t="s">
        <v>11046</v>
      </c>
      <c r="E938" s="213" t="str">
        <f>VLOOKUP($D938,'Preços Unitários'!$B:$G,2,FALSE)</f>
        <v>Compactação de aterros a 100% do Proctor normal</v>
      </c>
      <c r="F938" s="197" t="str">
        <f>VLOOKUP($D938,'Preços Unitários'!$B:$G,3,FALSE)</f>
        <v>m³</v>
      </c>
      <c r="G938" s="200">
        <f>+'MC Canais'!J729</f>
        <v>94515.39</v>
      </c>
      <c r="H938" s="200">
        <f>VLOOKUP($D938,'Preços Unitários'!$B:$G,6,FALSE)</f>
        <v>7.1028090000000006</v>
      </c>
      <c r="I938" s="201">
        <f t="shared" si="124"/>
        <v>671324.76273051009</v>
      </c>
      <c r="J938"/>
    </row>
    <row r="939" spans="1:10" ht="28.8" x14ac:dyDescent="0.3">
      <c r="B939" s="197" t="s">
        <v>13480</v>
      </c>
      <c r="C939" s="197" t="s">
        <v>13039</v>
      </c>
      <c r="D939" s="198" t="s">
        <v>11947</v>
      </c>
      <c r="E939" s="199" t="str">
        <f>VLOOKUP($D939,'Preços Unitários'!$B:$G,2,FALSE)</f>
        <v>Transporte com caminhão basculante de 14 m³ - rodovia em leito natural</v>
      </c>
      <c r="F939" s="197" t="str">
        <f>VLOOKUP($D939,'Preços Unitários'!$B:$G,3,FALSE)</f>
        <v>tkm</v>
      </c>
      <c r="G939" s="200">
        <f>+'MC Canais'!J730</f>
        <v>58915.359999999964</v>
      </c>
      <c r="H939" s="200">
        <f>VLOOKUP($D939,'Preços Unitários'!$B:$G,6,FALSE)</f>
        <v>1.165011</v>
      </c>
      <c r="I939" s="201">
        <f t="shared" si="124"/>
        <v>68637.04246895996</v>
      </c>
      <c r="J939" s="297"/>
    </row>
    <row r="940" spans="1:10" x14ac:dyDescent="0.3">
      <c r="B940" s="197" t="s">
        <v>13481</v>
      </c>
      <c r="C940" s="197" t="s">
        <v>13039</v>
      </c>
      <c r="D940" s="198" t="s">
        <v>9440</v>
      </c>
      <c r="E940" s="199" t="str">
        <f>VLOOKUP($D940,'Preços Unitários'!$B:$G,2,FALSE)</f>
        <v>Regularização de superfície com motoniveladora</v>
      </c>
      <c r="F940" s="197" t="str">
        <f>VLOOKUP($D940,'Preços Unitários'!$B:$G,3,FALSE)</f>
        <v>m²</v>
      </c>
      <c r="G940" s="200">
        <f>+'MC Canais'!J731</f>
        <v>7500</v>
      </c>
      <c r="H940" s="200">
        <f>VLOOKUP($D940,'Preços Unitários'!$B:$G,6,FALSE)</f>
        <v>0.100216</v>
      </c>
      <c r="I940" s="201">
        <f>+G940*H940</f>
        <v>751.62</v>
      </c>
      <c r="J940" s="299"/>
    </row>
    <row r="941" spans="1:10" ht="28.8" x14ac:dyDescent="0.3">
      <c r="B941" s="197" t="s">
        <v>13482</v>
      </c>
      <c r="C941" s="197" t="s">
        <v>12</v>
      </c>
      <c r="D941" s="198" t="s">
        <v>13205</v>
      </c>
      <c r="E941" s="199" t="s">
        <v>13204</v>
      </c>
      <c r="F941" s="197" t="s">
        <v>2904</v>
      </c>
      <c r="G941" s="200">
        <f>+'MC Canais'!J732</f>
        <v>9120.91</v>
      </c>
      <c r="H941" s="200">
        <f>+'Composições de Preços'!$F$87</f>
        <v>59.387948601153852</v>
      </c>
      <c r="I941" s="201">
        <f t="shared" si="124"/>
        <v>541672.13427575014</v>
      </c>
      <c r="J941" s="299"/>
    </row>
    <row r="942" spans="1:10" ht="28.8" x14ac:dyDescent="0.3">
      <c r="B942" s="197" t="s">
        <v>13483</v>
      </c>
      <c r="C942" s="197" t="s">
        <v>12</v>
      </c>
      <c r="D942" s="198" t="s">
        <v>14504</v>
      </c>
      <c r="E942" s="199" t="s">
        <v>14497</v>
      </c>
      <c r="F942" s="197" t="s">
        <v>427</v>
      </c>
      <c r="G942" s="200">
        <f>+'MC Canais'!J733</f>
        <v>7296.8</v>
      </c>
      <c r="H942" s="200">
        <f>+'Composições de Preços'!$F$446</f>
        <v>99.894988108799993</v>
      </c>
      <c r="I942" s="201">
        <f t="shared" si="124"/>
        <v>728913.74923229183</v>
      </c>
      <c r="J942" s="299"/>
    </row>
    <row r="943" spans="1:10" ht="28.8" x14ac:dyDescent="0.3">
      <c r="B943" s="197" t="s">
        <v>13484</v>
      </c>
      <c r="C943" s="197" t="s">
        <v>12</v>
      </c>
      <c r="D943" s="198" t="s">
        <v>13192</v>
      </c>
      <c r="E943" s="199" t="s">
        <v>13191</v>
      </c>
      <c r="F943" s="197" t="s">
        <v>2904</v>
      </c>
      <c r="G943" s="200">
        <f>+'MC Canais'!J734</f>
        <v>36484</v>
      </c>
      <c r="H943" s="200">
        <f>+'Composições de Preços'!$F$44</f>
        <v>73.117919302000004</v>
      </c>
      <c r="I943" s="201">
        <f t="shared" si="124"/>
        <v>2667634.1678141681</v>
      </c>
      <c r="J943" s="299"/>
    </row>
    <row r="944" spans="1:10" ht="28.8" x14ac:dyDescent="0.3">
      <c r="B944" s="197" t="s">
        <v>13485</v>
      </c>
      <c r="C944" s="197" t="s">
        <v>12</v>
      </c>
      <c r="D944" s="198" t="s">
        <v>14506</v>
      </c>
      <c r="E944" s="199" t="s">
        <v>14505</v>
      </c>
      <c r="F944" s="197" t="s">
        <v>427</v>
      </c>
      <c r="G944" s="200">
        <f>+'MC Canais'!J735</f>
        <v>10000</v>
      </c>
      <c r="H944" s="200">
        <f>+'Composições de Preços'!$F$492</f>
        <v>107.93859485200001</v>
      </c>
      <c r="I944" s="201">
        <f t="shared" si="124"/>
        <v>1079385.9485200001</v>
      </c>
      <c r="J944" s="299"/>
    </row>
    <row r="945" spans="2:10" ht="28.8" x14ac:dyDescent="0.3">
      <c r="B945" s="197" t="s">
        <v>13486</v>
      </c>
      <c r="C945" s="197" t="s">
        <v>13039</v>
      </c>
      <c r="D945" s="198" t="s">
        <v>3149</v>
      </c>
      <c r="E945" s="199" t="str">
        <f>VLOOKUP($D945,'Preços Unitários'!$B:$G,2,FALSE)</f>
        <v>Concreto para bombeamento fck = 30 MPa - confecção em central dosadora de 30 m³/h - areia e brita comerciais</v>
      </c>
      <c r="F945" s="197" t="str">
        <f>VLOOKUP($D945,'Preços Unitários'!$B:$G,3,FALSE)</f>
        <v>m³</v>
      </c>
      <c r="G945" s="200">
        <f>+'MC Canais'!J736</f>
        <v>2553.88</v>
      </c>
      <c r="H945" s="200">
        <f>VLOOKUP($D945,'Preços Unitários'!$B:$G,6,FALSE)</f>
        <v>575.92882499999996</v>
      </c>
      <c r="I945" s="201">
        <f t="shared" si="124"/>
        <v>1470853.1075909999</v>
      </c>
      <c r="J945" s="299"/>
    </row>
    <row r="946" spans="2:10" ht="43.2" x14ac:dyDescent="0.3">
      <c r="B946" s="197" t="s">
        <v>13487</v>
      </c>
      <c r="C946" s="197" t="s">
        <v>13039</v>
      </c>
      <c r="D946" s="198" t="s">
        <v>3201</v>
      </c>
      <c r="E946" s="199" t="str">
        <f>VLOOKUP($D946,'Preços Unitários'!$B:$G,2,FALSE)</f>
        <v>Lançamento mecânico de concreto com bomba rebocável com capacidade de 30 m³/h - confecção em central dosadora de 30 m³/h</v>
      </c>
      <c r="F946" s="197" t="str">
        <f>VLOOKUP($D946,'Preços Unitários'!$B:$G,3,FALSE)</f>
        <v>m³</v>
      </c>
      <c r="G946" s="200">
        <f>+'MC Canais'!J737</f>
        <v>2553.88</v>
      </c>
      <c r="H946" s="200">
        <f>VLOOKUP($D946,'Preços Unitários'!$B:$G,6,FALSE)</f>
        <v>86.285976000000005</v>
      </c>
      <c r="I946" s="201">
        <f t="shared" si="124"/>
        <v>220364.02838688003</v>
      </c>
      <c r="J946" s="299"/>
    </row>
    <row r="947" spans="2:10" ht="28.8" x14ac:dyDescent="0.3">
      <c r="B947" s="197" t="s">
        <v>14539</v>
      </c>
      <c r="C947" s="197" t="s">
        <v>13039</v>
      </c>
      <c r="D947" s="198" t="s">
        <v>206</v>
      </c>
      <c r="E947" s="199" t="str">
        <f>VLOOKUP($D947,'Preços Unitários'!$B:$G,2,FALSE)</f>
        <v>Lábios poliméricos em junta de pavimento de concreto - L = 20 mm e H = 30 mm - confecção e assentamento</v>
      </c>
      <c r="F947" s="197" t="str">
        <f>VLOOKUP($D947,'Preços Unitários'!$B:$G,3,FALSE)</f>
        <v>m</v>
      </c>
      <c r="G947" s="200">
        <f>+'MC Canais'!J738</f>
        <v>20870.000000000004</v>
      </c>
      <c r="H947" s="200">
        <f>VLOOKUP($D947,'Preços Unitários'!$B:$G,6,FALSE)</f>
        <v>39.635428000000005</v>
      </c>
      <c r="I947" s="201">
        <f t="shared" si="124"/>
        <v>827191.38236000028</v>
      </c>
      <c r="J947" s="299"/>
    </row>
    <row r="948" spans="2:10" x14ac:dyDescent="0.3">
      <c r="B948" s="197" t="s">
        <v>14540</v>
      </c>
      <c r="C948" s="197" t="s">
        <v>12</v>
      </c>
      <c r="D948" s="198" t="s">
        <v>13209</v>
      </c>
      <c r="E948" s="199" t="s">
        <v>13208</v>
      </c>
      <c r="F948" s="197" t="s">
        <v>195</v>
      </c>
      <c r="G948" s="200">
        <f>+'MC Canais'!J739</f>
        <v>10000</v>
      </c>
      <c r="H948" s="200">
        <f>+'Composições de Preços'!$F$130</f>
        <v>37.70076957596789</v>
      </c>
      <c r="I948" s="201">
        <f t="shared" si="124"/>
        <v>377007.6957596789</v>
      </c>
      <c r="J948" s="299"/>
    </row>
    <row r="949" spans="2:10" ht="28.8" x14ac:dyDescent="0.3">
      <c r="B949" s="197" t="s">
        <v>14576</v>
      </c>
      <c r="C949" s="197" t="s">
        <v>13039</v>
      </c>
      <c r="D949" s="198" t="s">
        <v>9446</v>
      </c>
      <c r="E949" s="199" t="str">
        <f>VLOOKUP($D949,'Preços Unitários'!$B:$G,2,FALSE)</f>
        <v>Revestimento vegetal com grama em mudas em superfícies inclinadas</v>
      </c>
      <c r="F949" s="197" t="str">
        <f>VLOOKUP($D949,'Preços Unitários'!$B:$G,3,FALSE)</f>
        <v>m²</v>
      </c>
      <c r="G949" s="200">
        <f>+'MC Canais'!J740</f>
        <v>60000</v>
      </c>
      <c r="H949" s="200">
        <f>VLOOKUP($D949,'Preços Unitários'!$B:$G,6,FALSE)</f>
        <v>9.984019</v>
      </c>
      <c r="I949" s="201">
        <f t="shared" si="124"/>
        <v>599041.14</v>
      </c>
      <c r="J949" s="299"/>
    </row>
    <row r="950" spans="2:10" x14ac:dyDescent="0.3">
      <c r="B950" s="202" t="s">
        <v>13488</v>
      </c>
      <c r="C950" s="202" t="s">
        <v>13</v>
      </c>
      <c r="D950" s="203" t="s">
        <v>13</v>
      </c>
      <c r="E950" s="204" t="s">
        <v>13222</v>
      </c>
      <c r="F950" s="202"/>
      <c r="G950" s="200">
        <f>+'MC Canais'!J741</f>
        <v>0</v>
      </c>
      <c r="H950" s="205"/>
      <c r="I950" s="205"/>
      <c r="J950" s="299"/>
    </row>
    <row r="951" spans="2:10" x14ac:dyDescent="0.3">
      <c r="B951" s="197" t="s">
        <v>13489</v>
      </c>
      <c r="C951" s="197" t="s">
        <v>13039</v>
      </c>
      <c r="D951" s="198" t="s">
        <v>9806</v>
      </c>
      <c r="E951" s="199" t="str">
        <f>VLOOKUP($D951,'Preços Unitários'!$B:$G,2,FALSE)</f>
        <v>Escavação mecânica de vala em material de 1ª categoria</v>
      </c>
      <c r="F951" s="197" t="str">
        <f>VLOOKUP($D951,'Preços Unitários'!$B:$G,3,FALSE)</f>
        <v>m³</v>
      </c>
      <c r="G951" s="200">
        <f>+'MC Canais'!J742</f>
        <v>4200</v>
      </c>
      <c r="H951" s="200">
        <f>VLOOKUP($D951,'Preços Unitários'!$B:$G,6,FALSE)</f>
        <v>8.7313189999999992</v>
      </c>
      <c r="I951" s="201">
        <f t="shared" ref="I951:I957" si="125">+G951*H951</f>
        <v>36671.539799999999</v>
      </c>
      <c r="J951" s="297"/>
    </row>
    <row r="952" spans="2:10" x14ac:dyDescent="0.3">
      <c r="B952" s="197" t="s">
        <v>13490</v>
      </c>
      <c r="C952" s="197" t="s">
        <v>13039</v>
      </c>
      <c r="D952" s="198" t="s">
        <v>9830</v>
      </c>
      <c r="E952" s="199" t="str">
        <f>VLOOKUP($D952,'Preços Unitários'!$B:$G,2,FALSE)</f>
        <v>Reaterro e compactação com soquete vibratório</v>
      </c>
      <c r="F952" s="197" t="str">
        <f>VLOOKUP($D952,'Preços Unitários'!$B:$G,3,FALSE)</f>
        <v>m³</v>
      </c>
      <c r="G952" s="200">
        <f>+'MC Canais'!J743</f>
        <v>2400</v>
      </c>
      <c r="H952" s="200">
        <f>VLOOKUP($D952,'Preços Unitários'!$B:$G,6,FALSE)</f>
        <v>22.611235000000001</v>
      </c>
      <c r="I952" s="201">
        <f t="shared" si="125"/>
        <v>54266.964</v>
      </c>
      <c r="J952" s="299"/>
    </row>
    <row r="953" spans="2:10" ht="28.8" x14ac:dyDescent="0.3">
      <c r="B953" s="197" t="s">
        <v>13491</v>
      </c>
      <c r="C953" s="197" t="s">
        <v>13039</v>
      </c>
      <c r="D953" s="198" t="s">
        <v>11947</v>
      </c>
      <c r="E953" s="199" t="str">
        <f>VLOOKUP($D953,'Preços Unitários'!$B:$G,2,FALSE)</f>
        <v>Transporte com caminhão basculante de 14 m³ - rodovia em leito natural</v>
      </c>
      <c r="F953" s="197" t="str">
        <f>VLOOKUP($D953,'Preços Unitários'!$B:$G,3,FALSE)</f>
        <v>tkm</v>
      </c>
      <c r="G953" s="200">
        <f>+'MC Canais'!J744</f>
        <v>12600</v>
      </c>
      <c r="H953" s="200">
        <f>VLOOKUP($D953,'Preços Unitários'!$B:$G,6,FALSE)</f>
        <v>1.165011</v>
      </c>
      <c r="I953" s="201">
        <f t="shared" si="125"/>
        <v>14679.1386</v>
      </c>
      <c r="J953" s="299"/>
    </row>
    <row r="954" spans="2:10" ht="28.8" x14ac:dyDescent="0.3">
      <c r="B954" s="197" t="s">
        <v>13492</v>
      </c>
      <c r="C954" s="197" t="s">
        <v>12</v>
      </c>
      <c r="D954" s="198" t="s">
        <v>13224</v>
      </c>
      <c r="E954" s="199" t="s">
        <v>13223</v>
      </c>
      <c r="F954" s="197" t="s">
        <v>2904</v>
      </c>
      <c r="G954" s="200">
        <f>+'MC Canais'!J745</f>
        <v>12000</v>
      </c>
      <c r="H954" s="200">
        <f>+'Composições de Preços'!$F$173</f>
        <v>26.052132569499999</v>
      </c>
      <c r="I954" s="201">
        <f t="shared" si="125"/>
        <v>312625.59083399997</v>
      </c>
      <c r="J954" s="299"/>
    </row>
    <row r="955" spans="2:10" ht="28.8" x14ac:dyDescent="0.3">
      <c r="B955" s="197" t="s">
        <v>13493</v>
      </c>
      <c r="C955" s="197" t="s">
        <v>13039</v>
      </c>
      <c r="D955" s="198" t="s">
        <v>6908</v>
      </c>
      <c r="E955" s="199" t="str">
        <f>VLOOKUP($D955,'Preços Unitários'!$B:$G,2,FALSE)</f>
        <v>Tubo de concreto perfurado produzido na obra para drenagem - D = 0,40 m - fornecimento e instalação</v>
      </c>
      <c r="F955" s="197" t="str">
        <f>VLOOKUP($D955,'Preços Unitários'!$B:$G,3,FALSE)</f>
        <v>m</v>
      </c>
      <c r="G955" s="200">
        <f>+'MC Canais'!J746</f>
        <v>5000</v>
      </c>
      <c r="H955" s="200">
        <f>VLOOKUP($D955,'Preços Unitários'!$B:$G,6,FALSE)</f>
        <v>116.764167</v>
      </c>
      <c r="I955" s="201">
        <f t="shared" si="125"/>
        <v>583820.83499999996</v>
      </c>
      <c r="J955" s="299"/>
    </row>
    <row r="956" spans="2:10" ht="28.8" x14ac:dyDescent="0.3">
      <c r="B956" s="197" t="s">
        <v>13494</v>
      </c>
      <c r="C956" s="197" t="s">
        <v>13039</v>
      </c>
      <c r="D956" s="198" t="s">
        <v>6438</v>
      </c>
      <c r="E956" s="199" t="str">
        <f>VLOOKUP($D956,'Preços Unitários'!$B:$G,2,FALSE)</f>
        <v>Lastro de brita comercial compactado com soquete vibratório - espalhamento manual</v>
      </c>
      <c r="F956" s="197" t="str">
        <f>VLOOKUP($D956,'Preços Unitários'!$B:$G,3,FALSE)</f>
        <v>m³</v>
      </c>
      <c r="G956" s="200">
        <f>+'MC Canais'!J747</f>
        <v>1172</v>
      </c>
      <c r="H956" s="200">
        <f>VLOOKUP($D956,'Preços Unitários'!$B:$G,6,FALSE)</f>
        <v>239.34086200000002</v>
      </c>
      <c r="I956" s="201">
        <f t="shared" si="125"/>
        <v>280507.49026400002</v>
      </c>
      <c r="J956" s="299"/>
    </row>
    <row r="957" spans="2:10" x14ac:dyDescent="0.3">
      <c r="B957" s="197" t="s">
        <v>13495</v>
      </c>
      <c r="C957" s="197" t="s">
        <v>13039</v>
      </c>
      <c r="D957" s="206" t="s">
        <v>6430</v>
      </c>
      <c r="E957" s="199" t="str">
        <f>VLOOKUP($D957,'Preços Unitários'!$B:$G,2,FALSE)</f>
        <v>Lastro de areia comercial - espalhamento manual</v>
      </c>
      <c r="F957" s="197" t="str">
        <f>VLOOKUP($D957,'Preços Unitários'!$B:$G,3,FALSE)</f>
        <v>m³</v>
      </c>
      <c r="G957" s="200">
        <f>+'MC Canais'!J748</f>
        <v>600</v>
      </c>
      <c r="H957" s="200">
        <f>VLOOKUP($D957,'Preços Unitários'!$B:$G,6,FALSE)</f>
        <v>198.06439700000001</v>
      </c>
      <c r="I957" s="201">
        <f t="shared" si="125"/>
        <v>118838.6382</v>
      </c>
      <c r="J957" s="299"/>
    </row>
    <row r="958" spans="2:10" s="243" customFormat="1" ht="28.8" x14ac:dyDescent="0.3">
      <c r="B958" s="197" t="s">
        <v>13496</v>
      </c>
      <c r="C958" s="197" t="s">
        <v>13</v>
      </c>
      <c r="D958" s="198" t="s">
        <v>13</v>
      </c>
      <c r="E958" s="207" t="s">
        <v>13228</v>
      </c>
      <c r="F958" s="197"/>
      <c r="G958" s="200">
        <f>+'MC Canais'!J749</f>
        <v>0</v>
      </c>
      <c r="H958" s="201"/>
      <c r="I958" s="201"/>
      <c r="J958" s="299"/>
    </row>
    <row r="959" spans="2:10" ht="28.8" x14ac:dyDescent="0.3">
      <c r="B959" s="197" t="s">
        <v>13497</v>
      </c>
      <c r="C959" s="197" t="s">
        <v>13039</v>
      </c>
      <c r="D959" s="198" t="s">
        <v>6964</v>
      </c>
      <c r="E959" s="199" t="str">
        <f>VLOOKUP($D959,'Preços Unitários'!$B:$G,2,FALSE)</f>
        <v>Valeta de proteção de cortes com revestimento vegetal - VPCG 120-30 - escavação mecânica</v>
      </c>
      <c r="F959" s="197" t="str">
        <f>VLOOKUP($D959,'Preços Unitários'!$B:$G,3,FALSE)</f>
        <v>m</v>
      </c>
      <c r="G959" s="200">
        <f>+'MC Canais'!J750</f>
        <v>10000</v>
      </c>
      <c r="H959" s="200">
        <f>VLOOKUP($D959,'Preços Unitários'!$B:$G,6,FALSE)</f>
        <v>51.961995999999999</v>
      </c>
      <c r="I959" s="201">
        <f t="shared" ref="I959:I962" si="126">+G959*H959</f>
        <v>519619.95999999996</v>
      </c>
      <c r="J959" s="299"/>
    </row>
    <row r="960" spans="2:10" ht="28.8" x14ac:dyDescent="0.3">
      <c r="B960" s="197" t="s">
        <v>13498</v>
      </c>
      <c r="C960" s="197" t="s">
        <v>13039</v>
      </c>
      <c r="D960" s="198" t="s">
        <v>6744</v>
      </c>
      <c r="E960" s="199" t="str">
        <f>VLOOKUP($D960,'Preços Unitários'!$B:$G,2,FALSE)</f>
        <v>Sarjeta triangular de grama - STG 125-25 - escavação mecânica</v>
      </c>
      <c r="F960" s="197" t="str">
        <f>VLOOKUP($D960,'Preços Unitários'!$B:$G,3,FALSE)</f>
        <v>m</v>
      </c>
      <c r="G960" s="200">
        <f>+'MC Canais'!J751</f>
        <v>10000</v>
      </c>
      <c r="H960" s="200">
        <f>VLOOKUP($D960,'Preços Unitários'!$B:$G,6,FALSE)</f>
        <v>29.776679000000001</v>
      </c>
      <c r="I960" s="201">
        <f t="shared" si="126"/>
        <v>297766.79000000004</v>
      </c>
      <c r="J960" s="299"/>
    </row>
    <row r="961" spans="1:10" ht="28.8" x14ac:dyDescent="0.3">
      <c r="B961" s="197" t="s">
        <v>13499</v>
      </c>
      <c r="C961" s="197" t="s">
        <v>13039</v>
      </c>
      <c r="D961" s="198" t="s">
        <v>2740</v>
      </c>
      <c r="E961" s="199" t="str">
        <f>VLOOKUP($D961,'Preços Unitários'!$B:$G,2,FALSE)</f>
        <v>Corpo de BSTC D = 0,80 m PA1 - areia, brita e pedra de mão comerciais</v>
      </c>
      <c r="F961" s="197" t="str">
        <f>VLOOKUP($D961,'Preços Unitários'!$B:$G,3,FALSE)</f>
        <v>m</v>
      </c>
      <c r="G961" s="200">
        <f>+'MC Canais'!J752</f>
        <v>83.5</v>
      </c>
      <c r="H961" s="200">
        <f>VLOOKUP($D961,'Preços Unitários'!$B:$G,6,FALSE)</f>
        <v>799.67357200000004</v>
      </c>
      <c r="I961" s="201">
        <f t="shared" si="126"/>
        <v>66772.743262000004</v>
      </c>
      <c r="J961" s="299"/>
    </row>
    <row r="962" spans="1:10" ht="28.8" x14ac:dyDescent="0.3">
      <c r="B962" s="197" t="s">
        <v>13500</v>
      </c>
      <c r="C962" s="197" t="s">
        <v>13039</v>
      </c>
      <c r="D962" s="208" t="s">
        <v>2172</v>
      </c>
      <c r="E962" s="199" t="str">
        <f>VLOOKUP($D962,'Preços Unitários'!$B:$G,2,FALSE)</f>
        <v>Boca de BSTC D = 0,80 m - esconsidade 0° - areia e brita comerciais - alas retas</v>
      </c>
      <c r="F962" s="197" t="str">
        <f>VLOOKUP($D962,'Preços Unitários'!$B:$G,3,FALSE)</f>
        <v>un</v>
      </c>
      <c r="G962" s="200">
        <f>+'MC Canais'!J753</f>
        <v>6</v>
      </c>
      <c r="H962" s="200">
        <f>VLOOKUP($D962,'Preços Unitários'!$B:$G,6,FALSE)</f>
        <v>1606.687966</v>
      </c>
      <c r="I962" s="201">
        <f t="shared" si="126"/>
        <v>9640.1277960000007</v>
      </c>
      <c r="J962" s="299"/>
    </row>
    <row r="963" spans="1:10" s="243" customFormat="1" x14ac:dyDescent="0.3">
      <c r="B963" s="197" t="s">
        <v>13501</v>
      </c>
      <c r="C963" s="197" t="s">
        <v>13</v>
      </c>
      <c r="D963" s="198" t="s">
        <v>13</v>
      </c>
      <c r="E963" s="207" t="s">
        <v>13230</v>
      </c>
      <c r="F963" s="197"/>
      <c r="G963" s="200">
        <f>+'MC Canais'!J754</f>
        <v>0</v>
      </c>
      <c r="H963" s="201"/>
      <c r="I963" s="201"/>
      <c r="J963" s="299"/>
    </row>
    <row r="964" spans="1:10" ht="28.8" x14ac:dyDescent="0.3">
      <c r="B964" s="197" t="s">
        <v>13502</v>
      </c>
      <c r="C964" s="197" t="s">
        <v>13039</v>
      </c>
      <c r="D964" s="198" t="s">
        <v>11088</v>
      </c>
      <c r="E964" s="199" t="str">
        <f>VLOOKUP($D964,'Preços Unitários'!$B:$G,2,FALSE)</f>
        <v>Escavação mecânica com retroescavadeira em material de 1ª categoria</v>
      </c>
      <c r="F964" s="197" t="str">
        <f>VLOOKUP($D964,'Preços Unitários'!$B:$G,3,FALSE)</f>
        <v>m³</v>
      </c>
      <c r="G964" s="200">
        <f>+'MC Canais'!J755</f>
        <v>5250</v>
      </c>
      <c r="H964" s="200">
        <f>VLOOKUP($D964,'Preços Unitários'!$B:$G,6,FALSE)</f>
        <v>8.7313189999999992</v>
      </c>
      <c r="I964" s="201">
        <f t="shared" ref="I964:I968" si="127">+G964*H964</f>
        <v>45839.424749999998</v>
      </c>
      <c r="J964" s="299"/>
    </row>
    <row r="965" spans="1:10" x14ac:dyDescent="0.3">
      <c r="B965" s="197" t="s">
        <v>13503</v>
      </c>
      <c r="C965" s="197" t="s">
        <v>13039</v>
      </c>
      <c r="D965" s="198" t="s">
        <v>11046</v>
      </c>
      <c r="E965" s="199" t="str">
        <f>VLOOKUP($D965,'Preços Unitários'!$B:$G,2,FALSE)</f>
        <v>Compactação de aterros a 100% do Proctor normal</v>
      </c>
      <c r="F965" s="197" t="str">
        <f>VLOOKUP($D965,'Preços Unitários'!$B:$G,3,FALSE)</f>
        <v>m³</v>
      </c>
      <c r="G965" s="200">
        <f>+'MC Canais'!J756</f>
        <v>3500</v>
      </c>
      <c r="H965" s="200">
        <f>VLOOKUP($D965,'Preços Unitários'!$B:$G,6,FALSE)</f>
        <v>7.1028090000000006</v>
      </c>
      <c r="I965" s="201">
        <f t="shared" si="127"/>
        <v>24859.831500000004</v>
      </c>
      <c r="J965" s="299"/>
    </row>
    <row r="966" spans="1:10" ht="28.8" x14ac:dyDescent="0.3">
      <c r="B966" s="197" t="s">
        <v>13504</v>
      </c>
      <c r="C966" s="197" t="s">
        <v>13039</v>
      </c>
      <c r="D966" s="198" t="s">
        <v>11947</v>
      </c>
      <c r="E966" s="199" t="str">
        <f>VLOOKUP($D966,'Preços Unitários'!$B:$G,2,FALSE)</f>
        <v>Transporte com caminhão basculante de 14 m³ - rodovia em leito natural</v>
      </c>
      <c r="F966" s="197" t="str">
        <f>VLOOKUP($D966,'Preços Unitários'!$B:$G,3,FALSE)</f>
        <v>tkm</v>
      </c>
      <c r="G966" s="200">
        <f>+'MC Canais'!J757</f>
        <v>1750</v>
      </c>
      <c r="H966" s="200">
        <f>VLOOKUP($D966,'Preços Unitários'!$B:$G,6,FALSE)</f>
        <v>1.165011</v>
      </c>
      <c r="I966" s="201">
        <f t="shared" si="127"/>
        <v>2038.7692500000001</v>
      </c>
      <c r="J966" s="299"/>
    </row>
    <row r="967" spans="1:10" x14ac:dyDescent="0.3">
      <c r="B967" s="197" t="s">
        <v>13505</v>
      </c>
      <c r="C967" s="197" t="s">
        <v>13039</v>
      </c>
      <c r="D967" s="198" t="s">
        <v>9440</v>
      </c>
      <c r="E967" s="199" t="str">
        <f>VLOOKUP($D967,'Preços Unitários'!$B:$G,2,FALSE)</f>
        <v>Regularização de superfície com motoniveladora</v>
      </c>
      <c r="F967" s="197" t="str">
        <f>VLOOKUP($D967,'Preços Unitários'!$B:$G,3,FALSE)</f>
        <v>m²</v>
      </c>
      <c r="G967" s="200">
        <f>+'MC Canais'!J758</f>
        <v>35000</v>
      </c>
      <c r="H967" s="200">
        <f>VLOOKUP($D967,'Preços Unitários'!$B:$G,6,FALSE)</f>
        <v>0.100216</v>
      </c>
      <c r="I967" s="201">
        <f t="shared" si="127"/>
        <v>3507.56</v>
      </c>
      <c r="J967" s="299"/>
    </row>
    <row r="968" spans="1:10" x14ac:dyDescent="0.3">
      <c r="B968" s="197" t="s">
        <v>13506</v>
      </c>
      <c r="C968" s="197" t="s">
        <v>12</v>
      </c>
      <c r="D968" s="198" t="s">
        <v>13232</v>
      </c>
      <c r="E968" s="199" t="s">
        <v>13231</v>
      </c>
      <c r="F968" s="197" t="s">
        <v>427</v>
      </c>
      <c r="G968" s="200">
        <f>+'MC Canais'!J759</f>
        <v>2625</v>
      </c>
      <c r="H968" s="200">
        <f>+'Composições de Preços'!$F$216</f>
        <v>214.40019935426301</v>
      </c>
      <c r="I968" s="201">
        <f t="shared" si="127"/>
        <v>562800.52330494043</v>
      </c>
      <c r="J968" s="299"/>
    </row>
    <row r="969" spans="1:10" s="243" customFormat="1" x14ac:dyDescent="0.3">
      <c r="B969" s="197" t="s">
        <v>13507</v>
      </c>
      <c r="C969" s="197" t="s">
        <v>13</v>
      </c>
      <c r="D969" s="198" t="s">
        <v>13</v>
      </c>
      <c r="E969" s="207" t="s">
        <v>13386</v>
      </c>
      <c r="F969" s="197"/>
      <c r="G969" s="200">
        <f>+'MC Canais'!J760</f>
        <v>0</v>
      </c>
      <c r="H969" s="201"/>
      <c r="I969" s="201"/>
      <c r="J969" s="299"/>
    </row>
    <row r="970" spans="1:10" ht="28.8" x14ac:dyDescent="0.3">
      <c r="B970" s="197" t="s">
        <v>13508</v>
      </c>
      <c r="C970" s="197" t="s">
        <v>13039</v>
      </c>
      <c r="D970" s="198" t="s">
        <v>8625</v>
      </c>
      <c r="E970" s="199" t="str">
        <f>VLOOKUP($D970,'Preços Unitários'!$B:$G,2,FALSE)</f>
        <v>Cerca com 4 fios de arame liso galvanizado e mourão de madeira a cada 2,5 m e esticador a cada 50 m</v>
      </c>
      <c r="F970" s="197" t="str">
        <f>VLOOKUP($D970,'Preços Unitários'!$B:$G,3,FALSE)</f>
        <v>m</v>
      </c>
      <c r="G970" s="200">
        <f>+'MC Canais'!J761</f>
        <v>10000</v>
      </c>
      <c r="H970" s="200">
        <f>VLOOKUP($D970,'Preços Unitários'!$B:$G,6,FALSE)</f>
        <v>27.146009000000003</v>
      </c>
      <c r="I970" s="201">
        <f t="shared" ref="I970" si="128">+G970*H970</f>
        <v>271460.09000000003</v>
      </c>
      <c r="J970" s="299"/>
    </row>
    <row r="971" spans="1:10" x14ac:dyDescent="0.3">
      <c r="A971" s="284" t="s">
        <v>14473</v>
      </c>
      <c r="B971" s="286" t="s">
        <v>13056</v>
      </c>
      <c r="C971" s="209" t="s">
        <v>13</v>
      </c>
      <c r="D971" s="210" t="s">
        <v>13</v>
      </c>
      <c r="E971" s="211" t="s">
        <v>13140</v>
      </c>
      <c r="F971" s="209" t="s">
        <v>13</v>
      </c>
      <c r="G971" s="212">
        <v>0</v>
      </c>
      <c r="H971" s="212">
        <v>0</v>
      </c>
      <c r="I971" s="212">
        <f>SUM(I972:I1007)</f>
        <v>7359558.6619928414</v>
      </c>
      <c r="J971" s="284" t="s">
        <v>14473</v>
      </c>
    </row>
    <row r="972" spans="1:10" x14ac:dyDescent="0.3">
      <c r="B972" s="202" t="s">
        <v>13509</v>
      </c>
      <c r="C972" s="202" t="s">
        <v>13</v>
      </c>
      <c r="D972" s="203" t="s">
        <v>13</v>
      </c>
      <c r="E972" s="204" t="s">
        <v>13203</v>
      </c>
      <c r="F972" s="202"/>
      <c r="G972" s="205"/>
      <c r="H972" s="205"/>
      <c r="I972" s="205"/>
      <c r="J972" s="297"/>
    </row>
    <row r="973" spans="1:10" ht="28.8" x14ac:dyDescent="0.3">
      <c r="B973" s="197" t="s">
        <v>13510</v>
      </c>
      <c r="C973" s="197" t="s">
        <v>13039</v>
      </c>
      <c r="D973" s="198" t="s">
        <v>11052</v>
      </c>
      <c r="E973" s="199" t="str">
        <f>VLOOKUP($D973,'Preços Unitários'!$B:$G,2,FALSE)</f>
        <v>Desmatamento, destocamento e limpeza de área com árvores de diâmetro até 0,15 m</v>
      </c>
      <c r="F973" s="197" t="str">
        <f>VLOOKUP($D973,'Preços Unitários'!$B:$G,3,FALSE)</f>
        <v>m²</v>
      </c>
      <c r="G973" s="200">
        <f>+'MC Canais'!J765</f>
        <v>106800</v>
      </c>
      <c r="H973" s="200">
        <f>VLOOKUP($D973,'Preços Unitários'!$B:$G,6,FALSE)</f>
        <v>0.87688999999999995</v>
      </c>
      <c r="I973" s="201">
        <f>+G973*H973</f>
        <v>93651.851999999999</v>
      </c>
      <c r="J973"/>
    </row>
    <row r="974" spans="1:10" ht="43.2" x14ac:dyDescent="0.3">
      <c r="B974" s="197" t="s">
        <v>13511</v>
      </c>
      <c r="C974" s="197" t="s">
        <v>13039</v>
      </c>
      <c r="D974" s="198" t="s">
        <v>11092</v>
      </c>
      <c r="E974" s="199" t="str">
        <f>VLOOKUP($D974,'Preços Unitários'!$B:$G,2,FALSE)</f>
        <v>Escavação, carga e transporte de material de 1ª categoria - DMT de 1.000 a 1.200 m - caminho de serviço em leito natural - com escavadeira e caminhão basculante de 14 m³</v>
      </c>
      <c r="F974" s="197" t="str">
        <f>VLOOKUP($D974,'Preços Unitários'!$B:$G,3,FALSE)</f>
        <v>m³</v>
      </c>
      <c r="G974" s="200">
        <f>+'MC Canais'!J766</f>
        <v>83046.67</v>
      </c>
      <c r="H974" s="200">
        <f>VLOOKUP($D974,'Preços Unitários'!$B:$G,6,FALSE)</f>
        <v>10.673003999999999</v>
      </c>
      <c r="I974" s="201">
        <f t="shared" ref="I974:I986" si="129">+G974*H974</f>
        <v>886357.44109667989</v>
      </c>
      <c r="J974" s="297"/>
    </row>
    <row r="975" spans="1:10" x14ac:dyDescent="0.3">
      <c r="B975" s="197" t="s">
        <v>13512</v>
      </c>
      <c r="C975" s="197" t="s">
        <v>13039</v>
      </c>
      <c r="D975" s="198" t="s">
        <v>11046</v>
      </c>
      <c r="E975" s="213" t="str">
        <f>VLOOKUP($D975,'Preços Unitários'!$B:$G,2,FALSE)</f>
        <v>Compactação de aterros a 100% do Proctor normal</v>
      </c>
      <c r="F975" s="197" t="str">
        <f>VLOOKUP($D975,'Preços Unitários'!$B:$G,3,FALSE)</f>
        <v>m³</v>
      </c>
      <c r="G975" s="200">
        <f>+'MC Canais'!J767</f>
        <v>28206.89</v>
      </c>
      <c r="H975" s="200">
        <f>VLOOKUP($D975,'Preços Unitários'!$B:$G,6,FALSE)</f>
        <v>7.1028090000000006</v>
      </c>
      <c r="I975" s="201">
        <f t="shared" si="129"/>
        <v>200348.15215401002</v>
      </c>
      <c r="J975" s="299"/>
    </row>
    <row r="976" spans="1:10" ht="28.8" x14ac:dyDescent="0.3">
      <c r="B976" s="197" t="s">
        <v>13513</v>
      </c>
      <c r="C976" s="197" t="s">
        <v>13039</v>
      </c>
      <c r="D976" s="198" t="s">
        <v>11947</v>
      </c>
      <c r="E976" s="199" t="str">
        <f>VLOOKUP($D976,'Preços Unitários'!$B:$G,2,FALSE)</f>
        <v>Transporte com caminhão basculante de 14 m³ - rodovia em leito natural</v>
      </c>
      <c r="F976" s="197" t="str">
        <f>VLOOKUP($D976,'Preços Unitários'!$B:$G,3,FALSE)</f>
        <v>tkm</v>
      </c>
      <c r="G976" s="200">
        <f>+'MC Canais'!J768</f>
        <v>383878.45999999996</v>
      </c>
      <c r="H976" s="200">
        <f>VLOOKUP($D976,'Preços Unitários'!$B:$G,6,FALSE)</f>
        <v>1.165011</v>
      </c>
      <c r="I976" s="201">
        <f t="shared" si="129"/>
        <v>447222.62856305996</v>
      </c>
      <c r="J976" s="299"/>
    </row>
    <row r="977" spans="2:10" x14ac:dyDescent="0.3">
      <c r="B977" s="197" t="s">
        <v>13514</v>
      </c>
      <c r="C977" s="197" t="s">
        <v>13039</v>
      </c>
      <c r="D977" s="198" t="s">
        <v>9440</v>
      </c>
      <c r="E977" s="199" t="str">
        <f>VLOOKUP($D977,'Preços Unitários'!$B:$G,2,FALSE)</f>
        <v>Regularização de superfície com motoniveladora</v>
      </c>
      <c r="F977" s="197" t="str">
        <f>VLOOKUP($D977,'Preços Unitários'!$B:$G,3,FALSE)</f>
        <v>m²</v>
      </c>
      <c r="G977" s="200">
        <f>+'MC Canais'!J769</f>
        <v>3204</v>
      </c>
      <c r="H977" s="200">
        <f>VLOOKUP($D977,'Preços Unitários'!$B:$G,6,FALSE)</f>
        <v>0.100216</v>
      </c>
      <c r="I977" s="201">
        <f>+G977*H977</f>
        <v>321.09206399999999</v>
      </c>
      <c r="J977" s="299"/>
    </row>
    <row r="978" spans="2:10" ht="28.8" x14ac:dyDescent="0.3">
      <c r="B978" s="197" t="s">
        <v>13515</v>
      </c>
      <c r="C978" s="197" t="s">
        <v>12</v>
      </c>
      <c r="D978" s="198" t="s">
        <v>13205</v>
      </c>
      <c r="E978" s="199" t="s">
        <v>13204</v>
      </c>
      <c r="F978" s="197" t="s">
        <v>2904</v>
      </c>
      <c r="G978" s="200">
        <f>+'MC Canais'!J770</f>
        <v>4127.8</v>
      </c>
      <c r="H978" s="200">
        <f>+'Composições de Preços'!$F$87</f>
        <v>59.387948601153852</v>
      </c>
      <c r="I978" s="201">
        <f t="shared" si="129"/>
        <v>245141.57423584288</v>
      </c>
      <c r="J978" s="299"/>
    </row>
    <row r="979" spans="2:10" ht="28.8" x14ac:dyDescent="0.3">
      <c r="B979" s="197" t="s">
        <v>13516</v>
      </c>
      <c r="C979" s="197" t="s">
        <v>12</v>
      </c>
      <c r="D979" s="198" t="s">
        <v>14504</v>
      </c>
      <c r="E979" s="199" t="s">
        <v>14497</v>
      </c>
      <c r="F979" s="197" t="s">
        <v>427</v>
      </c>
      <c r="G979" s="200">
        <f>+'MC Canais'!J771</f>
        <v>3302.2000000000003</v>
      </c>
      <c r="H979" s="200">
        <f>+'Composições de Preços'!$F$446</f>
        <v>99.894988108799993</v>
      </c>
      <c r="I979" s="201">
        <f t="shared" si="129"/>
        <v>329873.22973287938</v>
      </c>
      <c r="J979" s="299"/>
    </row>
    <row r="980" spans="2:10" ht="28.8" x14ac:dyDescent="0.3">
      <c r="B980" s="197" t="s">
        <v>13517</v>
      </c>
      <c r="C980" s="197" t="s">
        <v>12</v>
      </c>
      <c r="D980" s="198" t="s">
        <v>13192</v>
      </c>
      <c r="E980" s="199" t="s">
        <v>13191</v>
      </c>
      <c r="F980" s="197" t="s">
        <v>2904</v>
      </c>
      <c r="G980" s="200">
        <f>+'MC Canais'!J772</f>
        <v>16511</v>
      </c>
      <c r="H980" s="200">
        <f>+'Composições de Preços'!$F$44</f>
        <v>73.117919302000004</v>
      </c>
      <c r="I980" s="201">
        <f t="shared" si="129"/>
        <v>1207249.965595322</v>
      </c>
      <c r="J980" s="299"/>
    </row>
    <row r="981" spans="2:10" ht="28.8" x14ac:dyDescent="0.3">
      <c r="B981" s="197" t="s">
        <v>13518</v>
      </c>
      <c r="C981" s="197" t="s">
        <v>12</v>
      </c>
      <c r="D981" s="198" t="s">
        <v>14506</v>
      </c>
      <c r="E981" s="199" t="s">
        <v>14505</v>
      </c>
      <c r="F981" s="197" t="s">
        <v>427</v>
      </c>
      <c r="G981" s="200">
        <f>+'MC Canais'!J773</f>
        <v>5340</v>
      </c>
      <c r="H981" s="200">
        <f>+'Composições de Preços'!$F$492</f>
        <v>107.93859485200001</v>
      </c>
      <c r="I981" s="201">
        <f t="shared" si="129"/>
        <v>576392.09650968004</v>
      </c>
      <c r="J981" s="299"/>
    </row>
    <row r="982" spans="2:10" ht="28.8" x14ac:dyDescent="0.3">
      <c r="B982" s="197" t="s">
        <v>13519</v>
      </c>
      <c r="C982" s="197" t="s">
        <v>13039</v>
      </c>
      <c r="D982" s="198" t="s">
        <v>3149</v>
      </c>
      <c r="E982" s="199" t="str">
        <f>VLOOKUP($D982,'Preços Unitários'!$B:$G,2,FALSE)</f>
        <v>Concreto para bombeamento fck = 30 MPa - confecção em central dosadora de 30 m³/h - areia e brita comerciais</v>
      </c>
      <c r="F982" s="197" t="str">
        <f>VLOOKUP($D982,'Preços Unitários'!$B:$G,3,FALSE)</f>
        <v>m³</v>
      </c>
      <c r="G982" s="200">
        <f>+'MC Canais'!J774</f>
        <v>1155.7700000000002</v>
      </c>
      <c r="H982" s="200">
        <f>VLOOKUP($D982,'Preços Unitários'!$B:$G,6,FALSE)</f>
        <v>575.92882499999996</v>
      </c>
      <c r="I982" s="201">
        <f t="shared" si="129"/>
        <v>665641.25807025004</v>
      </c>
      <c r="J982" s="299"/>
    </row>
    <row r="983" spans="2:10" ht="43.2" x14ac:dyDescent="0.3">
      <c r="B983" s="197" t="s">
        <v>13520</v>
      </c>
      <c r="C983" s="197" t="s">
        <v>13039</v>
      </c>
      <c r="D983" s="198" t="s">
        <v>3201</v>
      </c>
      <c r="E983" s="199" t="str">
        <f>VLOOKUP($D983,'Preços Unitários'!$B:$G,2,FALSE)</f>
        <v>Lançamento mecânico de concreto com bomba rebocável com capacidade de 30 m³/h - confecção em central dosadora de 30 m³/h</v>
      </c>
      <c r="F983" s="197" t="str">
        <f>VLOOKUP($D983,'Preços Unitários'!$B:$G,3,FALSE)</f>
        <v>m³</v>
      </c>
      <c r="G983" s="200">
        <f>+'MC Canais'!J775</f>
        <v>1155.7700000000002</v>
      </c>
      <c r="H983" s="200">
        <f>VLOOKUP($D983,'Preços Unitários'!$B:$G,6,FALSE)</f>
        <v>86.285976000000005</v>
      </c>
      <c r="I983" s="201">
        <f t="shared" si="129"/>
        <v>99726.742481520021</v>
      </c>
      <c r="J983" s="299"/>
    </row>
    <row r="984" spans="2:10" ht="28.8" x14ac:dyDescent="0.3">
      <c r="B984" s="197" t="s">
        <v>14537</v>
      </c>
      <c r="C984" s="197" t="s">
        <v>13039</v>
      </c>
      <c r="D984" s="198" t="s">
        <v>206</v>
      </c>
      <c r="E984" s="199" t="str">
        <f>VLOOKUP($D984,'Preços Unitários'!$B:$G,2,FALSE)</f>
        <v>Lábios poliméricos em junta de pavimento de concreto - L = 20 mm e H = 30 mm - confecção e assentamento</v>
      </c>
      <c r="F984" s="197" t="str">
        <f>VLOOKUP($D984,'Preços Unitários'!$B:$G,3,FALSE)</f>
        <v>m</v>
      </c>
      <c r="G984" s="200">
        <f>+'MC Canais'!J776</f>
        <v>9975.1200000000008</v>
      </c>
      <c r="H984" s="200">
        <f>VLOOKUP($D984,'Preços Unitários'!$B:$G,6,FALSE)</f>
        <v>39.635428000000005</v>
      </c>
      <c r="I984" s="201">
        <f t="shared" si="129"/>
        <v>395368.1505513601</v>
      </c>
      <c r="J984" s="299"/>
    </row>
    <row r="985" spans="2:10" x14ac:dyDescent="0.3">
      <c r="B985" s="197" t="s">
        <v>14538</v>
      </c>
      <c r="C985" s="197" t="s">
        <v>12</v>
      </c>
      <c r="D985" s="198" t="s">
        <v>13209</v>
      </c>
      <c r="E985" s="199" t="s">
        <v>13208</v>
      </c>
      <c r="F985" s="197" t="s">
        <v>195</v>
      </c>
      <c r="G985" s="200">
        <f>+'MC Canais'!J777</f>
        <v>5340</v>
      </c>
      <c r="H985" s="200">
        <f>+'Composições de Preços'!$F$130</f>
        <v>37.70076957596789</v>
      </c>
      <c r="I985" s="201">
        <f t="shared" si="129"/>
        <v>201322.10953566854</v>
      </c>
      <c r="J985" s="299"/>
    </row>
    <row r="986" spans="2:10" ht="28.8" x14ac:dyDescent="0.3">
      <c r="B986" s="197" t="s">
        <v>14577</v>
      </c>
      <c r="C986" s="197" t="s">
        <v>13039</v>
      </c>
      <c r="D986" s="198" t="s">
        <v>9446</v>
      </c>
      <c r="E986" s="199" t="str">
        <f>VLOOKUP($D986,'Preços Unitários'!$B:$G,2,FALSE)</f>
        <v>Revestimento vegetal com grama em mudas em superfícies inclinadas</v>
      </c>
      <c r="F986" s="197" t="str">
        <f>VLOOKUP($D986,'Preços Unitários'!$B:$G,3,FALSE)</f>
        <v>m²</v>
      </c>
      <c r="G986" s="200">
        <f>+'MC Canais'!J778</f>
        <v>32040</v>
      </c>
      <c r="H986" s="200">
        <f>VLOOKUP($D986,'Preços Unitários'!$B:$G,6,FALSE)</f>
        <v>9.984019</v>
      </c>
      <c r="I986" s="201">
        <f t="shared" si="129"/>
        <v>319887.96876000002</v>
      </c>
      <c r="J986" s="297"/>
    </row>
    <row r="987" spans="2:10" x14ac:dyDescent="0.3">
      <c r="B987" s="202" t="s">
        <v>13521</v>
      </c>
      <c r="C987" s="202" t="s">
        <v>13</v>
      </c>
      <c r="D987" s="203" t="s">
        <v>13</v>
      </c>
      <c r="E987" s="204" t="s">
        <v>13222</v>
      </c>
      <c r="F987" s="202"/>
      <c r="G987" s="200">
        <f>+'MC Canais'!J779</f>
        <v>0</v>
      </c>
      <c r="H987" s="205"/>
      <c r="I987" s="205"/>
      <c r="J987" s="299"/>
    </row>
    <row r="988" spans="2:10" x14ac:dyDescent="0.3">
      <c r="B988" s="197" t="s">
        <v>13522</v>
      </c>
      <c r="C988" s="197" t="s">
        <v>13039</v>
      </c>
      <c r="D988" s="198" t="s">
        <v>9806</v>
      </c>
      <c r="E988" s="199" t="str">
        <f>VLOOKUP($D988,'Preços Unitários'!$B:$G,2,FALSE)</f>
        <v>Escavação mecânica de vala em material de 1ª categoria</v>
      </c>
      <c r="F988" s="197" t="str">
        <f>VLOOKUP($D988,'Preços Unitários'!$B:$G,3,FALSE)</f>
        <v>m³</v>
      </c>
      <c r="G988" s="200">
        <f>+'MC Canais'!J780</f>
        <v>2242.7999999999997</v>
      </c>
      <c r="H988" s="200">
        <f>VLOOKUP($D988,'Preços Unitários'!$B:$G,6,FALSE)</f>
        <v>8.7313189999999992</v>
      </c>
      <c r="I988" s="201">
        <f t="shared" ref="I988:I994" si="130">+G988*H988</f>
        <v>19582.602253199995</v>
      </c>
      <c r="J988" s="299"/>
    </row>
    <row r="989" spans="2:10" x14ac:dyDescent="0.3">
      <c r="B989" s="197" t="s">
        <v>13523</v>
      </c>
      <c r="C989" s="197" t="s">
        <v>13039</v>
      </c>
      <c r="D989" s="198" t="s">
        <v>9830</v>
      </c>
      <c r="E989" s="199" t="str">
        <f>VLOOKUP($D989,'Preços Unitários'!$B:$G,2,FALSE)</f>
        <v>Reaterro e compactação com soquete vibratório</v>
      </c>
      <c r="F989" s="197" t="str">
        <f>VLOOKUP($D989,'Preços Unitários'!$B:$G,3,FALSE)</f>
        <v>m³</v>
      </c>
      <c r="G989" s="200">
        <f>+'MC Canais'!J781</f>
        <v>1281.5999999999999</v>
      </c>
      <c r="H989" s="200">
        <f>VLOOKUP($D989,'Preços Unitários'!$B:$G,6,FALSE)</f>
        <v>22.611235000000001</v>
      </c>
      <c r="I989" s="201">
        <f t="shared" si="130"/>
        <v>28978.558775999998</v>
      </c>
      <c r="J989" s="299"/>
    </row>
    <row r="990" spans="2:10" ht="28.8" x14ac:dyDescent="0.3">
      <c r="B990" s="197" t="s">
        <v>13524</v>
      </c>
      <c r="C990" s="197" t="s">
        <v>13039</v>
      </c>
      <c r="D990" s="198" t="s">
        <v>11947</v>
      </c>
      <c r="E990" s="199" t="str">
        <f>VLOOKUP($D990,'Preços Unitários'!$B:$G,2,FALSE)</f>
        <v>Transporte com caminhão basculante de 14 m³ - rodovia em leito natural</v>
      </c>
      <c r="F990" s="197" t="str">
        <f>VLOOKUP($D990,'Preços Unitários'!$B:$G,3,FALSE)</f>
        <v>tkm</v>
      </c>
      <c r="G990" s="200">
        <f>+'MC Canais'!J782</f>
        <v>6728.3999999999978</v>
      </c>
      <c r="H990" s="200">
        <f>VLOOKUP($D990,'Preços Unitários'!$B:$G,6,FALSE)</f>
        <v>1.165011</v>
      </c>
      <c r="I990" s="201">
        <f t="shared" si="130"/>
        <v>7838.6600123999979</v>
      </c>
      <c r="J990" s="299"/>
    </row>
    <row r="991" spans="2:10" ht="28.8" x14ac:dyDescent="0.3">
      <c r="B991" s="197" t="s">
        <v>13525</v>
      </c>
      <c r="C991" s="197" t="s">
        <v>12</v>
      </c>
      <c r="D991" s="198" t="s">
        <v>13224</v>
      </c>
      <c r="E991" s="199" t="s">
        <v>13223</v>
      </c>
      <c r="F991" s="197" t="s">
        <v>2904</v>
      </c>
      <c r="G991" s="200">
        <f>+'MC Canais'!J783</f>
        <v>6408</v>
      </c>
      <c r="H991" s="200">
        <f>+'Composições de Preços'!$F$173</f>
        <v>26.052132569499999</v>
      </c>
      <c r="I991" s="201">
        <f t="shared" si="130"/>
        <v>166942.065505356</v>
      </c>
      <c r="J991" s="299"/>
    </row>
    <row r="992" spans="2:10" ht="28.8" x14ac:dyDescent="0.3">
      <c r="B992" s="197" t="s">
        <v>13526</v>
      </c>
      <c r="C992" s="197" t="s">
        <v>13039</v>
      </c>
      <c r="D992" s="198" t="s">
        <v>6908</v>
      </c>
      <c r="E992" s="199" t="str">
        <f>VLOOKUP($D992,'Preços Unitários'!$B:$G,2,FALSE)</f>
        <v>Tubo de concreto perfurado produzido na obra para drenagem - D = 0,40 m - fornecimento e instalação</v>
      </c>
      <c r="F992" s="197" t="str">
        <f>VLOOKUP($D992,'Preços Unitários'!$B:$G,3,FALSE)</f>
        <v>m</v>
      </c>
      <c r="G992" s="200">
        <f>+'MC Canais'!J784</f>
        <v>2670</v>
      </c>
      <c r="H992" s="200">
        <f>VLOOKUP($D992,'Preços Unitários'!$B:$G,6,FALSE)</f>
        <v>116.764167</v>
      </c>
      <c r="I992" s="201">
        <f t="shared" si="130"/>
        <v>311760.32588999998</v>
      </c>
      <c r="J992" s="299"/>
    </row>
    <row r="993" spans="2:10" ht="28.8" x14ac:dyDescent="0.3">
      <c r="B993" s="197" t="s">
        <v>13527</v>
      </c>
      <c r="C993" s="197" t="s">
        <v>13039</v>
      </c>
      <c r="D993" s="198" t="s">
        <v>6438</v>
      </c>
      <c r="E993" s="199" t="str">
        <f>VLOOKUP($D993,'Preços Unitários'!$B:$G,2,FALSE)</f>
        <v>Lastro de brita comercial compactado com soquete vibratório - espalhamento manual</v>
      </c>
      <c r="F993" s="197" t="str">
        <f>VLOOKUP($D993,'Preços Unitários'!$B:$G,3,FALSE)</f>
        <v>m³</v>
      </c>
      <c r="G993" s="200">
        <f>+'MC Canais'!J785</f>
        <v>625.84799999999984</v>
      </c>
      <c r="H993" s="200">
        <f>VLOOKUP($D993,'Preços Unitários'!$B:$G,6,FALSE)</f>
        <v>239.34086200000002</v>
      </c>
      <c r="I993" s="201">
        <f t="shared" si="130"/>
        <v>149790.99980097596</v>
      </c>
      <c r="J993" s="299"/>
    </row>
    <row r="994" spans="2:10" x14ac:dyDescent="0.3">
      <c r="B994" s="197" t="s">
        <v>13528</v>
      </c>
      <c r="C994" s="197" t="s">
        <v>13039</v>
      </c>
      <c r="D994" s="206" t="s">
        <v>6430</v>
      </c>
      <c r="E994" s="199" t="str">
        <f>VLOOKUP($D994,'Preços Unitários'!$B:$G,2,FALSE)</f>
        <v>Lastro de areia comercial - espalhamento manual</v>
      </c>
      <c r="F994" s="197" t="str">
        <f>VLOOKUP($D994,'Preços Unitários'!$B:$G,3,FALSE)</f>
        <v>m³</v>
      </c>
      <c r="G994" s="200">
        <f>+'MC Canais'!J786</f>
        <v>320.40000000000003</v>
      </c>
      <c r="H994" s="200">
        <f>VLOOKUP($D994,'Preços Unitários'!$B:$G,6,FALSE)</f>
        <v>198.06439700000001</v>
      </c>
      <c r="I994" s="201">
        <f t="shared" si="130"/>
        <v>63459.832798800009</v>
      </c>
      <c r="J994" s="299"/>
    </row>
    <row r="995" spans="2:10" s="243" customFormat="1" ht="28.8" x14ac:dyDescent="0.3">
      <c r="B995" s="197" t="s">
        <v>13529</v>
      </c>
      <c r="C995" s="197" t="s">
        <v>13</v>
      </c>
      <c r="D995" s="198" t="s">
        <v>13</v>
      </c>
      <c r="E995" s="207" t="s">
        <v>13228</v>
      </c>
      <c r="F995" s="197"/>
      <c r="G995" s="200">
        <f>+'MC Canais'!J787</f>
        <v>0</v>
      </c>
      <c r="H995" s="201"/>
      <c r="I995" s="201"/>
      <c r="J995" s="299"/>
    </row>
    <row r="996" spans="2:10" ht="28.8" x14ac:dyDescent="0.3">
      <c r="B996" s="197" t="s">
        <v>13530</v>
      </c>
      <c r="C996" s="197" t="s">
        <v>13039</v>
      </c>
      <c r="D996" s="198" t="s">
        <v>6964</v>
      </c>
      <c r="E996" s="199" t="str">
        <f>VLOOKUP($D996,'Preços Unitários'!$B:$G,2,FALSE)</f>
        <v>Valeta de proteção de cortes com revestimento vegetal - VPCG 120-30 - escavação mecânica</v>
      </c>
      <c r="F996" s="197" t="str">
        <f>VLOOKUP($D996,'Preços Unitários'!$B:$G,3,FALSE)</f>
        <v>m</v>
      </c>
      <c r="G996" s="200">
        <f>+'MC Canais'!J788</f>
        <v>5340</v>
      </c>
      <c r="H996" s="200">
        <f>VLOOKUP($D996,'Preços Unitários'!$B:$G,6,FALSE)</f>
        <v>51.961995999999999</v>
      </c>
      <c r="I996" s="201">
        <f t="shared" ref="I996:I999" si="131">+G996*H996</f>
        <v>277477.05864</v>
      </c>
      <c r="J996" s="299"/>
    </row>
    <row r="997" spans="2:10" ht="28.8" x14ac:dyDescent="0.3">
      <c r="B997" s="197" t="s">
        <v>13531</v>
      </c>
      <c r="C997" s="197" t="s">
        <v>13039</v>
      </c>
      <c r="D997" s="198" t="s">
        <v>6744</v>
      </c>
      <c r="E997" s="199" t="str">
        <f>VLOOKUP($D997,'Preços Unitários'!$B:$G,2,FALSE)</f>
        <v>Sarjeta triangular de grama - STG 125-25 - escavação mecânica</v>
      </c>
      <c r="F997" s="197" t="str">
        <f>VLOOKUP($D997,'Preços Unitários'!$B:$G,3,FALSE)</f>
        <v>m</v>
      </c>
      <c r="G997" s="200">
        <f>+'MC Canais'!J789</f>
        <v>5340</v>
      </c>
      <c r="H997" s="200">
        <f>VLOOKUP($D997,'Preços Unitários'!$B:$G,6,FALSE)</f>
        <v>29.776679000000001</v>
      </c>
      <c r="I997" s="201">
        <f t="shared" si="131"/>
        <v>159007.46586</v>
      </c>
      <c r="J997" s="299"/>
    </row>
    <row r="998" spans="2:10" ht="28.8" x14ac:dyDescent="0.3">
      <c r="B998" s="197" t="s">
        <v>13532</v>
      </c>
      <c r="C998" s="197" t="s">
        <v>13039</v>
      </c>
      <c r="D998" s="198" t="s">
        <v>2740</v>
      </c>
      <c r="E998" s="199" t="str">
        <f>VLOOKUP($D998,'Preços Unitários'!$B:$G,2,FALSE)</f>
        <v>Corpo de BSTC D = 0,80 m PA1 - areia, brita e pedra de mão comerciais</v>
      </c>
      <c r="F998" s="197" t="str">
        <f>VLOOKUP($D998,'Preços Unitários'!$B:$G,3,FALSE)</f>
        <v>m</v>
      </c>
      <c r="G998" s="200">
        <f>+'MC Canais'!J790</f>
        <v>21</v>
      </c>
      <c r="H998" s="200">
        <f>VLOOKUP($D998,'Preços Unitários'!$B:$G,6,FALSE)</f>
        <v>799.67357200000004</v>
      </c>
      <c r="I998" s="201">
        <f t="shared" si="131"/>
        <v>16793.145012000001</v>
      </c>
      <c r="J998" s="299"/>
    </row>
    <row r="999" spans="2:10" ht="28.8" x14ac:dyDescent="0.3">
      <c r="B999" s="197" t="s">
        <v>13533</v>
      </c>
      <c r="C999" s="197" t="s">
        <v>13039</v>
      </c>
      <c r="D999" s="208" t="s">
        <v>2172</v>
      </c>
      <c r="E999" s="199" t="str">
        <f>VLOOKUP($D999,'Preços Unitários'!$B:$G,2,FALSE)</f>
        <v>Boca de BSTC D = 0,80 m - esconsidade 0° - areia e brita comerciais - alas retas</v>
      </c>
      <c r="F999" s="197" t="str">
        <f>VLOOKUP($D999,'Preços Unitários'!$B:$G,3,FALSE)</f>
        <v>un</v>
      </c>
      <c r="G999" s="200">
        <f>+'MC Canais'!J791</f>
        <v>2</v>
      </c>
      <c r="H999" s="200">
        <f>VLOOKUP($D999,'Preços Unitários'!$B:$G,6,FALSE)</f>
        <v>1606.687966</v>
      </c>
      <c r="I999" s="201">
        <f t="shared" si="131"/>
        <v>3213.3759319999999</v>
      </c>
      <c r="J999" s="299"/>
    </row>
    <row r="1000" spans="2:10" s="243" customFormat="1" x14ac:dyDescent="0.3">
      <c r="B1000" s="197" t="s">
        <v>13534</v>
      </c>
      <c r="C1000" s="197" t="s">
        <v>13</v>
      </c>
      <c r="D1000" s="198" t="s">
        <v>13</v>
      </c>
      <c r="E1000" s="207" t="s">
        <v>13230</v>
      </c>
      <c r="F1000" s="197"/>
      <c r="G1000" s="200">
        <f>+'MC Canais'!J792</f>
        <v>0</v>
      </c>
      <c r="H1000" s="201"/>
      <c r="I1000" s="201"/>
      <c r="J1000" s="299"/>
    </row>
    <row r="1001" spans="2:10" ht="28.8" x14ac:dyDescent="0.3">
      <c r="B1001" s="197" t="s">
        <v>13535</v>
      </c>
      <c r="C1001" s="197" t="s">
        <v>13039</v>
      </c>
      <c r="D1001" s="198" t="s">
        <v>11088</v>
      </c>
      <c r="E1001" s="199" t="str">
        <f>VLOOKUP($D1001,'Preços Unitários'!$B:$G,2,FALSE)</f>
        <v>Escavação mecânica com retroescavadeira em material de 1ª categoria</v>
      </c>
      <c r="F1001" s="197" t="str">
        <f>VLOOKUP($D1001,'Preços Unitários'!$B:$G,3,FALSE)</f>
        <v>m³</v>
      </c>
      <c r="G1001" s="200">
        <f>+'MC Canais'!J793</f>
        <v>2803.5</v>
      </c>
      <c r="H1001" s="200">
        <f>VLOOKUP($D1001,'Preços Unitários'!$B:$G,6,FALSE)</f>
        <v>8.7313189999999992</v>
      </c>
      <c r="I1001" s="201">
        <f t="shared" ref="I1001:I1005" si="132">+G1001*H1001</f>
        <v>24478.252816499997</v>
      </c>
      <c r="J1001" s="299"/>
    </row>
    <row r="1002" spans="2:10" x14ac:dyDescent="0.3">
      <c r="B1002" s="197" t="s">
        <v>13536</v>
      </c>
      <c r="C1002" s="197" t="s">
        <v>13039</v>
      </c>
      <c r="D1002" s="198" t="s">
        <v>11046</v>
      </c>
      <c r="E1002" s="199" t="str">
        <f>VLOOKUP($D1002,'Preços Unitários'!$B:$G,2,FALSE)</f>
        <v>Compactação de aterros a 100% do Proctor normal</v>
      </c>
      <c r="F1002" s="197" t="str">
        <f>VLOOKUP($D1002,'Preços Unitários'!$B:$G,3,FALSE)</f>
        <v>m³</v>
      </c>
      <c r="G1002" s="200">
        <f>+'MC Canais'!J794</f>
        <v>1869</v>
      </c>
      <c r="H1002" s="200">
        <f>VLOOKUP($D1002,'Preços Unitários'!$B:$G,6,FALSE)</f>
        <v>7.1028090000000006</v>
      </c>
      <c r="I1002" s="201">
        <f t="shared" si="132"/>
        <v>13275.150021000001</v>
      </c>
      <c r="J1002" s="299"/>
    </row>
    <row r="1003" spans="2:10" ht="28.8" x14ac:dyDescent="0.3">
      <c r="B1003" s="197" t="s">
        <v>13537</v>
      </c>
      <c r="C1003" s="197" t="s">
        <v>13039</v>
      </c>
      <c r="D1003" s="198" t="s">
        <v>11947</v>
      </c>
      <c r="E1003" s="199" t="str">
        <f>VLOOKUP($D1003,'Preços Unitários'!$B:$G,2,FALSE)</f>
        <v>Transporte com caminhão basculante de 14 m³ - rodovia em leito natural</v>
      </c>
      <c r="F1003" s="197" t="str">
        <f>VLOOKUP($D1003,'Preços Unitários'!$B:$G,3,FALSE)</f>
        <v>tkm</v>
      </c>
      <c r="G1003" s="200">
        <f>+'MC Canais'!J795</f>
        <v>934.5</v>
      </c>
      <c r="H1003" s="200">
        <f>VLOOKUP($D1003,'Preços Unitários'!$B:$G,6,FALSE)</f>
        <v>1.165011</v>
      </c>
      <c r="I1003" s="201">
        <f t="shared" si="132"/>
        <v>1088.7027794999999</v>
      </c>
      <c r="J1003" s="299"/>
    </row>
    <row r="1004" spans="2:10" x14ac:dyDescent="0.3">
      <c r="B1004" s="197" t="s">
        <v>13538</v>
      </c>
      <c r="C1004" s="197" t="s">
        <v>13039</v>
      </c>
      <c r="D1004" s="198" t="s">
        <v>9440</v>
      </c>
      <c r="E1004" s="199" t="str">
        <f>VLOOKUP($D1004,'Preços Unitários'!$B:$G,2,FALSE)</f>
        <v>Regularização de superfície com motoniveladora</v>
      </c>
      <c r="F1004" s="197" t="str">
        <f>VLOOKUP($D1004,'Preços Unitários'!$B:$G,3,FALSE)</f>
        <v>m²</v>
      </c>
      <c r="G1004" s="200">
        <f>+'MC Canais'!J796</f>
        <v>18690</v>
      </c>
      <c r="H1004" s="200">
        <f>VLOOKUP($D1004,'Preços Unitários'!$B:$G,6,FALSE)</f>
        <v>0.100216</v>
      </c>
      <c r="I1004" s="201">
        <f t="shared" si="132"/>
        <v>1873.0370399999999</v>
      </c>
      <c r="J1004" s="299"/>
    </row>
    <row r="1005" spans="2:10" x14ac:dyDescent="0.3">
      <c r="B1005" s="197" t="s">
        <v>13539</v>
      </c>
      <c r="C1005" s="197" t="s">
        <v>12</v>
      </c>
      <c r="D1005" s="198" t="s">
        <v>13232</v>
      </c>
      <c r="E1005" s="199" t="s">
        <v>13231</v>
      </c>
      <c r="F1005" s="197" t="s">
        <v>427</v>
      </c>
      <c r="G1005" s="200">
        <f>+'MC Canais'!J797</f>
        <v>1401.75</v>
      </c>
      <c r="H1005" s="200">
        <f>+'Composições de Preços'!$F$216</f>
        <v>214.40019935426301</v>
      </c>
      <c r="I1005" s="201">
        <f t="shared" si="132"/>
        <v>300535.47944483819</v>
      </c>
      <c r="J1005" s="299"/>
    </row>
    <row r="1006" spans="2:10" s="243" customFormat="1" x14ac:dyDescent="0.3">
      <c r="B1006" s="197" t="s">
        <v>13540</v>
      </c>
      <c r="C1006" s="197" t="s">
        <v>13</v>
      </c>
      <c r="D1006" s="198" t="s">
        <v>13</v>
      </c>
      <c r="E1006" s="207" t="s">
        <v>13386</v>
      </c>
      <c r="F1006" s="197"/>
      <c r="G1006" s="200">
        <f>+'MC Canais'!J798</f>
        <v>0</v>
      </c>
      <c r="H1006" s="201"/>
      <c r="I1006" s="201"/>
      <c r="J1006" s="299"/>
    </row>
    <row r="1007" spans="2:10" ht="28.8" x14ac:dyDescent="0.3">
      <c r="B1007" s="197" t="s">
        <v>13541</v>
      </c>
      <c r="C1007" s="197" t="s">
        <v>13039</v>
      </c>
      <c r="D1007" s="198" t="s">
        <v>8625</v>
      </c>
      <c r="E1007" s="199" t="str">
        <f>VLOOKUP($D1007,'Preços Unitários'!$B:$G,2,FALSE)</f>
        <v>Cerca com 4 fios de arame liso galvanizado e mourão de madeira a cada 2,5 m e esticador a cada 50 m</v>
      </c>
      <c r="F1007" s="197" t="str">
        <f>VLOOKUP($D1007,'Preços Unitários'!$B:$G,3,FALSE)</f>
        <v>m</v>
      </c>
      <c r="G1007" s="200">
        <f>+'MC Canais'!J799</f>
        <v>5340</v>
      </c>
      <c r="H1007" s="200">
        <f>VLOOKUP($D1007,'Preços Unitários'!$B:$G,6,FALSE)</f>
        <v>27.146009000000003</v>
      </c>
      <c r="I1007" s="201">
        <f t="shared" ref="I1007" si="133">+G1007*H1007</f>
        <v>144959.68806000001</v>
      </c>
      <c r="J1007" s="297"/>
    </row>
    <row r="1008" spans="2:10" s="219" customFormat="1" x14ac:dyDescent="0.3">
      <c r="B1008" s="214">
        <v>0</v>
      </c>
      <c r="C1008" s="215" t="s">
        <v>13</v>
      </c>
      <c r="D1008" s="216" t="s">
        <v>13</v>
      </c>
      <c r="E1008" s="217" t="s">
        <v>13348</v>
      </c>
      <c r="F1008" s="215" t="s">
        <v>13</v>
      </c>
      <c r="G1008" s="214">
        <v>0</v>
      </c>
      <c r="H1008" s="214">
        <v>0</v>
      </c>
      <c r="I1008" s="214">
        <f>+I1009</f>
        <v>4625944.1900609341</v>
      </c>
      <c r="J1008"/>
    </row>
    <row r="1009" spans="1:10" x14ac:dyDescent="0.3">
      <c r="A1009" s="284" t="s">
        <v>14473</v>
      </c>
      <c r="B1009" s="286" t="s">
        <v>13057</v>
      </c>
      <c r="C1009" s="209" t="s">
        <v>13</v>
      </c>
      <c r="D1009" s="210" t="s">
        <v>13</v>
      </c>
      <c r="E1009" s="211" t="s">
        <v>13141</v>
      </c>
      <c r="F1009" s="209" t="s">
        <v>13</v>
      </c>
      <c r="G1009" s="212">
        <v>0</v>
      </c>
      <c r="H1009" s="212">
        <v>0</v>
      </c>
      <c r="I1009" s="212">
        <f>SUM(I1010:I1045)</f>
        <v>4625944.1900609341</v>
      </c>
      <c r="J1009" s="284" t="s">
        <v>14473</v>
      </c>
    </row>
    <row r="1010" spans="1:10" x14ac:dyDescent="0.3">
      <c r="B1010" s="202" t="s">
        <v>13542</v>
      </c>
      <c r="C1010" s="202" t="s">
        <v>13</v>
      </c>
      <c r="D1010" s="203" t="s">
        <v>13</v>
      </c>
      <c r="E1010" s="204" t="s">
        <v>13203</v>
      </c>
      <c r="F1010" s="202"/>
      <c r="G1010" s="205"/>
      <c r="H1010" s="205"/>
      <c r="I1010" s="205"/>
      <c r="J1010" s="299"/>
    </row>
    <row r="1011" spans="1:10" ht="28.8" x14ac:dyDescent="0.3">
      <c r="B1011" s="197" t="s">
        <v>13543</v>
      </c>
      <c r="C1011" s="197" t="s">
        <v>13039</v>
      </c>
      <c r="D1011" s="198" t="s">
        <v>11052</v>
      </c>
      <c r="E1011" s="199" t="str">
        <f>VLOOKUP($D1011,'Preços Unitários'!$B:$G,2,FALSE)</f>
        <v>Desmatamento, destocamento e limpeza de área com árvores de diâmetro até 0,15 m</v>
      </c>
      <c r="F1011" s="197" t="str">
        <f>VLOOKUP($D1011,'Preços Unitários'!$B:$G,3,FALSE)</f>
        <v>m²</v>
      </c>
      <c r="G1011" s="200">
        <f>+'MC Canais'!J803</f>
        <v>84000</v>
      </c>
      <c r="H1011" s="200">
        <f>VLOOKUP($D1011,'Preços Unitários'!$B:$G,6,FALSE)</f>
        <v>0.87688999999999995</v>
      </c>
      <c r="I1011" s="201">
        <f>+G1011*H1011</f>
        <v>73658.759999999995</v>
      </c>
      <c r="J1011" s="299"/>
    </row>
    <row r="1012" spans="1:10" ht="43.2" x14ac:dyDescent="0.3">
      <c r="B1012" s="197" t="s">
        <v>13544</v>
      </c>
      <c r="C1012" s="197" t="s">
        <v>13039</v>
      </c>
      <c r="D1012" s="198" t="s">
        <v>11092</v>
      </c>
      <c r="E1012" s="199" t="str">
        <f>VLOOKUP($D1012,'Preços Unitários'!$B:$G,2,FALSE)</f>
        <v>Escavação, carga e transporte de material de 1ª categoria - DMT de 1.000 a 1.200 m - caminho de serviço em leito natural - com escavadeira e caminhão basculante de 14 m³</v>
      </c>
      <c r="F1012" s="197" t="str">
        <f>VLOOKUP($D1012,'Preços Unitários'!$B:$G,3,FALSE)</f>
        <v>m³</v>
      </c>
      <c r="G1012" s="200">
        <f>+'MC Canais'!J804</f>
        <v>7609.24</v>
      </c>
      <c r="H1012" s="200">
        <f>VLOOKUP($D1012,'Preços Unitários'!$B:$G,6,FALSE)</f>
        <v>10.673003999999999</v>
      </c>
      <c r="I1012" s="201">
        <f t="shared" ref="I1012:I1024" si="134">+G1012*H1012</f>
        <v>81213.448956959983</v>
      </c>
      <c r="J1012" s="299"/>
    </row>
    <row r="1013" spans="1:10" x14ac:dyDescent="0.3">
      <c r="B1013" s="197" t="s">
        <v>13545</v>
      </c>
      <c r="C1013" s="197" t="s">
        <v>13039</v>
      </c>
      <c r="D1013" s="198" t="s">
        <v>11046</v>
      </c>
      <c r="E1013" s="213" t="str">
        <f>VLOOKUP($D1013,'Preços Unitários'!$B:$G,2,FALSE)</f>
        <v>Compactação de aterros a 100% do Proctor normal</v>
      </c>
      <c r="F1013" s="197" t="str">
        <f>VLOOKUP($D1013,'Preços Unitários'!$B:$G,3,FALSE)</f>
        <v>m³</v>
      </c>
      <c r="G1013" s="200">
        <f>+'MC Canais'!J805</f>
        <v>24541.360000000001</v>
      </c>
      <c r="H1013" s="200">
        <f>VLOOKUP($D1013,'Preços Unitários'!$B:$G,6,FALSE)</f>
        <v>7.1028090000000006</v>
      </c>
      <c r="I1013" s="201">
        <f t="shared" si="134"/>
        <v>174312.59268024002</v>
      </c>
      <c r="J1013" s="299"/>
    </row>
    <row r="1014" spans="1:10" ht="28.8" x14ac:dyDescent="0.3">
      <c r="B1014" s="197" t="s">
        <v>13546</v>
      </c>
      <c r="C1014" s="197" t="s">
        <v>13039</v>
      </c>
      <c r="D1014" s="198" t="s">
        <v>11947</v>
      </c>
      <c r="E1014" s="199" t="str">
        <f>VLOOKUP($D1014,'Preços Unitários'!$B:$G,2,FALSE)</f>
        <v>Transporte com caminhão basculante de 14 m³ - rodovia em leito natural</v>
      </c>
      <c r="F1014" s="197" t="str">
        <f>VLOOKUP($D1014,'Preços Unitários'!$B:$G,3,FALSE)</f>
        <v>tkm</v>
      </c>
      <c r="G1014" s="200">
        <f>+'MC Canais'!J806</f>
        <v>118524.84</v>
      </c>
      <c r="H1014" s="200">
        <f>VLOOKUP($D1014,'Preços Unitários'!$B:$G,6,FALSE)</f>
        <v>1.165011</v>
      </c>
      <c r="I1014" s="201">
        <f t="shared" si="134"/>
        <v>138082.74237324001</v>
      </c>
      <c r="J1014" s="299"/>
    </row>
    <row r="1015" spans="1:10" x14ac:dyDescent="0.3">
      <c r="B1015" s="197" t="s">
        <v>13547</v>
      </c>
      <c r="C1015" s="197" t="s">
        <v>13039</v>
      </c>
      <c r="D1015" s="198" t="s">
        <v>9440</v>
      </c>
      <c r="E1015" s="199" t="str">
        <f>VLOOKUP($D1015,'Preços Unitários'!$B:$G,2,FALSE)</f>
        <v>Regularização de superfície com motoniveladora</v>
      </c>
      <c r="F1015" s="197" t="str">
        <f>VLOOKUP($D1015,'Preços Unitários'!$B:$G,3,FALSE)</f>
        <v>m²</v>
      </c>
      <c r="G1015" s="200">
        <f>+'MC Canais'!J807</f>
        <v>1680</v>
      </c>
      <c r="H1015" s="200">
        <f>VLOOKUP($D1015,'Preços Unitários'!$B:$G,6,FALSE)</f>
        <v>0.100216</v>
      </c>
      <c r="I1015" s="201">
        <f>+G1015*H1015</f>
        <v>168.36287999999999</v>
      </c>
      <c r="J1015" s="299"/>
    </row>
    <row r="1016" spans="1:10" ht="28.8" x14ac:dyDescent="0.3">
      <c r="B1016" s="197" t="s">
        <v>13548</v>
      </c>
      <c r="C1016" s="197" t="s">
        <v>12</v>
      </c>
      <c r="D1016" s="198" t="s">
        <v>13205</v>
      </c>
      <c r="E1016" s="199" t="s">
        <v>13204</v>
      </c>
      <c r="F1016" s="197" t="s">
        <v>2904</v>
      </c>
      <c r="G1016" s="200">
        <f>+'MC Canais'!J808</f>
        <v>2822.51</v>
      </c>
      <c r="H1016" s="200">
        <f>+'Composições de Preços'!$F$87</f>
        <v>59.387948601153852</v>
      </c>
      <c r="I1016" s="201">
        <f t="shared" si="134"/>
        <v>167623.07880624276</v>
      </c>
      <c r="J1016" s="299"/>
    </row>
    <row r="1017" spans="1:10" ht="28.8" x14ac:dyDescent="0.3">
      <c r="B1017" s="197" t="s">
        <v>13549</v>
      </c>
      <c r="C1017" s="197" t="s">
        <v>12</v>
      </c>
      <c r="D1017" s="198" t="s">
        <v>14504</v>
      </c>
      <c r="E1017" s="199" t="s">
        <v>14497</v>
      </c>
      <c r="F1017" s="197" t="s">
        <v>427</v>
      </c>
      <c r="G1017" s="200">
        <f>+'MC Canais'!J809</f>
        <v>2258</v>
      </c>
      <c r="H1017" s="200">
        <f>+'Composições de Preços'!$F$446</f>
        <v>99.894988108799993</v>
      </c>
      <c r="I1017" s="201">
        <f t="shared" si="134"/>
        <v>225562.88314967038</v>
      </c>
      <c r="J1017" s="299"/>
    </row>
    <row r="1018" spans="1:10" ht="28.8" x14ac:dyDescent="0.3">
      <c r="B1018" s="197" t="s">
        <v>13550</v>
      </c>
      <c r="C1018" s="197" t="s">
        <v>12</v>
      </c>
      <c r="D1018" s="198" t="s">
        <v>13192</v>
      </c>
      <c r="E1018" s="199" t="s">
        <v>13191</v>
      </c>
      <c r="F1018" s="197" t="s">
        <v>2904</v>
      </c>
      <c r="G1018" s="200">
        <f>+'MC Canais'!J810</f>
        <v>11290</v>
      </c>
      <c r="H1018" s="200">
        <f>+'Composições de Preços'!$F$44</f>
        <v>73.117919302000004</v>
      </c>
      <c r="I1018" s="201">
        <f t="shared" si="134"/>
        <v>825501.30891958007</v>
      </c>
      <c r="J1018" s="299"/>
    </row>
    <row r="1019" spans="1:10" ht="28.8" x14ac:dyDescent="0.3">
      <c r="B1019" s="197" t="s">
        <v>13551</v>
      </c>
      <c r="C1019" s="197" t="s">
        <v>12</v>
      </c>
      <c r="D1019" s="198" t="s">
        <v>14506</v>
      </c>
      <c r="E1019" s="199" t="s">
        <v>14505</v>
      </c>
      <c r="F1019" s="197" t="s">
        <v>427</v>
      </c>
      <c r="G1019" s="200">
        <f>+'MC Canais'!J811</f>
        <v>4200</v>
      </c>
      <c r="H1019" s="200">
        <f>+'Composições de Preços'!$F$492</f>
        <v>107.93859485200001</v>
      </c>
      <c r="I1019" s="201">
        <f t="shared" si="134"/>
        <v>453342.09837840003</v>
      </c>
      <c r="J1019" s="299"/>
    </row>
    <row r="1020" spans="1:10" ht="28.8" x14ac:dyDescent="0.3">
      <c r="B1020" s="197" t="s">
        <v>13552</v>
      </c>
      <c r="C1020" s="197" t="s">
        <v>13039</v>
      </c>
      <c r="D1020" s="198" t="s">
        <v>3149</v>
      </c>
      <c r="E1020" s="199" t="str">
        <f>VLOOKUP($D1020,'Preços Unitários'!$B:$G,2,FALSE)</f>
        <v>Concreto para bombeamento fck = 30 MPa - confecção em central dosadora de 30 m³/h - areia e brita comerciais</v>
      </c>
      <c r="F1020" s="197" t="str">
        <f>VLOOKUP($D1020,'Preços Unitários'!$B:$G,3,FALSE)</f>
        <v>m³</v>
      </c>
      <c r="G1020" s="200">
        <f>+'MC Canais'!J812</f>
        <v>790.30000000000007</v>
      </c>
      <c r="H1020" s="200">
        <f>VLOOKUP($D1020,'Preços Unitários'!$B:$G,6,FALSE)</f>
        <v>575.92882499999996</v>
      </c>
      <c r="I1020" s="201">
        <f t="shared" si="134"/>
        <v>455156.55039749999</v>
      </c>
      <c r="J1020" s="299"/>
    </row>
    <row r="1021" spans="1:10" ht="43.2" x14ac:dyDescent="0.3">
      <c r="B1021" s="197" t="s">
        <v>13553</v>
      </c>
      <c r="C1021" s="197" t="s">
        <v>13039</v>
      </c>
      <c r="D1021" s="198" t="s">
        <v>3201</v>
      </c>
      <c r="E1021" s="199" t="str">
        <f>VLOOKUP($D1021,'Preços Unitários'!$B:$G,2,FALSE)</f>
        <v>Lançamento mecânico de concreto com bomba rebocável com capacidade de 30 m³/h - confecção em central dosadora de 30 m³/h</v>
      </c>
      <c r="F1021" s="197" t="str">
        <f>VLOOKUP($D1021,'Preços Unitários'!$B:$G,3,FALSE)</f>
        <v>m³</v>
      </c>
      <c r="G1021" s="200">
        <f>+'MC Canais'!J813</f>
        <v>790.30000000000007</v>
      </c>
      <c r="H1021" s="200">
        <f>VLOOKUP($D1021,'Preços Unitários'!$B:$G,6,FALSE)</f>
        <v>86.285976000000005</v>
      </c>
      <c r="I1021" s="201">
        <f t="shared" si="134"/>
        <v>68191.806832800008</v>
      </c>
      <c r="J1021" s="297"/>
    </row>
    <row r="1022" spans="1:10" ht="28.8" x14ac:dyDescent="0.3">
      <c r="B1022" s="197" t="s">
        <v>14535</v>
      </c>
      <c r="C1022" s="197" t="s">
        <v>13039</v>
      </c>
      <c r="D1022" s="198" t="s">
        <v>206</v>
      </c>
      <c r="E1022" s="199" t="str">
        <f>VLOOKUP($D1022,'Preços Unitários'!$B:$G,2,FALSE)</f>
        <v>Lábios poliméricos em junta de pavimento de concreto - L = 20 mm e H = 30 mm - confecção e assentamento</v>
      </c>
      <c r="F1022" s="197" t="str">
        <f>VLOOKUP($D1022,'Preços Unitários'!$B:$G,3,FALSE)</f>
        <v>m</v>
      </c>
      <c r="G1022" s="200">
        <f>+'MC Canais'!J814</f>
        <v>6026.9999999999991</v>
      </c>
      <c r="H1022" s="200">
        <f>VLOOKUP($D1022,'Preços Unitários'!$B:$G,6,FALSE)</f>
        <v>39.635428000000005</v>
      </c>
      <c r="I1022" s="201">
        <f t="shared" si="134"/>
        <v>238882.724556</v>
      </c>
      <c r="J1022" s="299"/>
    </row>
    <row r="1023" spans="1:10" x14ac:dyDescent="0.3">
      <c r="B1023" s="197" t="s">
        <v>14536</v>
      </c>
      <c r="C1023" s="197" t="s">
        <v>12</v>
      </c>
      <c r="D1023" s="198" t="s">
        <v>13209</v>
      </c>
      <c r="E1023" s="199" t="s">
        <v>13208</v>
      </c>
      <c r="F1023" s="197" t="s">
        <v>195</v>
      </c>
      <c r="G1023" s="200">
        <f>+'MC Canais'!J815</f>
        <v>4200</v>
      </c>
      <c r="H1023" s="200">
        <f>+'Composições de Preços'!$F$130</f>
        <v>37.70076957596789</v>
      </c>
      <c r="I1023" s="201">
        <f t="shared" si="134"/>
        <v>158343.23221906513</v>
      </c>
      <c r="J1023" s="299"/>
    </row>
    <row r="1024" spans="1:10" ht="28.8" x14ac:dyDescent="0.3">
      <c r="B1024" s="197" t="s">
        <v>14578</v>
      </c>
      <c r="C1024" s="197" t="s">
        <v>13039</v>
      </c>
      <c r="D1024" s="198" t="s">
        <v>9446</v>
      </c>
      <c r="E1024" s="199" t="str">
        <f>VLOOKUP($D1024,'Preços Unitários'!$B:$G,2,FALSE)</f>
        <v>Revestimento vegetal com grama em mudas em superfícies inclinadas</v>
      </c>
      <c r="F1024" s="197" t="str">
        <f>VLOOKUP($D1024,'Preços Unitários'!$B:$G,3,FALSE)</f>
        <v>m²</v>
      </c>
      <c r="G1024" s="200">
        <f>+'MC Canais'!J816</f>
        <v>25200</v>
      </c>
      <c r="H1024" s="200">
        <f>VLOOKUP($D1024,'Preços Unitários'!$B:$G,6,FALSE)</f>
        <v>9.984019</v>
      </c>
      <c r="I1024" s="201">
        <f t="shared" si="134"/>
        <v>251597.2788</v>
      </c>
      <c r="J1024" s="299"/>
    </row>
    <row r="1025" spans="2:10" x14ac:dyDescent="0.3">
      <c r="B1025" s="202" t="s">
        <v>13554</v>
      </c>
      <c r="C1025" s="202" t="s">
        <v>13</v>
      </c>
      <c r="D1025" s="203" t="s">
        <v>13</v>
      </c>
      <c r="E1025" s="204" t="s">
        <v>13222</v>
      </c>
      <c r="F1025" s="202"/>
      <c r="G1025" s="200">
        <f>+'MC Canais'!J817</f>
        <v>0</v>
      </c>
      <c r="H1025" s="205"/>
      <c r="I1025" s="205"/>
      <c r="J1025" s="299"/>
    </row>
    <row r="1026" spans="2:10" x14ac:dyDescent="0.3">
      <c r="B1026" s="197" t="s">
        <v>13555</v>
      </c>
      <c r="C1026" s="197" t="s">
        <v>13039</v>
      </c>
      <c r="D1026" s="198" t="s">
        <v>9806</v>
      </c>
      <c r="E1026" s="199" t="str">
        <f>VLOOKUP($D1026,'Preços Unitários'!$B:$G,2,FALSE)</f>
        <v>Escavação mecânica de vala em material de 1ª categoria</v>
      </c>
      <c r="F1026" s="197" t="str">
        <f>VLOOKUP($D1026,'Preços Unitários'!$B:$G,3,FALSE)</f>
        <v>m³</v>
      </c>
      <c r="G1026" s="200">
        <f>+'MC Canais'!J818</f>
        <v>1764</v>
      </c>
      <c r="H1026" s="200">
        <f>VLOOKUP($D1026,'Preços Unitários'!$B:$G,6,FALSE)</f>
        <v>8.7313189999999992</v>
      </c>
      <c r="I1026" s="201">
        <f t="shared" ref="I1026:I1032" si="135">+G1026*H1026</f>
        <v>15402.046715999999</v>
      </c>
      <c r="J1026" s="299"/>
    </row>
    <row r="1027" spans="2:10" x14ac:dyDescent="0.3">
      <c r="B1027" s="197" t="s">
        <v>13556</v>
      </c>
      <c r="C1027" s="197" t="s">
        <v>13039</v>
      </c>
      <c r="D1027" s="198" t="s">
        <v>9830</v>
      </c>
      <c r="E1027" s="199" t="str">
        <f>VLOOKUP($D1027,'Preços Unitários'!$B:$G,2,FALSE)</f>
        <v>Reaterro e compactação com soquete vibratório</v>
      </c>
      <c r="F1027" s="197" t="str">
        <f>VLOOKUP($D1027,'Preços Unitários'!$B:$G,3,FALSE)</f>
        <v>m³</v>
      </c>
      <c r="G1027" s="200">
        <f>+'MC Canais'!J819</f>
        <v>1008</v>
      </c>
      <c r="H1027" s="200">
        <f>VLOOKUP($D1027,'Preços Unitários'!$B:$G,6,FALSE)</f>
        <v>22.611235000000001</v>
      </c>
      <c r="I1027" s="201">
        <f t="shared" si="135"/>
        <v>22792.124879999999</v>
      </c>
      <c r="J1027" s="299"/>
    </row>
    <row r="1028" spans="2:10" ht="28.8" x14ac:dyDescent="0.3">
      <c r="B1028" s="197" t="s">
        <v>13557</v>
      </c>
      <c r="C1028" s="197" t="s">
        <v>13039</v>
      </c>
      <c r="D1028" s="198" t="s">
        <v>11947</v>
      </c>
      <c r="E1028" s="199" t="str">
        <f>VLOOKUP($D1028,'Preços Unitários'!$B:$G,2,FALSE)</f>
        <v>Transporte com caminhão basculante de 14 m³ - rodovia em leito natural</v>
      </c>
      <c r="F1028" s="197" t="str">
        <f>VLOOKUP($D1028,'Preços Unitários'!$B:$G,3,FALSE)</f>
        <v>tkm</v>
      </c>
      <c r="G1028" s="200">
        <f>+'MC Canais'!J820</f>
        <v>5291.9999999999991</v>
      </c>
      <c r="H1028" s="200">
        <f>VLOOKUP($D1028,'Preços Unitários'!$B:$G,6,FALSE)</f>
        <v>1.165011</v>
      </c>
      <c r="I1028" s="201">
        <f t="shared" si="135"/>
        <v>6165.2382119999993</v>
      </c>
      <c r="J1028" s="299"/>
    </row>
    <row r="1029" spans="2:10" ht="28.8" x14ac:dyDescent="0.3">
      <c r="B1029" s="197" t="s">
        <v>13558</v>
      </c>
      <c r="C1029" s="197" t="s">
        <v>12</v>
      </c>
      <c r="D1029" s="198" t="s">
        <v>13224</v>
      </c>
      <c r="E1029" s="199" t="s">
        <v>13223</v>
      </c>
      <c r="F1029" s="197" t="s">
        <v>2904</v>
      </c>
      <c r="G1029" s="200">
        <f>+'MC Canais'!J821</f>
        <v>5040</v>
      </c>
      <c r="H1029" s="200">
        <f>+'Composições de Preços'!$F$173</f>
        <v>26.052132569499999</v>
      </c>
      <c r="I1029" s="201">
        <f t="shared" si="135"/>
        <v>131302.74815028001</v>
      </c>
      <c r="J1029" s="299"/>
    </row>
    <row r="1030" spans="2:10" ht="28.8" x14ac:dyDescent="0.3">
      <c r="B1030" s="197" t="s">
        <v>13559</v>
      </c>
      <c r="C1030" s="197" t="s">
        <v>13039</v>
      </c>
      <c r="D1030" s="198" t="s">
        <v>6908</v>
      </c>
      <c r="E1030" s="199" t="str">
        <f>VLOOKUP($D1030,'Preços Unitários'!$B:$G,2,FALSE)</f>
        <v>Tubo de concreto perfurado produzido na obra para drenagem - D = 0,40 m - fornecimento e instalação</v>
      </c>
      <c r="F1030" s="197" t="str">
        <f>VLOOKUP($D1030,'Preços Unitários'!$B:$G,3,FALSE)</f>
        <v>m</v>
      </c>
      <c r="G1030" s="200">
        <f>+'MC Canais'!J822</f>
        <v>2100</v>
      </c>
      <c r="H1030" s="200">
        <f>VLOOKUP($D1030,'Preços Unitários'!$B:$G,6,FALSE)</f>
        <v>116.764167</v>
      </c>
      <c r="I1030" s="201">
        <f t="shared" si="135"/>
        <v>245204.7507</v>
      </c>
      <c r="J1030" s="299"/>
    </row>
    <row r="1031" spans="2:10" ht="28.8" x14ac:dyDescent="0.3">
      <c r="B1031" s="197" t="s">
        <v>13560</v>
      </c>
      <c r="C1031" s="197" t="s">
        <v>13039</v>
      </c>
      <c r="D1031" s="198" t="s">
        <v>6438</v>
      </c>
      <c r="E1031" s="199" t="str">
        <f>VLOOKUP($D1031,'Preços Unitários'!$B:$G,2,FALSE)</f>
        <v>Lastro de brita comercial compactado com soquete vibratório - espalhamento manual</v>
      </c>
      <c r="F1031" s="197" t="str">
        <f>VLOOKUP($D1031,'Preços Unitários'!$B:$G,3,FALSE)</f>
        <v>m³</v>
      </c>
      <c r="G1031" s="200">
        <f>+'MC Canais'!J823</f>
        <v>492.23999999999995</v>
      </c>
      <c r="H1031" s="200">
        <f>VLOOKUP($D1031,'Preços Unitários'!$B:$G,6,FALSE)</f>
        <v>239.34086200000002</v>
      </c>
      <c r="I1031" s="201">
        <f t="shared" si="135"/>
        <v>117813.14591087999</v>
      </c>
      <c r="J1031" s="299"/>
    </row>
    <row r="1032" spans="2:10" x14ac:dyDescent="0.3">
      <c r="B1032" s="197" t="s">
        <v>13561</v>
      </c>
      <c r="C1032" s="197" t="s">
        <v>13039</v>
      </c>
      <c r="D1032" s="206" t="s">
        <v>6430</v>
      </c>
      <c r="E1032" s="199" t="str">
        <f>VLOOKUP($D1032,'Preços Unitários'!$B:$G,2,FALSE)</f>
        <v>Lastro de areia comercial - espalhamento manual</v>
      </c>
      <c r="F1032" s="197" t="str">
        <f>VLOOKUP($D1032,'Preços Unitários'!$B:$G,3,FALSE)</f>
        <v>m³</v>
      </c>
      <c r="G1032" s="200">
        <f>+'MC Canais'!J824</f>
        <v>252</v>
      </c>
      <c r="H1032" s="200">
        <f>VLOOKUP($D1032,'Preços Unitários'!$B:$G,6,FALSE)</f>
        <v>198.06439700000001</v>
      </c>
      <c r="I1032" s="201">
        <f t="shared" si="135"/>
        <v>49912.228044000003</v>
      </c>
      <c r="J1032" s="299"/>
    </row>
    <row r="1033" spans="2:10" s="243" customFormat="1" ht="28.8" x14ac:dyDescent="0.3">
      <c r="B1033" s="197" t="s">
        <v>13562</v>
      </c>
      <c r="C1033" s="197" t="s">
        <v>13</v>
      </c>
      <c r="D1033" s="198" t="s">
        <v>13</v>
      </c>
      <c r="E1033" s="207" t="s">
        <v>13228</v>
      </c>
      <c r="F1033" s="197"/>
      <c r="G1033" s="200">
        <f>+'MC Canais'!J825</f>
        <v>0</v>
      </c>
      <c r="H1033" s="201"/>
      <c r="I1033" s="201"/>
      <c r="J1033" s="299"/>
    </row>
    <row r="1034" spans="2:10" ht="28.8" x14ac:dyDescent="0.3">
      <c r="B1034" s="197" t="s">
        <v>13563</v>
      </c>
      <c r="C1034" s="197" t="s">
        <v>13039</v>
      </c>
      <c r="D1034" s="198" t="s">
        <v>6964</v>
      </c>
      <c r="E1034" s="199" t="str">
        <f>VLOOKUP($D1034,'Preços Unitários'!$B:$G,2,FALSE)</f>
        <v>Valeta de proteção de cortes com revestimento vegetal - VPCG 120-30 - escavação mecânica</v>
      </c>
      <c r="F1034" s="197" t="str">
        <f>VLOOKUP($D1034,'Preços Unitários'!$B:$G,3,FALSE)</f>
        <v>m</v>
      </c>
      <c r="G1034" s="200">
        <f>+'MC Canais'!J826</f>
        <v>4200</v>
      </c>
      <c r="H1034" s="200">
        <f>VLOOKUP($D1034,'Preços Unitários'!$B:$G,6,FALSE)</f>
        <v>51.961995999999999</v>
      </c>
      <c r="I1034" s="201">
        <f t="shared" ref="I1034:I1037" si="136">+G1034*H1034</f>
        <v>218240.38319999998</v>
      </c>
      <c r="J1034" s="299"/>
    </row>
    <row r="1035" spans="2:10" ht="28.8" x14ac:dyDescent="0.3">
      <c r="B1035" s="197" t="s">
        <v>13564</v>
      </c>
      <c r="C1035" s="197" t="s">
        <v>13039</v>
      </c>
      <c r="D1035" s="198" t="s">
        <v>6744</v>
      </c>
      <c r="E1035" s="199" t="str">
        <f>VLOOKUP($D1035,'Preços Unitários'!$B:$G,2,FALSE)</f>
        <v>Sarjeta triangular de grama - STG 125-25 - escavação mecânica</v>
      </c>
      <c r="F1035" s="197" t="str">
        <f>VLOOKUP($D1035,'Preços Unitários'!$B:$G,3,FALSE)</f>
        <v>m</v>
      </c>
      <c r="G1035" s="200">
        <f>+'MC Canais'!J827</f>
        <v>4200</v>
      </c>
      <c r="H1035" s="200">
        <f>VLOOKUP($D1035,'Preços Unitários'!$B:$G,6,FALSE)</f>
        <v>29.776679000000001</v>
      </c>
      <c r="I1035" s="201">
        <f t="shared" si="136"/>
        <v>125062.0518</v>
      </c>
      <c r="J1035" s="299"/>
    </row>
    <row r="1036" spans="2:10" ht="28.8" x14ac:dyDescent="0.3">
      <c r="B1036" s="197" t="s">
        <v>13565</v>
      </c>
      <c r="C1036" s="197" t="s">
        <v>13039</v>
      </c>
      <c r="D1036" s="198" t="s">
        <v>2740</v>
      </c>
      <c r="E1036" s="199" t="str">
        <f>VLOOKUP($D1036,'Preços Unitários'!$B:$G,2,FALSE)</f>
        <v>Corpo de BSTC D = 0,80 m PA1 - areia, brita e pedra de mão comerciais</v>
      </c>
      <c r="F1036" s="197" t="str">
        <f>VLOOKUP($D1036,'Preços Unitários'!$B:$G,3,FALSE)</f>
        <v>m</v>
      </c>
      <c r="G1036" s="200">
        <f>+'MC Canais'!J828</f>
        <v>0</v>
      </c>
      <c r="H1036" s="200">
        <f>VLOOKUP($D1036,'Preços Unitários'!$B:$G,6,FALSE)</f>
        <v>799.67357200000004</v>
      </c>
      <c r="I1036" s="201">
        <f t="shared" si="136"/>
        <v>0</v>
      </c>
      <c r="J1036" s="299"/>
    </row>
    <row r="1037" spans="2:10" ht="28.8" x14ac:dyDescent="0.3">
      <c r="B1037" s="197" t="s">
        <v>13566</v>
      </c>
      <c r="C1037" s="197" t="s">
        <v>13039</v>
      </c>
      <c r="D1037" s="208" t="s">
        <v>2172</v>
      </c>
      <c r="E1037" s="199" t="str">
        <f>VLOOKUP($D1037,'Preços Unitários'!$B:$G,2,FALSE)</f>
        <v>Boca de BSTC D = 0,80 m - esconsidade 0° - areia e brita comerciais - alas retas</v>
      </c>
      <c r="F1037" s="197" t="str">
        <f>VLOOKUP($D1037,'Preços Unitários'!$B:$G,3,FALSE)</f>
        <v>un</v>
      </c>
      <c r="G1037" s="200">
        <f>+'MC Canais'!J829</f>
        <v>0</v>
      </c>
      <c r="H1037" s="200">
        <f>VLOOKUP($D1037,'Preços Unitários'!$B:$G,6,FALSE)</f>
        <v>1606.687966</v>
      </c>
      <c r="I1037" s="201">
        <f t="shared" si="136"/>
        <v>0</v>
      </c>
      <c r="J1037" s="299"/>
    </row>
    <row r="1038" spans="2:10" s="243" customFormat="1" x14ac:dyDescent="0.3">
      <c r="B1038" s="197" t="s">
        <v>13567</v>
      </c>
      <c r="C1038" s="197" t="s">
        <v>13</v>
      </c>
      <c r="D1038" s="198" t="s">
        <v>13</v>
      </c>
      <c r="E1038" s="207" t="s">
        <v>13230</v>
      </c>
      <c r="F1038" s="197"/>
      <c r="G1038" s="200">
        <f>+'MC Canais'!J830</f>
        <v>0</v>
      </c>
      <c r="H1038" s="201"/>
      <c r="I1038" s="201"/>
      <c r="J1038" s="299"/>
    </row>
    <row r="1039" spans="2:10" ht="28.8" x14ac:dyDescent="0.3">
      <c r="B1039" s="197" t="s">
        <v>13568</v>
      </c>
      <c r="C1039" s="197" t="s">
        <v>13039</v>
      </c>
      <c r="D1039" s="198" t="s">
        <v>11088</v>
      </c>
      <c r="E1039" s="199" t="str">
        <f>VLOOKUP($D1039,'Preços Unitários'!$B:$G,2,FALSE)</f>
        <v>Escavação mecânica com retroescavadeira em material de 1ª categoria</v>
      </c>
      <c r="F1039" s="197" t="str">
        <f>VLOOKUP($D1039,'Preços Unitários'!$B:$G,3,FALSE)</f>
        <v>m³</v>
      </c>
      <c r="G1039" s="200">
        <f>+'MC Canais'!J831</f>
        <v>2205</v>
      </c>
      <c r="H1039" s="200">
        <f>VLOOKUP($D1039,'Preços Unitários'!$B:$G,6,FALSE)</f>
        <v>8.7313189999999992</v>
      </c>
      <c r="I1039" s="201">
        <f t="shared" ref="I1039:I1043" si="137">+G1039*H1039</f>
        <v>19252.558394999996</v>
      </c>
      <c r="J1039" s="299"/>
    </row>
    <row r="1040" spans="2:10" x14ac:dyDescent="0.3">
      <c r="B1040" s="197" t="s">
        <v>13569</v>
      </c>
      <c r="C1040" s="197" t="s">
        <v>13039</v>
      </c>
      <c r="D1040" s="198" t="s">
        <v>11046</v>
      </c>
      <c r="E1040" s="199" t="str">
        <f>VLOOKUP($D1040,'Preços Unitários'!$B:$G,2,FALSE)</f>
        <v>Compactação de aterros a 100% do Proctor normal</v>
      </c>
      <c r="F1040" s="197" t="str">
        <f>VLOOKUP($D1040,'Preços Unitários'!$B:$G,3,FALSE)</f>
        <v>m³</v>
      </c>
      <c r="G1040" s="200">
        <f>+'MC Canais'!J832</f>
        <v>1470</v>
      </c>
      <c r="H1040" s="200">
        <f>VLOOKUP($D1040,'Preços Unitários'!$B:$G,6,FALSE)</f>
        <v>7.1028090000000006</v>
      </c>
      <c r="I1040" s="201">
        <f t="shared" si="137"/>
        <v>10441.12923</v>
      </c>
      <c r="J1040" s="299"/>
    </row>
    <row r="1041" spans="1:10" ht="28.8" x14ac:dyDescent="0.3">
      <c r="B1041" s="197" t="s">
        <v>13570</v>
      </c>
      <c r="C1041" s="197" t="s">
        <v>13039</v>
      </c>
      <c r="D1041" s="198" t="s">
        <v>11947</v>
      </c>
      <c r="E1041" s="199" t="str">
        <f>VLOOKUP($D1041,'Preços Unitários'!$B:$G,2,FALSE)</f>
        <v>Transporte com caminhão basculante de 14 m³ - rodovia em leito natural</v>
      </c>
      <c r="F1041" s="197" t="str">
        <f>VLOOKUP($D1041,'Preços Unitários'!$B:$G,3,FALSE)</f>
        <v>tkm</v>
      </c>
      <c r="G1041" s="200">
        <f>+'MC Canais'!J833</f>
        <v>735</v>
      </c>
      <c r="H1041" s="200">
        <f>VLOOKUP($D1041,'Preços Unitários'!$B:$G,6,FALSE)</f>
        <v>1.165011</v>
      </c>
      <c r="I1041" s="201">
        <f t="shared" si="137"/>
        <v>856.28308500000003</v>
      </c>
      <c r="J1041" s="299"/>
    </row>
    <row r="1042" spans="1:10" x14ac:dyDescent="0.3">
      <c r="B1042" s="197" t="s">
        <v>13571</v>
      </c>
      <c r="C1042" s="197" t="s">
        <v>13039</v>
      </c>
      <c r="D1042" s="198" t="s">
        <v>9440</v>
      </c>
      <c r="E1042" s="199" t="str">
        <f>VLOOKUP($D1042,'Preços Unitários'!$B:$G,2,FALSE)</f>
        <v>Regularização de superfície com motoniveladora</v>
      </c>
      <c r="F1042" s="197" t="str">
        <f>VLOOKUP($D1042,'Preços Unitários'!$B:$G,3,FALSE)</f>
        <v>m²</v>
      </c>
      <c r="G1042" s="200">
        <f>+'MC Canais'!J834</f>
        <v>14700</v>
      </c>
      <c r="H1042" s="200">
        <f>VLOOKUP($D1042,'Preços Unitários'!$B:$G,6,FALSE)</f>
        <v>0.100216</v>
      </c>
      <c r="I1042" s="201">
        <f t="shared" si="137"/>
        <v>1473.1751999999999</v>
      </c>
      <c r="J1042"/>
    </row>
    <row r="1043" spans="1:10" x14ac:dyDescent="0.3">
      <c r="B1043" s="197" t="s">
        <v>13572</v>
      </c>
      <c r="C1043" s="197" t="s">
        <v>12</v>
      </c>
      <c r="D1043" s="198" t="s">
        <v>13232</v>
      </c>
      <c r="E1043" s="199" t="s">
        <v>13231</v>
      </c>
      <c r="F1043" s="197" t="s">
        <v>427</v>
      </c>
      <c r="G1043" s="200">
        <f>+'MC Canais'!J835</f>
        <v>1102.5</v>
      </c>
      <c r="H1043" s="200">
        <f>+'Composições de Preços'!$F$216</f>
        <v>214.40019935426301</v>
      </c>
      <c r="I1043" s="201">
        <f t="shared" si="137"/>
        <v>236376.21978807496</v>
      </c>
      <c r="J1043" s="297"/>
    </row>
    <row r="1044" spans="1:10" s="243" customFormat="1" x14ac:dyDescent="0.3">
      <c r="B1044" s="197" t="s">
        <v>13573</v>
      </c>
      <c r="C1044" s="197" t="s">
        <v>13</v>
      </c>
      <c r="D1044" s="198" t="s">
        <v>13</v>
      </c>
      <c r="E1044" s="207" t="s">
        <v>13386</v>
      </c>
      <c r="F1044" s="197"/>
      <c r="G1044" s="200">
        <f>+'MC Canais'!J836</f>
        <v>0</v>
      </c>
      <c r="H1044" s="201"/>
      <c r="I1044" s="201"/>
      <c r="J1044" s="299"/>
    </row>
    <row r="1045" spans="1:10" ht="28.8" x14ac:dyDescent="0.3">
      <c r="B1045" s="197" t="s">
        <v>13574</v>
      </c>
      <c r="C1045" s="197" t="s">
        <v>13039</v>
      </c>
      <c r="D1045" s="198" t="s">
        <v>8625</v>
      </c>
      <c r="E1045" s="199" t="str">
        <f>VLOOKUP($D1045,'Preços Unitários'!$B:$G,2,FALSE)</f>
        <v>Cerca com 4 fios de arame liso galvanizado e mourão de madeira a cada 2,5 m e esticador a cada 50 m</v>
      </c>
      <c r="F1045" s="197" t="str">
        <f>VLOOKUP($D1045,'Preços Unitários'!$B:$G,3,FALSE)</f>
        <v>m</v>
      </c>
      <c r="G1045" s="200">
        <f>+'MC Canais'!J837</f>
        <v>4200</v>
      </c>
      <c r="H1045" s="200">
        <f>VLOOKUP($D1045,'Preços Unitários'!$B:$G,6,FALSE)</f>
        <v>27.146009000000003</v>
      </c>
      <c r="I1045" s="201">
        <f t="shared" ref="I1045" si="138">+G1045*H1045</f>
        <v>114013.23780000002</v>
      </c>
      <c r="J1045" s="299"/>
    </row>
    <row r="1046" spans="1:10" s="219" customFormat="1" x14ac:dyDescent="0.3">
      <c r="B1046" s="214">
        <v>0</v>
      </c>
      <c r="C1046" s="215" t="s">
        <v>13</v>
      </c>
      <c r="D1046" s="216" t="s">
        <v>13</v>
      </c>
      <c r="E1046" s="217" t="s">
        <v>13143</v>
      </c>
      <c r="F1046" s="215" t="s">
        <v>13</v>
      </c>
      <c r="G1046" s="214">
        <v>0</v>
      </c>
      <c r="H1046" s="214">
        <v>0</v>
      </c>
      <c r="I1046" s="214">
        <f>+I1047</f>
        <v>4387791.3991671205</v>
      </c>
      <c r="J1046" s="299"/>
    </row>
    <row r="1047" spans="1:10" x14ac:dyDescent="0.3">
      <c r="A1047" s="230" t="s">
        <v>14472</v>
      </c>
      <c r="B1047" s="286" t="s">
        <v>13058</v>
      </c>
      <c r="C1047" s="209" t="s">
        <v>13</v>
      </c>
      <c r="D1047" s="210" t="s">
        <v>13</v>
      </c>
      <c r="E1047" s="211" t="s">
        <v>13143</v>
      </c>
      <c r="F1047" s="209" t="s">
        <v>13</v>
      </c>
      <c r="G1047" s="212">
        <v>0</v>
      </c>
      <c r="H1047" s="212">
        <v>0</v>
      </c>
      <c r="I1047" s="212">
        <f>SUM(I1048:I1083)</f>
        <v>4387791.3991671205</v>
      </c>
      <c r="J1047" s="284" t="s">
        <v>14472</v>
      </c>
    </row>
    <row r="1048" spans="1:10" x14ac:dyDescent="0.3">
      <c r="B1048" s="202" t="s">
        <v>13575</v>
      </c>
      <c r="C1048" s="202" t="s">
        <v>13</v>
      </c>
      <c r="D1048" s="203" t="s">
        <v>13</v>
      </c>
      <c r="E1048" s="204" t="s">
        <v>13203</v>
      </c>
      <c r="F1048" s="202"/>
      <c r="G1048" s="205"/>
      <c r="H1048" s="205"/>
      <c r="I1048" s="205"/>
      <c r="J1048" s="299"/>
    </row>
    <row r="1049" spans="1:10" ht="28.8" x14ac:dyDescent="0.3">
      <c r="B1049" s="197" t="s">
        <v>13576</v>
      </c>
      <c r="C1049" s="197" t="s">
        <v>13039</v>
      </c>
      <c r="D1049" s="198" t="s">
        <v>11052</v>
      </c>
      <c r="E1049" s="199" t="str">
        <f>VLOOKUP($D1049,'Preços Unitários'!$B:$G,2,FALSE)</f>
        <v>Desmatamento, destocamento e limpeza de área com árvores de diâmetro até 0,15 m</v>
      </c>
      <c r="F1049" s="197" t="str">
        <f>VLOOKUP($D1049,'Preços Unitários'!$B:$G,3,FALSE)</f>
        <v>m²</v>
      </c>
      <c r="G1049" s="200">
        <f>+'MC Canais'!J879</f>
        <v>103640</v>
      </c>
      <c r="H1049" s="200">
        <f>VLOOKUP($D1049,'Preços Unitários'!$B:$G,6,FALSE)</f>
        <v>0.87688999999999995</v>
      </c>
      <c r="I1049" s="201">
        <f>+G1049*H1049</f>
        <v>90880.8796</v>
      </c>
      <c r="J1049" s="299"/>
    </row>
    <row r="1050" spans="1:10" ht="43.2" x14ac:dyDescent="0.3">
      <c r="B1050" s="197" t="s">
        <v>13577</v>
      </c>
      <c r="C1050" s="197" t="s">
        <v>13039</v>
      </c>
      <c r="D1050" s="198" t="s">
        <v>11092</v>
      </c>
      <c r="E1050" s="199" t="str">
        <f>VLOOKUP($D1050,'Preços Unitários'!$B:$G,2,FALSE)</f>
        <v>Escavação, carga e transporte de material de 1ª categoria - DMT de 1.000 a 1.200 m - caminho de serviço em leito natural - com escavadeira e caminhão basculante de 14 m³</v>
      </c>
      <c r="F1050" s="197" t="str">
        <f>VLOOKUP($D1050,'Preços Unitários'!$B:$G,3,FALSE)</f>
        <v>m³</v>
      </c>
      <c r="G1050" s="200">
        <f>+'MC Canais'!J880</f>
        <v>11948.53</v>
      </c>
      <c r="H1050" s="200">
        <f>VLOOKUP($D1050,'Preços Unitários'!$B:$G,6,FALSE)</f>
        <v>10.673003999999999</v>
      </c>
      <c r="I1050" s="201">
        <f t="shared" ref="I1050:I1062" si="139">+G1050*H1050</f>
        <v>127526.70848412</v>
      </c>
      <c r="J1050" s="299"/>
    </row>
    <row r="1051" spans="1:10" x14ac:dyDescent="0.3">
      <c r="B1051" s="197" t="s">
        <v>13578</v>
      </c>
      <c r="C1051" s="197" t="s">
        <v>13039</v>
      </c>
      <c r="D1051" s="198" t="s">
        <v>11046</v>
      </c>
      <c r="E1051" s="213" t="str">
        <f>VLOOKUP($D1051,'Preços Unitários'!$B:$G,2,FALSE)</f>
        <v>Compactação de aterros a 100% do Proctor normal</v>
      </c>
      <c r="F1051" s="197" t="str">
        <f>VLOOKUP($D1051,'Preços Unitários'!$B:$G,3,FALSE)</f>
        <v>m³</v>
      </c>
      <c r="G1051" s="200">
        <f>+'MC Canais'!J881</f>
        <v>5884.78</v>
      </c>
      <c r="H1051" s="200">
        <f>VLOOKUP($D1051,'Preços Unitários'!$B:$G,6,FALSE)</f>
        <v>7.1028090000000006</v>
      </c>
      <c r="I1051" s="201">
        <f t="shared" si="139"/>
        <v>41798.468347020003</v>
      </c>
      <c r="J1051" s="299"/>
    </row>
    <row r="1052" spans="1:10" ht="28.8" x14ac:dyDescent="0.3">
      <c r="B1052" s="197" t="s">
        <v>13579</v>
      </c>
      <c r="C1052" s="197" t="s">
        <v>13039</v>
      </c>
      <c r="D1052" s="198" t="s">
        <v>11947</v>
      </c>
      <c r="E1052" s="199" t="str">
        <f>VLOOKUP($D1052,'Preços Unitários'!$B:$G,2,FALSE)</f>
        <v>Transporte com caminhão basculante de 14 m³ - rodovia em leito natural</v>
      </c>
      <c r="F1052" s="197" t="str">
        <f>VLOOKUP($D1052,'Preços Unitários'!$B:$G,3,FALSE)</f>
        <v>tkm</v>
      </c>
      <c r="G1052" s="200">
        <f>+'MC Canais'!J882</f>
        <v>42446.25</v>
      </c>
      <c r="H1052" s="200">
        <f>VLOOKUP($D1052,'Preços Unitários'!$B:$G,6,FALSE)</f>
        <v>1.165011</v>
      </c>
      <c r="I1052" s="201">
        <f t="shared" si="139"/>
        <v>49450.348158749999</v>
      </c>
      <c r="J1052" s="299"/>
    </row>
    <row r="1053" spans="1:10" x14ac:dyDescent="0.3">
      <c r="B1053" s="197" t="s">
        <v>13580</v>
      </c>
      <c r="C1053" s="197" t="s">
        <v>13039</v>
      </c>
      <c r="D1053" s="198" t="s">
        <v>9440</v>
      </c>
      <c r="E1053" s="199" t="str">
        <f>VLOOKUP($D1053,'Preços Unitários'!$B:$G,2,FALSE)</f>
        <v>Regularização de superfície com motoniveladora</v>
      </c>
      <c r="F1053" s="197" t="str">
        <f>VLOOKUP($D1053,'Preços Unitários'!$B:$G,3,FALSE)</f>
        <v>m²</v>
      </c>
      <c r="G1053" s="200">
        <f>+'MC Canais'!J883</f>
        <v>1036.4000000000001</v>
      </c>
      <c r="H1053" s="200">
        <f>VLOOKUP($D1053,'Preços Unitários'!$B:$G,6,FALSE)</f>
        <v>0.100216</v>
      </c>
      <c r="I1053" s="201">
        <f>+G1053*H1053</f>
        <v>103.8638624</v>
      </c>
      <c r="J1053" s="299"/>
    </row>
    <row r="1054" spans="1:10" ht="28.8" x14ac:dyDescent="0.3">
      <c r="B1054" s="197" t="s">
        <v>13581</v>
      </c>
      <c r="C1054" s="197" t="s">
        <v>12</v>
      </c>
      <c r="D1054" s="198" t="s">
        <v>13205</v>
      </c>
      <c r="E1054" s="199" t="s">
        <v>13204</v>
      </c>
      <c r="F1054" s="197" t="s">
        <v>2904</v>
      </c>
      <c r="G1054" s="200">
        <f>+'MC Canais'!J884</f>
        <v>1938.77</v>
      </c>
      <c r="H1054" s="200">
        <f>+'Composições de Preços'!$F$87</f>
        <v>59.387948601153852</v>
      </c>
      <c r="I1054" s="201">
        <f t="shared" si="139"/>
        <v>115139.57310945906</v>
      </c>
      <c r="J1054" s="299"/>
    </row>
    <row r="1055" spans="1:10" ht="28.8" x14ac:dyDescent="0.3">
      <c r="B1055" s="197" t="s">
        <v>13582</v>
      </c>
      <c r="C1055" s="197" t="s">
        <v>12</v>
      </c>
      <c r="D1055" s="198" t="s">
        <v>14504</v>
      </c>
      <c r="E1055" s="199" t="s">
        <v>14497</v>
      </c>
      <c r="F1055" s="197" t="s">
        <v>427</v>
      </c>
      <c r="G1055" s="200">
        <f>+'MC Canais'!J885</f>
        <v>1551</v>
      </c>
      <c r="H1055" s="200">
        <f>+'Composições de Preços'!$F$446</f>
        <v>99.894988108799993</v>
      </c>
      <c r="I1055" s="201">
        <f t="shared" si="139"/>
        <v>154937.12655674879</v>
      </c>
      <c r="J1055" s="297"/>
    </row>
    <row r="1056" spans="1:10" ht="28.8" x14ac:dyDescent="0.3">
      <c r="B1056" s="197" t="s">
        <v>13583</v>
      </c>
      <c r="C1056" s="197" t="s">
        <v>12</v>
      </c>
      <c r="D1056" s="198" t="s">
        <v>13192</v>
      </c>
      <c r="E1056" s="199" t="s">
        <v>13191</v>
      </c>
      <c r="F1056" s="197" t="s">
        <v>2904</v>
      </c>
      <c r="G1056" s="200">
        <f>+'MC Canais'!J886</f>
        <v>7755</v>
      </c>
      <c r="H1056" s="200">
        <f>+'Composições de Preços'!$F$44</f>
        <v>73.117919302000004</v>
      </c>
      <c r="I1056" s="201">
        <f t="shared" si="139"/>
        <v>567029.46418701007</v>
      </c>
      <c r="J1056" s="299"/>
    </row>
    <row r="1057" spans="2:10" ht="28.8" x14ac:dyDescent="0.3">
      <c r="B1057" s="197" t="s">
        <v>13584</v>
      </c>
      <c r="C1057" s="197" t="s">
        <v>12</v>
      </c>
      <c r="D1057" s="198" t="s">
        <v>14506</v>
      </c>
      <c r="E1057" s="199" t="s">
        <v>14505</v>
      </c>
      <c r="F1057" s="197" t="s">
        <v>427</v>
      </c>
      <c r="G1057" s="200">
        <f>+'MC Canais'!J887</f>
        <v>5182</v>
      </c>
      <c r="H1057" s="200">
        <f>+'Composições de Preços'!$F$492</f>
        <v>107.93859485200001</v>
      </c>
      <c r="I1057" s="201">
        <f t="shared" si="139"/>
        <v>559337.798523064</v>
      </c>
      <c r="J1057" s="299"/>
    </row>
    <row r="1058" spans="2:10" ht="28.8" x14ac:dyDescent="0.3">
      <c r="B1058" s="197" t="s">
        <v>13585</v>
      </c>
      <c r="C1058" s="197" t="s">
        <v>13039</v>
      </c>
      <c r="D1058" s="198" t="s">
        <v>3149</v>
      </c>
      <c r="E1058" s="199" t="str">
        <f>VLOOKUP($D1058,'Preços Unitários'!$B:$G,2,FALSE)</f>
        <v>Concreto para bombeamento fck = 30 MPa - confecção em central dosadora de 30 m³/h - areia e brita comerciais</v>
      </c>
      <c r="F1058" s="197" t="str">
        <f>VLOOKUP($D1058,'Preços Unitários'!$B:$G,3,FALSE)</f>
        <v>m³</v>
      </c>
      <c r="G1058" s="200">
        <f>+'MC Canais'!J888</f>
        <v>542.85</v>
      </c>
      <c r="H1058" s="200">
        <f>VLOOKUP($D1058,'Preços Unitários'!$B:$G,6,FALSE)</f>
        <v>575.92882499999996</v>
      </c>
      <c r="I1058" s="201">
        <f t="shared" si="139"/>
        <v>312642.96265125001</v>
      </c>
      <c r="J1058" s="299"/>
    </row>
    <row r="1059" spans="2:10" ht="43.2" x14ac:dyDescent="0.3">
      <c r="B1059" s="197" t="s">
        <v>13586</v>
      </c>
      <c r="C1059" s="197" t="s">
        <v>13039</v>
      </c>
      <c r="D1059" s="198" t="s">
        <v>3201</v>
      </c>
      <c r="E1059" s="199" t="str">
        <f>VLOOKUP($D1059,'Preços Unitários'!$B:$G,2,FALSE)</f>
        <v>Lançamento mecânico de concreto com bomba rebocável com capacidade de 30 m³/h - confecção em central dosadora de 30 m³/h</v>
      </c>
      <c r="F1059" s="197" t="str">
        <f>VLOOKUP($D1059,'Preços Unitários'!$B:$G,3,FALSE)</f>
        <v>m³</v>
      </c>
      <c r="G1059" s="200">
        <f>+'MC Canais'!J889</f>
        <v>542.85</v>
      </c>
      <c r="H1059" s="200">
        <f>VLOOKUP($D1059,'Preços Unitários'!$B:$G,6,FALSE)</f>
        <v>86.285976000000005</v>
      </c>
      <c r="I1059" s="201">
        <f t="shared" si="139"/>
        <v>46840.342071600004</v>
      </c>
      <c r="J1059" s="299"/>
    </row>
    <row r="1060" spans="2:10" ht="28.8" x14ac:dyDescent="0.3">
      <c r="B1060" s="197" t="s">
        <v>14533</v>
      </c>
      <c r="C1060" s="197" t="s">
        <v>13039</v>
      </c>
      <c r="D1060" s="198" t="s">
        <v>206</v>
      </c>
      <c r="E1060" s="199" t="str">
        <f>VLOOKUP($D1060,'Preços Unitários'!$B:$G,2,FALSE)</f>
        <v>Lábios poliméricos em junta de pavimento de concreto - L = 20 mm e H = 30 mm - confecção e assentamento</v>
      </c>
      <c r="F1060" s="197" t="str">
        <f>VLOOKUP($D1060,'Preços Unitários'!$B:$G,3,FALSE)</f>
        <v>m</v>
      </c>
      <c r="G1060" s="200">
        <f>+'MC Canais'!J890</f>
        <v>4912.5360000000001</v>
      </c>
      <c r="H1060" s="200">
        <f>VLOOKUP($D1060,'Preços Unitários'!$B:$G,6,FALSE)</f>
        <v>39.635428000000005</v>
      </c>
      <c r="I1060" s="201">
        <f t="shared" si="139"/>
        <v>194710.46692540802</v>
      </c>
      <c r="J1060" s="299"/>
    </row>
    <row r="1061" spans="2:10" x14ac:dyDescent="0.3">
      <c r="B1061" s="197" t="s">
        <v>14534</v>
      </c>
      <c r="C1061" s="197" t="s">
        <v>12</v>
      </c>
      <c r="D1061" s="198" t="s">
        <v>13209</v>
      </c>
      <c r="E1061" s="199" t="s">
        <v>13208</v>
      </c>
      <c r="F1061" s="197" t="s">
        <v>195</v>
      </c>
      <c r="G1061" s="200">
        <f>+'MC Canais'!J891</f>
        <v>5182</v>
      </c>
      <c r="H1061" s="200">
        <f>+'Composições de Preços'!$F$130</f>
        <v>37.70076957596789</v>
      </c>
      <c r="I1061" s="201">
        <f t="shared" si="139"/>
        <v>195365.38794266561</v>
      </c>
      <c r="J1061" s="299"/>
    </row>
    <row r="1062" spans="2:10" ht="28.8" x14ac:dyDescent="0.3">
      <c r="B1062" s="197" t="s">
        <v>14579</v>
      </c>
      <c r="C1062" s="197" t="s">
        <v>13039</v>
      </c>
      <c r="D1062" s="198" t="s">
        <v>9446</v>
      </c>
      <c r="E1062" s="199" t="str">
        <f>VLOOKUP($D1062,'Preços Unitários'!$B:$G,2,FALSE)</f>
        <v>Revestimento vegetal com grama em mudas em superfícies inclinadas</v>
      </c>
      <c r="F1062" s="197" t="str">
        <f>VLOOKUP($D1062,'Preços Unitários'!$B:$G,3,FALSE)</f>
        <v>m²</v>
      </c>
      <c r="G1062" s="200">
        <f>+'MC Canais'!J892</f>
        <v>31092</v>
      </c>
      <c r="H1062" s="200">
        <f>VLOOKUP($D1062,'Preços Unitários'!$B:$G,6,FALSE)</f>
        <v>9.984019</v>
      </c>
      <c r="I1062" s="201">
        <f t="shared" si="139"/>
        <v>310423.11874800001</v>
      </c>
      <c r="J1062" s="299"/>
    </row>
    <row r="1063" spans="2:10" x14ac:dyDescent="0.3">
      <c r="B1063" s="202" t="s">
        <v>13587</v>
      </c>
      <c r="C1063" s="202" t="s">
        <v>13</v>
      </c>
      <c r="D1063" s="203" t="s">
        <v>13</v>
      </c>
      <c r="E1063" s="204" t="s">
        <v>13222</v>
      </c>
      <c r="F1063" s="202"/>
      <c r="G1063" s="200">
        <f>+'MC Canais'!J893</f>
        <v>0</v>
      </c>
      <c r="H1063" s="205"/>
      <c r="I1063" s="205"/>
      <c r="J1063" s="299"/>
    </row>
    <row r="1064" spans="2:10" x14ac:dyDescent="0.3">
      <c r="B1064" s="197" t="s">
        <v>13588</v>
      </c>
      <c r="C1064" s="197" t="s">
        <v>13039</v>
      </c>
      <c r="D1064" s="198" t="s">
        <v>9806</v>
      </c>
      <c r="E1064" s="199" t="str">
        <f>VLOOKUP($D1064,'Preços Unitários'!$B:$G,2,FALSE)</f>
        <v>Escavação mecânica de vala em material de 1ª categoria</v>
      </c>
      <c r="F1064" s="197" t="str">
        <f>VLOOKUP($D1064,'Preços Unitários'!$B:$G,3,FALSE)</f>
        <v>m³</v>
      </c>
      <c r="G1064" s="200">
        <f>+'MC Canais'!J894</f>
        <v>2176.4399999999996</v>
      </c>
      <c r="H1064" s="200">
        <f>VLOOKUP($D1064,'Preços Unitários'!$B:$G,6,FALSE)</f>
        <v>8.7313189999999992</v>
      </c>
      <c r="I1064" s="201">
        <f t="shared" ref="I1064:I1070" si="140">+G1064*H1064</f>
        <v>19003.191924359995</v>
      </c>
      <c r="J1064" s="299"/>
    </row>
    <row r="1065" spans="2:10" x14ac:dyDescent="0.3">
      <c r="B1065" s="197" t="s">
        <v>13589</v>
      </c>
      <c r="C1065" s="197" t="s">
        <v>13039</v>
      </c>
      <c r="D1065" s="198" t="s">
        <v>9830</v>
      </c>
      <c r="E1065" s="199" t="str">
        <f>VLOOKUP($D1065,'Preços Unitários'!$B:$G,2,FALSE)</f>
        <v>Reaterro e compactação com soquete vibratório</v>
      </c>
      <c r="F1065" s="197" t="str">
        <f>VLOOKUP($D1065,'Preços Unitários'!$B:$G,3,FALSE)</f>
        <v>m³</v>
      </c>
      <c r="G1065" s="200">
        <f>+'MC Canais'!J895</f>
        <v>1243.6799999999998</v>
      </c>
      <c r="H1065" s="200">
        <f>VLOOKUP($D1065,'Preços Unitários'!$B:$G,6,FALSE)</f>
        <v>22.611235000000001</v>
      </c>
      <c r="I1065" s="201">
        <f t="shared" si="140"/>
        <v>28121.140744799995</v>
      </c>
      <c r="J1065" s="299"/>
    </row>
    <row r="1066" spans="2:10" ht="28.8" x14ac:dyDescent="0.3">
      <c r="B1066" s="197" t="s">
        <v>13590</v>
      </c>
      <c r="C1066" s="197" t="s">
        <v>13039</v>
      </c>
      <c r="D1066" s="198" t="s">
        <v>11947</v>
      </c>
      <c r="E1066" s="199" t="str">
        <f>VLOOKUP($D1066,'Preços Unitários'!$B:$G,2,FALSE)</f>
        <v>Transporte com caminhão basculante de 14 m³ - rodovia em leito natural</v>
      </c>
      <c r="F1066" s="197" t="str">
        <f>VLOOKUP($D1066,'Preços Unitários'!$B:$G,3,FALSE)</f>
        <v>tkm</v>
      </c>
      <c r="G1066" s="200">
        <f>+'MC Canais'!J896</f>
        <v>6529.3199999999979</v>
      </c>
      <c r="H1066" s="200">
        <f>VLOOKUP($D1066,'Preços Unitários'!$B:$G,6,FALSE)</f>
        <v>1.165011</v>
      </c>
      <c r="I1066" s="201">
        <f t="shared" si="140"/>
        <v>7606.729622519998</v>
      </c>
      <c r="J1066" s="299"/>
    </row>
    <row r="1067" spans="2:10" ht="28.8" x14ac:dyDescent="0.3">
      <c r="B1067" s="197" t="s">
        <v>13591</v>
      </c>
      <c r="C1067" s="197" t="s">
        <v>12</v>
      </c>
      <c r="D1067" s="198" t="s">
        <v>13224</v>
      </c>
      <c r="E1067" s="199" t="s">
        <v>13223</v>
      </c>
      <c r="F1067" s="197" t="s">
        <v>2904</v>
      </c>
      <c r="G1067" s="200">
        <f>+'MC Canais'!J897</f>
        <v>6218.4</v>
      </c>
      <c r="H1067" s="200">
        <f>+'Composições de Preços'!$F$173</f>
        <v>26.052132569499999</v>
      </c>
      <c r="I1067" s="201">
        <f t="shared" si="140"/>
        <v>162002.58117017878</v>
      </c>
      <c r="J1067" s="299"/>
    </row>
    <row r="1068" spans="2:10" ht="28.8" x14ac:dyDescent="0.3">
      <c r="B1068" s="197" t="s">
        <v>13592</v>
      </c>
      <c r="C1068" s="197" t="s">
        <v>13039</v>
      </c>
      <c r="D1068" s="198" t="s">
        <v>6908</v>
      </c>
      <c r="E1068" s="199" t="str">
        <f>VLOOKUP($D1068,'Preços Unitários'!$B:$G,2,FALSE)</f>
        <v>Tubo de concreto perfurado produzido na obra para drenagem - D = 0,40 m - fornecimento e instalação</v>
      </c>
      <c r="F1068" s="197" t="str">
        <f>VLOOKUP($D1068,'Preços Unitários'!$B:$G,3,FALSE)</f>
        <v>m</v>
      </c>
      <c r="G1068" s="200">
        <f>+'MC Canais'!J898</f>
        <v>2591</v>
      </c>
      <c r="H1068" s="200">
        <f>VLOOKUP($D1068,'Preços Unitários'!$B:$G,6,FALSE)</f>
        <v>116.764167</v>
      </c>
      <c r="I1068" s="201">
        <f t="shared" si="140"/>
        <v>302535.95669700002</v>
      </c>
      <c r="J1068" s="299"/>
    </row>
    <row r="1069" spans="2:10" ht="28.8" x14ac:dyDescent="0.3">
      <c r="B1069" s="197" t="s">
        <v>13593</v>
      </c>
      <c r="C1069" s="197" t="s">
        <v>13039</v>
      </c>
      <c r="D1069" s="198" t="s">
        <v>6438</v>
      </c>
      <c r="E1069" s="199" t="str">
        <f>VLOOKUP($D1069,'Preços Unitários'!$B:$G,2,FALSE)</f>
        <v>Lastro de brita comercial compactado com soquete vibratório - espalhamento manual</v>
      </c>
      <c r="F1069" s="197" t="str">
        <f>VLOOKUP($D1069,'Preços Unitários'!$B:$G,3,FALSE)</f>
        <v>m³</v>
      </c>
      <c r="G1069" s="200">
        <f>+'MC Canais'!J899</f>
        <v>607.33039999999983</v>
      </c>
      <c r="H1069" s="200">
        <f>VLOOKUP($D1069,'Preços Unitários'!$B:$G,6,FALSE)</f>
        <v>239.34086200000002</v>
      </c>
      <c r="I1069" s="201">
        <f t="shared" si="140"/>
        <v>145358.98145480477</v>
      </c>
      <c r="J1069" s="299"/>
    </row>
    <row r="1070" spans="2:10" x14ac:dyDescent="0.3">
      <c r="B1070" s="197" t="s">
        <v>13594</v>
      </c>
      <c r="C1070" s="197" t="s">
        <v>13039</v>
      </c>
      <c r="D1070" s="206" t="s">
        <v>6430</v>
      </c>
      <c r="E1070" s="199" t="str">
        <f>VLOOKUP($D1070,'Preços Unitários'!$B:$G,2,FALSE)</f>
        <v>Lastro de areia comercial - espalhamento manual</v>
      </c>
      <c r="F1070" s="197" t="str">
        <f>VLOOKUP($D1070,'Preços Unitários'!$B:$G,3,FALSE)</f>
        <v>m³</v>
      </c>
      <c r="G1070" s="200">
        <f>+'MC Canais'!J900</f>
        <v>310.92</v>
      </c>
      <c r="H1070" s="200">
        <f>VLOOKUP($D1070,'Preços Unitários'!$B:$G,6,FALSE)</f>
        <v>198.06439700000001</v>
      </c>
      <c r="I1070" s="201">
        <f t="shared" si="140"/>
        <v>61582.18231524001</v>
      </c>
      <c r="J1070" s="299"/>
    </row>
    <row r="1071" spans="2:10" s="243" customFormat="1" ht="28.8" x14ac:dyDescent="0.3">
      <c r="B1071" s="197" t="s">
        <v>13595</v>
      </c>
      <c r="C1071" s="197" t="s">
        <v>13</v>
      </c>
      <c r="D1071" s="198" t="s">
        <v>13</v>
      </c>
      <c r="E1071" s="207" t="s">
        <v>13228</v>
      </c>
      <c r="F1071" s="197"/>
      <c r="G1071" s="200">
        <f>+'MC Canais'!J901</f>
        <v>0</v>
      </c>
      <c r="H1071" s="201"/>
      <c r="I1071" s="201"/>
      <c r="J1071" s="299"/>
    </row>
    <row r="1072" spans="2:10" ht="28.8" x14ac:dyDescent="0.3">
      <c r="B1072" s="197" t="s">
        <v>13596</v>
      </c>
      <c r="C1072" s="197" t="s">
        <v>13039</v>
      </c>
      <c r="D1072" s="198" t="s">
        <v>6964</v>
      </c>
      <c r="E1072" s="199" t="str">
        <f>VLOOKUP($D1072,'Preços Unitários'!$B:$G,2,FALSE)</f>
        <v>Valeta de proteção de cortes com revestimento vegetal - VPCG 120-30 - escavação mecânica</v>
      </c>
      <c r="F1072" s="197" t="str">
        <f>VLOOKUP($D1072,'Preços Unitários'!$B:$G,3,FALSE)</f>
        <v>m</v>
      </c>
      <c r="G1072" s="200">
        <f>+'MC Canais'!J902</f>
        <v>5182</v>
      </c>
      <c r="H1072" s="200">
        <f>VLOOKUP($D1072,'Preços Unitários'!$B:$G,6,FALSE)</f>
        <v>51.961995999999999</v>
      </c>
      <c r="I1072" s="201">
        <f t="shared" ref="I1072:I1075" si="141">+G1072*H1072</f>
        <v>269267.063272</v>
      </c>
      <c r="J1072" s="299"/>
    </row>
    <row r="1073" spans="1:10" ht="28.8" x14ac:dyDescent="0.3">
      <c r="B1073" s="197" t="s">
        <v>13597</v>
      </c>
      <c r="C1073" s="197" t="s">
        <v>13039</v>
      </c>
      <c r="D1073" s="198" t="s">
        <v>6744</v>
      </c>
      <c r="E1073" s="199" t="str">
        <f>VLOOKUP($D1073,'Preços Unitários'!$B:$G,2,FALSE)</f>
        <v>Sarjeta triangular de grama - STG 125-25 - escavação mecânica</v>
      </c>
      <c r="F1073" s="197" t="str">
        <f>VLOOKUP($D1073,'Preços Unitários'!$B:$G,3,FALSE)</f>
        <v>m</v>
      </c>
      <c r="G1073" s="200">
        <f>+'MC Canais'!J903</f>
        <v>5182</v>
      </c>
      <c r="H1073" s="200">
        <f>VLOOKUP($D1073,'Preços Unitários'!$B:$G,6,FALSE)</f>
        <v>29.776679000000001</v>
      </c>
      <c r="I1073" s="201">
        <f t="shared" si="141"/>
        <v>154302.75057800001</v>
      </c>
      <c r="J1073" s="299"/>
    </row>
    <row r="1074" spans="1:10" ht="28.8" x14ac:dyDescent="0.3">
      <c r="B1074" s="197" t="s">
        <v>13598</v>
      </c>
      <c r="C1074" s="197" t="s">
        <v>13039</v>
      </c>
      <c r="D1074" s="198" t="s">
        <v>2740</v>
      </c>
      <c r="E1074" s="199" t="str">
        <f>VLOOKUP($D1074,'Preços Unitários'!$B:$G,2,FALSE)</f>
        <v>Corpo de BSTC D = 0,80 m PA1 - areia, brita e pedra de mão comerciais</v>
      </c>
      <c r="F1074" s="197" t="str">
        <f>VLOOKUP($D1074,'Preços Unitários'!$B:$G,3,FALSE)</f>
        <v>m</v>
      </c>
      <c r="G1074" s="200">
        <f>+'MC Canais'!J904</f>
        <v>0</v>
      </c>
      <c r="H1074" s="200">
        <f>VLOOKUP($D1074,'Preços Unitários'!$B:$G,6,FALSE)</f>
        <v>799.67357200000004</v>
      </c>
      <c r="I1074" s="201">
        <f t="shared" si="141"/>
        <v>0</v>
      </c>
      <c r="J1074" s="299"/>
    </row>
    <row r="1075" spans="1:10" ht="28.8" x14ac:dyDescent="0.3">
      <c r="B1075" s="197" t="s">
        <v>13599</v>
      </c>
      <c r="C1075" s="197" t="s">
        <v>13039</v>
      </c>
      <c r="D1075" s="208" t="s">
        <v>2172</v>
      </c>
      <c r="E1075" s="199" t="str">
        <f>VLOOKUP($D1075,'Preços Unitários'!$B:$G,2,FALSE)</f>
        <v>Boca de BSTC D = 0,80 m - esconsidade 0° - areia e brita comerciais - alas retas</v>
      </c>
      <c r="F1075" s="197" t="str">
        <f>VLOOKUP($D1075,'Preços Unitários'!$B:$G,3,FALSE)</f>
        <v>un</v>
      </c>
      <c r="G1075" s="200">
        <f>+'MC Canais'!J905</f>
        <v>0</v>
      </c>
      <c r="H1075" s="200">
        <f>VLOOKUP($D1075,'Preços Unitários'!$B:$G,6,FALSE)</f>
        <v>1606.687966</v>
      </c>
      <c r="I1075" s="201">
        <f t="shared" si="141"/>
        <v>0</v>
      </c>
      <c r="J1075" s="299"/>
    </row>
    <row r="1076" spans="1:10" s="243" customFormat="1" x14ac:dyDescent="0.3">
      <c r="B1076" s="197" t="s">
        <v>13600</v>
      </c>
      <c r="C1076" s="197" t="s">
        <v>13</v>
      </c>
      <c r="D1076" s="198" t="s">
        <v>13</v>
      </c>
      <c r="E1076" s="207" t="s">
        <v>13230</v>
      </c>
      <c r="F1076" s="197"/>
      <c r="G1076" s="200">
        <f>+'MC Canais'!J906</f>
        <v>0</v>
      </c>
      <c r="H1076" s="201"/>
      <c r="I1076" s="201"/>
      <c r="J1076" s="297"/>
    </row>
    <row r="1077" spans="1:10" ht="28.8" x14ac:dyDescent="0.3">
      <c r="B1077" s="197" t="s">
        <v>13601</v>
      </c>
      <c r="C1077" s="197" t="s">
        <v>13039</v>
      </c>
      <c r="D1077" s="198" t="s">
        <v>11088</v>
      </c>
      <c r="E1077" s="199" t="str">
        <f>VLOOKUP($D1077,'Preços Unitários'!$B:$G,2,FALSE)</f>
        <v>Escavação mecânica com retroescavadeira em material de 1ª categoria</v>
      </c>
      <c r="F1077" s="197" t="str">
        <f>VLOOKUP($D1077,'Preços Unitários'!$B:$G,3,FALSE)</f>
        <v>m³</v>
      </c>
      <c r="G1077" s="200">
        <f>+'MC Canais'!J907</f>
        <v>2720.5499999999997</v>
      </c>
      <c r="H1077" s="200">
        <f>VLOOKUP($D1077,'Preços Unitários'!$B:$G,6,FALSE)</f>
        <v>8.7313189999999992</v>
      </c>
      <c r="I1077" s="201">
        <f t="shared" ref="I1077:I1081" si="142">+G1077*H1077</f>
        <v>23753.989905449995</v>
      </c>
      <c r="J1077"/>
    </row>
    <row r="1078" spans="1:10" x14ac:dyDescent="0.3">
      <c r="B1078" s="197" t="s">
        <v>13602</v>
      </c>
      <c r="C1078" s="197" t="s">
        <v>13039</v>
      </c>
      <c r="D1078" s="198" t="s">
        <v>11046</v>
      </c>
      <c r="E1078" s="199" t="str">
        <f>VLOOKUP($D1078,'Preços Unitários'!$B:$G,2,FALSE)</f>
        <v>Compactação de aterros a 100% do Proctor normal</v>
      </c>
      <c r="F1078" s="197" t="str">
        <f>VLOOKUP($D1078,'Preços Unitários'!$B:$G,3,FALSE)</f>
        <v>m³</v>
      </c>
      <c r="G1078" s="200">
        <f>+'MC Canais'!J908</f>
        <v>1813.7</v>
      </c>
      <c r="H1078" s="200">
        <f>VLOOKUP($D1078,'Preços Unitários'!$B:$G,6,FALSE)</f>
        <v>7.1028090000000006</v>
      </c>
      <c r="I1078" s="201">
        <f t="shared" si="142"/>
        <v>12882.364683300002</v>
      </c>
      <c r="J1078" s="297"/>
    </row>
    <row r="1079" spans="1:10" ht="28.8" x14ac:dyDescent="0.3">
      <c r="B1079" s="197" t="s">
        <v>13603</v>
      </c>
      <c r="C1079" s="197" t="s">
        <v>13039</v>
      </c>
      <c r="D1079" s="198" t="s">
        <v>11947</v>
      </c>
      <c r="E1079" s="199" t="str">
        <f>VLOOKUP($D1079,'Preços Unitários'!$B:$G,2,FALSE)</f>
        <v>Transporte com caminhão basculante de 14 m³ - rodovia em leito natural</v>
      </c>
      <c r="F1079" s="197" t="str">
        <f>VLOOKUP($D1079,'Preços Unitários'!$B:$G,3,FALSE)</f>
        <v>tkm</v>
      </c>
      <c r="G1079" s="200">
        <f>+'MC Canais'!J909</f>
        <v>906.84999999999968</v>
      </c>
      <c r="H1079" s="200">
        <f>VLOOKUP($D1079,'Preços Unitários'!$B:$G,6,FALSE)</f>
        <v>1.165011</v>
      </c>
      <c r="I1079" s="201">
        <f t="shared" si="142"/>
        <v>1056.4902253499997</v>
      </c>
      <c r="J1079" s="299"/>
    </row>
    <row r="1080" spans="1:10" x14ac:dyDescent="0.3">
      <c r="B1080" s="197" t="s">
        <v>13604</v>
      </c>
      <c r="C1080" s="197" t="s">
        <v>13039</v>
      </c>
      <c r="D1080" s="198" t="s">
        <v>9440</v>
      </c>
      <c r="E1080" s="199" t="str">
        <f>VLOOKUP($D1080,'Preços Unitários'!$B:$G,2,FALSE)</f>
        <v>Regularização de superfície com motoniveladora</v>
      </c>
      <c r="F1080" s="197" t="str">
        <f>VLOOKUP($D1080,'Preços Unitários'!$B:$G,3,FALSE)</f>
        <v>m²</v>
      </c>
      <c r="G1080" s="200">
        <f>+'MC Canais'!J910</f>
        <v>18137</v>
      </c>
      <c r="H1080" s="200">
        <f>VLOOKUP($D1080,'Preços Unitários'!$B:$G,6,FALSE)</f>
        <v>0.100216</v>
      </c>
      <c r="I1080" s="201">
        <f t="shared" si="142"/>
        <v>1817.6175920000001</v>
      </c>
      <c r="J1080" s="299"/>
    </row>
    <row r="1081" spans="1:10" x14ac:dyDescent="0.3">
      <c r="B1081" s="197" t="s">
        <v>13605</v>
      </c>
      <c r="C1081" s="197" t="s">
        <v>12</v>
      </c>
      <c r="D1081" s="198" t="s">
        <v>13232</v>
      </c>
      <c r="E1081" s="199" t="s">
        <v>13231</v>
      </c>
      <c r="F1081" s="197" t="s">
        <v>427</v>
      </c>
      <c r="G1081" s="200">
        <f>+'MC Canais'!J911</f>
        <v>1360.2749999999999</v>
      </c>
      <c r="H1081" s="200">
        <f>+'Composições de Preços'!$F$216</f>
        <v>214.40019935426301</v>
      </c>
      <c r="I1081" s="201">
        <f t="shared" si="142"/>
        <v>291643.23117662006</v>
      </c>
      <c r="J1081" s="299"/>
    </row>
    <row r="1082" spans="1:10" s="243" customFormat="1" x14ac:dyDescent="0.3">
      <c r="B1082" s="197" t="s">
        <v>13606</v>
      </c>
      <c r="C1082" s="197" t="s">
        <v>13</v>
      </c>
      <c r="D1082" s="198" t="s">
        <v>13</v>
      </c>
      <c r="E1082" s="207" t="s">
        <v>13386</v>
      </c>
      <c r="F1082" s="197"/>
      <c r="G1082" s="200">
        <f>+'MC Canais'!J912</f>
        <v>0</v>
      </c>
      <c r="H1082" s="201"/>
      <c r="I1082" s="201"/>
      <c r="J1082" s="299"/>
    </row>
    <row r="1083" spans="1:10" ht="28.8" x14ac:dyDescent="0.3">
      <c r="B1083" s="197" t="s">
        <v>13607</v>
      </c>
      <c r="C1083" s="197" t="s">
        <v>13039</v>
      </c>
      <c r="D1083" s="198" t="s">
        <v>8625</v>
      </c>
      <c r="E1083" s="199" t="str">
        <f>VLOOKUP($D1083,'Preços Unitários'!$B:$G,2,FALSE)</f>
        <v>Cerca com 4 fios de arame liso galvanizado e mourão de madeira a cada 2,5 m e esticador a cada 50 m</v>
      </c>
      <c r="F1083" s="197" t="str">
        <f>VLOOKUP($D1083,'Preços Unitários'!$B:$G,3,FALSE)</f>
        <v>m</v>
      </c>
      <c r="G1083" s="200">
        <f>+'MC Canais'!J913</f>
        <v>5182</v>
      </c>
      <c r="H1083" s="200">
        <f>VLOOKUP($D1083,'Preços Unitários'!$B:$G,6,FALSE)</f>
        <v>27.146009000000003</v>
      </c>
      <c r="I1083" s="201">
        <f t="shared" ref="I1083" si="143">+G1083*H1083</f>
        <v>140670.61863800001</v>
      </c>
      <c r="J1083" s="299"/>
    </row>
    <row r="1084" spans="1:10" s="219" customFormat="1" x14ac:dyDescent="0.3">
      <c r="B1084" s="214">
        <v>0</v>
      </c>
      <c r="C1084" s="215" t="s">
        <v>13</v>
      </c>
      <c r="D1084" s="216" t="s">
        <v>13</v>
      </c>
      <c r="E1084" s="217" t="s">
        <v>13349</v>
      </c>
      <c r="F1084" s="215" t="s">
        <v>13</v>
      </c>
      <c r="G1084" s="214">
        <v>0</v>
      </c>
      <c r="H1084" s="214">
        <v>0</v>
      </c>
      <c r="I1084" s="214">
        <f>+I1085+I1122</f>
        <v>16562874.156992454</v>
      </c>
      <c r="J1084" s="299"/>
    </row>
    <row r="1085" spans="1:10" x14ac:dyDescent="0.3">
      <c r="A1085" s="230" t="s">
        <v>14474</v>
      </c>
      <c r="B1085" s="209" t="s">
        <v>13059</v>
      </c>
      <c r="C1085" s="209" t="s">
        <v>13</v>
      </c>
      <c r="D1085" s="210" t="s">
        <v>13</v>
      </c>
      <c r="E1085" s="211" t="s">
        <v>13144</v>
      </c>
      <c r="F1085" s="209" t="s">
        <v>13</v>
      </c>
      <c r="G1085" s="212">
        <v>0</v>
      </c>
      <c r="H1085" s="212">
        <v>0</v>
      </c>
      <c r="I1085" s="212">
        <f>SUM(I1086:I1121)</f>
        <v>8816295.744081853</v>
      </c>
      <c r="J1085" s="284" t="s">
        <v>14474</v>
      </c>
    </row>
    <row r="1086" spans="1:10" x14ac:dyDescent="0.3">
      <c r="B1086" s="202" t="s">
        <v>13608</v>
      </c>
      <c r="C1086" s="202" t="s">
        <v>13</v>
      </c>
      <c r="D1086" s="203" t="s">
        <v>13</v>
      </c>
      <c r="E1086" s="204" t="s">
        <v>13203</v>
      </c>
      <c r="F1086" s="202"/>
      <c r="G1086" s="205"/>
      <c r="H1086" s="205"/>
      <c r="I1086" s="205"/>
      <c r="J1086" s="299"/>
    </row>
    <row r="1087" spans="1:10" ht="28.8" x14ac:dyDescent="0.3">
      <c r="B1087" s="197" t="s">
        <v>13609</v>
      </c>
      <c r="C1087" s="197" t="s">
        <v>13039</v>
      </c>
      <c r="D1087" s="198" t="s">
        <v>11052</v>
      </c>
      <c r="E1087" s="199" t="str">
        <f>VLOOKUP($D1087,'Preços Unitários'!$B:$G,2,FALSE)</f>
        <v>Desmatamento, destocamento e limpeza de área com árvores de diâmetro até 0,15 m</v>
      </c>
      <c r="F1087" s="197" t="str">
        <f>VLOOKUP($D1087,'Preços Unitários'!$B:$G,3,FALSE)</f>
        <v>m²</v>
      </c>
      <c r="G1087" s="200">
        <f>+'MC Canais'!J917</f>
        <v>160000</v>
      </c>
      <c r="H1087" s="200">
        <f>VLOOKUP($D1087,'Preços Unitários'!$B:$G,6,FALSE)</f>
        <v>0.87688999999999995</v>
      </c>
      <c r="I1087" s="201">
        <f>+G1087*H1087</f>
        <v>140302.39999999999</v>
      </c>
      <c r="J1087" s="299"/>
    </row>
    <row r="1088" spans="1:10" ht="43.2" x14ac:dyDescent="0.3">
      <c r="B1088" s="197" t="s">
        <v>13610</v>
      </c>
      <c r="C1088" s="197" t="s">
        <v>13039</v>
      </c>
      <c r="D1088" s="198" t="s">
        <v>11092</v>
      </c>
      <c r="E1088" s="199" t="str">
        <f>VLOOKUP($D1088,'Preços Unitários'!$B:$G,2,FALSE)</f>
        <v>Escavação, carga e transporte de material de 1ª categoria - DMT de 1.000 a 1.200 m - caminho de serviço em leito natural - com escavadeira e caminhão basculante de 14 m³</v>
      </c>
      <c r="F1088" s="197" t="str">
        <f>VLOOKUP($D1088,'Preços Unitários'!$B:$G,3,FALSE)</f>
        <v>m³</v>
      </c>
      <c r="G1088" s="200">
        <f>+'MC Canais'!J918</f>
        <v>9648.14</v>
      </c>
      <c r="H1088" s="200">
        <f>VLOOKUP($D1088,'Preços Unitários'!$B:$G,6,FALSE)</f>
        <v>10.673003999999999</v>
      </c>
      <c r="I1088" s="201">
        <f t="shared" ref="I1088:I1100" si="144">+G1088*H1088</f>
        <v>102974.63681255998</v>
      </c>
      <c r="J1088" s="299"/>
    </row>
    <row r="1089" spans="2:10" x14ac:dyDescent="0.3">
      <c r="B1089" s="197" t="s">
        <v>13611</v>
      </c>
      <c r="C1089" s="197" t="s">
        <v>13039</v>
      </c>
      <c r="D1089" s="198" t="s">
        <v>11046</v>
      </c>
      <c r="E1089" s="213" t="str">
        <f>VLOOKUP($D1089,'Preços Unitários'!$B:$G,2,FALSE)</f>
        <v>Compactação de aterros a 100% do Proctor normal</v>
      </c>
      <c r="F1089" s="197" t="str">
        <f>VLOOKUP($D1089,'Preços Unitários'!$B:$G,3,FALSE)</f>
        <v>m³</v>
      </c>
      <c r="G1089" s="200">
        <f>+'MC Canais'!J919</f>
        <v>147510.51999999999</v>
      </c>
      <c r="H1089" s="200">
        <f>VLOOKUP($D1089,'Preços Unitários'!$B:$G,6,FALSE)</f>
        <v>7.1028090000000006</v>
      </c>
      <c r="I1089" s="201">
        <f t="shared" si="144"/>
        <v>1047739.04905068</v>
      </c>
      <c r="J1089" s="299"/>
    </row>
    <row r="1090" spans="2:10" ht="28.8" x14ac:dyDescent="0.3">
      <c r="B1090" s="197" t="s">
        <v>13612</v>
      </c>
      <c r="C1090" s="197" t="s">
        <v>13039</v>
      </c>
      <c r="D1090" s="198" t="s">
        <v>11947</v>
      </c>
      <c r="E1090" s="199" t="str">
        <f>VLOOKUP($D1090,'Preços Unitários'!$B:$G,2,FALSE)</f>
        <v>Transporte com caminhão basculante de 14 m³ - rodovia em leito natural</v>
      </c>
      <c r="F1090" s="197" t="str">
        <f>VLOOKUP($D1090,'Preços Unitários'!$B:$G,3,FALSE)</f>
        <v>tkm</v>
      </c>
      <c r="G1090" s="200">
        <f>+'MC Canais'!J920</f>
        <v>965036.65999999992</v>
      </c>
      <c r="H1090" s="200">
        <f>VLOOKUP($D1090,'Preços Unitários'!$B:$G,6,FALSE)</f>
        <v>1.165011</v>
      </c>
      <c r="I1090" s="201">
        <f t="shared" si="144"/>
        <v>1124278.3243032598</v>
      </c>
      <c r="J1090" s="297"/>
    </row>
    <row r="1091" spans="2:10" x14ac:dyDescent="0.3">
      <c r="B1091" s="197" t="s">
        <v>13613</v>
      </c>
      <c r="C1091" s="197" t="s">
        <v>13039</v>
      </c>
      <c r="D1091" s="198" t="s">
        <v>9440</v>
      </c>
      <c r="E1091" s="199" t="str">
        <f>VLOOKUP($D1091,'Preços Unitários'!$B:$G,2,FALSE)</f>
        <v>Regularização de superfície com motoniveladora</v>
      </c>
      <c r="F1091" s="197" t="str">
        <f>VLOOKUP($D1091,'Preços Unitários'!$B:$G,3,FALSE)</f>
        <v>m²</v>
      </c>
      <c r="G1091" s="200">
        <f>+'MC Canais'!J921</f>
        <v>3200</v>
      </c>
      <c r="H1091" s="200">
        <f>VLOOKUP($D1091,'Preços Unitários'!$B:$G,6,FALSE)</f>
        <v>0.100216</v>
      </c>
      <c r="I1091" s="201">
        <f>+G1091*H1091</f>
        <v>320.69119999999998</v>
      </c>
      <c r="J1091" s="299"/>
    </row>
    <row r="1092" spans="2:10" ht="28.8" x14ac:dyDescent="0.3">
      <c r="B1092" s="197" t="s">
        <v>13614</v>
      </c>
      <c r="C1092" s="197" t="s">
        <v>12</v>
      </c>
      <c r="D1092" s="198" t="s">
        <v>13205</v>
      </c>
      <c r="E1092" s="199" t="s">
        <v>13204</v>
      </c>
      <c r="F1092" s="197" t="s">
        <v>2904</v>
      </c>
      <c r="G1092" s="200">
        <f>+'MC Canais'!J922</f>
        <v>2848.17</v>
      </c>
      <c r="H1092" s="200">
        <f>+'Composições de Preços'!$F$87</f>
        <v>59.387948601153852</v>
      </c>
      <c r="I1092" s="201">
        <f t="shared" si="144"/>
        <v>169146.97356734838</v>
      </c>
      <c r="J1092" s="299"/>
    </row>
    <row r="1093" spans="2:10" ht="28.8" x14ac:dyDescent="0.3">
      <c r="B1093" s="197" t="s">
        <v>13615</v>
      </c>
      <c r="C1093" s="197" t="s">
        <v>12</v>
      </c>
      <c r="D1093" s="198" t="s">
        <v>14504</v>
      </c>
      <c r="E1093" s="199" t="s">
        <v>14497</v>
      </c>
      <c r="F1093" s="197" t="s">
        <v>427</v>
      </c>
      <c r="G1093" s="200">
        <f>+'MC Canais'!J923</f>
        <v>2278.6</v>
      </c>
      <c r="H1093" s="200">
        <f>+'Composições de Preços'!$F$446</f>
        <v>99.894988108799993</v>
      </c>
      <c r="I1093" s="201">
        <f t="shared" si="144"/>
        <v>227620.71990471164</v>
      </c>
      <c r="J1093" s="299"/>
    </row>
    <row r="1094" spans="2:10" ht="28.8" x14ac:dyDescent="0.3">
      <c r="B1094" s="197" t="s">
        <v>13616</v>
      </c>
      <c r="C1094" s="197" t="s">
        <v>12</v>
      </c>
      <c r="D1094" s="198" t="s">
        <v>13192</v>
      </c>
      <c r="E1094" s="199" t="s">
        <v>13191</v>
      </c>
      <c r="F1094" s="197" t="s">
        <v>2904</v>
      </c>
      <c r="G1094" s="200">
        <f>+'MC Canais'!J924</f>
        <v>11393</v>
      </c>
      <c r="H1094" s="200">
        <f>+'Composições de Preços'!$F$44</f>
        <v>73.117919302000004</v>
      </c>
      <c r="I1094" s="201">
        <f t="shared" si="144"/>
        <v>833032.45460768603</v>
      </c>
      <c r="J1094" s="299"/>
    </row>
    <row r="1095" spans="2:10" ht="28.8" x14ac:dyDescent="0.3">
      <c r="B1095" s="197" t="s">
        <v>13617</v>
      </c>
      <c r="C1095" s="197" t="s">
        <v>12</v>
      </c>
      <c r="D1095" s="198" t="s">
        <v>14506</v>
      </c>
      <c r="E1095" s="199" t="s">
        <v>14505</v>
      </c>
      <c r="F1095" s="197" t="s">
        <v>427</v>
      </c>
      <c r="G1095" s="200">
        <f>+'MC Canais'!J925</f>
        <v>8000</v>
      </c>
      <c r="H1095" s="200">
        <f>+'Composições de Preços'!$F$492</f>
        <v>107.93859485200001</v>
      </c>
      <c r="I1095" s="201">
        <f t="shared" si="144"/>
        <v>863508.75881600007</v>
      </c>
      <c r="J1095" s="299"/>
    </row>
    <row r="1096" spans="2:10" ht="28.8" x14ac:dyDescent="0.3">
      <c r="B1096" s="197" t="s">
        <v>13618</v>
      </c>
      <c r="C1096" s="197" t="s">
        <v>13039</v>
      </c>
      <c r="D1096" s="198" t="s">
        <v>3149</v>
      </c>
      <c r="E1096" s="199" t="str">
        <f>VLOOKUP($D1096,'Preços Unitários'!$B:$G,2,FALSE)</f>
        <v>Concreto para bombeamento fck = 30 MPa - confecção em central dosadora de 30 m³/h - areia e brita comerciais</v>
      </c>
      <c r="F1096" s="197" t="str">
        <f>VLOOKUP($D1096,'Preços Unitários'!$B:$G,3,FALSE)</f>
        <v>m³</v>
      </c>
      <c r="G1096" s="200">
        <f>+'MC Canais'!J926</f>
        <v>797.5100000000001</v>
      </c>
      <c r="H1096" s="200">
        <f>VLOOKUP($D1096,'Preços Unitários'!$B:$G,6,FALSE)</f>
        <v>575.92882499999996</v>
      </c>
      <c r="I1096" s="201">
        <f t="shared" si="144"/>
        <v>459308.99722575</v>
      </c>
      <c r="J1096" s="299"/>
    </row>
    <row r="1097" spans="2:10" ht="43.2" x14ac:dyDescent="0.3">
      <c r="B1097" s="197" t="s">
        <v>13619</v>
      </c>
      <c r="C1097" s="197" t="s">
        <v>13039</v>
      </c>
      <c r="D1097" s="198" t="s">
        <v>3201</v>
      </c>
      <c r="E1097" s="199" t="str">
        <f>VLOOKUP($D1097,'Preços Unitários'!$B:$G,2,FALSE)</f>
        <v>Lançamento mecânico de concreto com bomba rebocável com capacidade de 30 m³/h - confecção em central dosadora de 30 m³/h</v>
      </c>
      <c r="F1097" s="197" t="str">
        <f>VLOOKUP($D1097,'Preços Unitários'!$B:$G,3,FALSE)</f>
        <v>m³</v>
      </c>
      <c r="G1097" s="200">
        <f>+'MC Canais'!J927</f>
        <v>797.5100000000001</v>
      </c>
      <c r="H1097" s="200">
        <f>VLOOKUP($D1097,'Preços Unitários'!$B:$G,6,FALSE)</f>
        <v>86.285976000000005</v>
      </c>
      <c r="I1097" s="201">
        <f t="shared" si="144"/>
        <v>68813.928719760006</v>
      </c>
      <c r="J1097" s="299"/>
    </row>
    <row r="1098" spans="2:10" ht="28.8" x14ac:dyDescent="0.3">
      <c r="B1098" s="197" t="s">
        <v>14531</v>
      </c>
      <c r="C1098" s="197" t="s">
        <v>13039</v>
      </c>
      <c r="D1098" s="198" t="s">
        <v>206</v>
      </c>
      <c r="E1098" s="199" t="str">
        <f>VLOOKUP($D1098,'Preços Unitários'!$B:$G,2,FALSE)</f>
        <v>Lábios poliméricos em junta de pavimento de concreto - L = 20 mm e H = 30 mm - confecção e assentamento</v>
      </c>
      <c r="F1098" s="197" t="str">
        <f>VLOOKUP($D1098,'Preços Unitários'!$B:$G,3,FALSE)</f>
        <v>m</v>
      </c>
      <c r="G1098" s="200">
        <f>+'MC Canais'!J928</f>
        <v>12488</v>
      </c>
      <c r="H1098" s="200">
        <f>VLOOKUP($D1098,'Preços Unitários'!$B:$G,6,FALSE)</f>
        <v>39.635428000000005</v>
      </c>
      <c r="I1098" s="201">
        <f t="shared" si="144"/>
        <v>494967.22486400005</v>
      </c>
      <c r="J1098" s="299"/>
    </row>
    <row r="1099" spans="2:10" x14ac:dyDescent="0.3">
      <c r="B1099" s="197" t="s">
        <v>14532</v>
      </c>
      <c r="C1099" s="197" t="s">
        <v>12</v>
      </c>
      <c r="D1099" s="198" t="s">
        <v>13209</v>
      </c>
      <c r="E1099" s="199" t="s">
        <v>13208</v>
      </c>
      <c r="F1099" s="197" t="s">
        <v>195</v>
      </c>
      <c r="G1099" s="200">
        <f>+'MC Canais'!J929</f>
        <v>8000</v>
      </c>
      <c r="H1099" s="200">
        <f>+'Composições de Preços'!$F$130</f>
        <v>37.70076957596789</v>
      </c>
      <c r="I1099" s="201">
        <f t="shared" si="144"/>
        <v>301606.15660774312</v>
      </c>
      <c r="J1099" s="299"/>
    </row>
    <row r="1100" spans="2:10" ht="28.8" x14ac:dyDescent="0.3">
      <c r="B1100" s="197" t="s">
        <v>14580</v>
      </c>
      <c r="C1100" s="197" t="s">
        <v>13039</v>
      </c>
      <c r="D1100" s="198" t="s">
        <v>9446</v>
      </c>
      <c r="E1100" s="199" t="str">
        <f>VLOOKUP($D1100,'Preços Unitários'!$B:$G,2,FALSE)</f>
        <v>Revestimento vegetal com grama em mudas em superfícies inclinadas</v>
      </c>
      <c r="F1100" s="197" t="str">
        <f>VLOOKUP($D1100,'Preços Unitários'!$B:$G,3,FALSE)</f>
        <v>m²</v>
      </c>
      <c r="G1100" s="200">
        <f>+'MC Canais'!J930</f>
        <v>48000</v>
      </c>
      <c r="H1100" s="200">
        <f>VLOOKUP($D1100,'Preços Unitários'!$B:$G,6,FALSE)</f>
        <v>9.984019</v>
      </c>
      <c r="I1100" s="201">
        <f t="shared" si="144"/>
        <v>479232.91200000001</v>
      </c>
      <c r="J1100" s="299"/>
    </row>
    <row r="1101" spans="2:10" x14ac:dyDescent="0.3">
      <c r="B1101" s="202" t="s">
        <v>13620</v>
      </c>
      <c r="C1101" s="202" t="s">
        <v>13</v>
      </c>
      <c r="D1101" s="203" t="s">
        <v>13</v>
      </c>
      <c r="E1101" s="204" t="s">
        <v>13222</v>
      </c>
      <c r="F1101" s="202"/>
      <c r="G1101" s="200">
        <f>+'MC Canais'!J931</f>
        <v>0</v>
      </c>
      <c r="H1101" s="205"/>
      <c r="I1101" s="205"/>
      <c r="J1101" s="299"/>
    </row>
    <row r="1102" spans="2:10" x14ac:dyDescent="0.3">
      <c r="B1102" s="197" t="s">
        <v>13621</v>
      </c>
      <c r="C1102" s="197" t="s">
        <v>13039</v>
      </c>
      <c r="D1102" s="198" t="s">
        <v>9806</v>
      </c>
      <c r="E1102" s="199" t="str">
        <f>VLOOKUP($D1102,'Preços Unitários'!$B:$G,2,FALSE)</f>
        <v>Escavação mecânica de vala em material de 1ª categoria</v>
      </c>
      <c r="F1102" s="197" t="str">
        <f>VLOOKUP($D1102,'Preços Unitários'!$B:$G,3,FALSE)</f>
        <v>m³</v>
      </c>
      <c r="G1102" s="200">
        <f>+'MC Canais'!J932</f>
        <v>3360</v>
      </c>
      <c r="H1102" s="200">
        <f>VLOOKUP($D1102,'Preços Unitários'!$B:$G,6,FALSE)</f>
        <v>8.7313189999999992</v>
      </c>
      <c r="I1102" s="201">
        <f t="shared" ref="I1102:I1108" si="145">+G1102*H1102</f>
        <v>29337.231839999997</v>
      </c>
      <c r="J1102" s="299"/>
    </row>
    <row r="1103" spans="2:10" x14ac:dyDescent="0.3">
      <c r="B1103" s="197" t="s">
        <v>13622</v>
      </c>
      <c r="C1103" s="197" t="s">
        <v>13039</v>
      </c>
      <c r="D1103" s="198" t="s">
        <v>9830</v>
      </c>
      <c r="E1103" s="199" t="str">
        <f>VLOOKUP($D1103,'Preços Unitários'!$B:$G,2,FALSE)</f>
        <v>Reaterro e compactação com soquete vibratório</v>
      </c>
      <c r="F1103" s="197" t="str">
        <f>VLOOKUP($D1103,'Preços Unitários'!$B:$G,3,FALSE)</f>
        <v>m³</v>
      </c>
      <c r="G1103" s="200">
        <f>+'MC Canais'!J933</f>
        <v>1920</v>
      </c>
      <c r="H1103" s="200">
        <f>VLOOKUP($D1103,'Preços Unitários'!$B:$G,6,FALSE)</f>
        <v>22.611235000000001</v>
      </c>
      <c r="I1103" s="201">
        <f t="shared" si="145"/>
        <v>43413.571199999998</v>
      </c>
      <c r="J1103" s="299"/>
    </row>
    <row r="1104" spans="2:10" ht="28.8" x14ac:dyDescent="0.3">
      <c r="B1104" s="197" t="s">
        <v>13623</v>
      </c>
      <c r="C1104" s="197" t="s">
        <v>13039</v>
      </c>
      <c r="D1104" s="198" t="s">
        <v>11947</v>
      </c>
      <c r="E1104" s="199" t="str">
        <f>VLOOKUP($D1104,'Preços Unitários'!$B:$G,2,FALSE)</f>
        <v>Transporte com caminhão basculante de 14 m³ - rodovia em leito natural</v>
      </c>
      <c r="F1104" s="197" t="str">
        <f>VLOOKUP($D1104,'Preços Unitários'!$B:$G,3,FALSE)</f>
        <v>tkm</v>
      </c>
      <c r="G1104" s="200">
        <f>+'MC Canais'!J934</f>
        <v>10079.999999999998</v>
      </c>
      <c r="H1104" s="200">
        <f>VLOOKUP($D1104,'Preços Unitários'!$B:$G,6,FALSE)</f>
        <v>1.165011</v>
      </c>
      <c r="I1104" s="201">
        <f t="shared" si="145"/>
        <v>11743.310879999997</v>
      </c>
      <c r="J1104" s="299"/>
    </row>
    <row r="1105" spans="2:10" ht="28.8" x14ac:dyDescent="0.3">
      <c r="B1105" s="197" t="s">
        <v>13624</v>
      </c>
      <c r="C1105" s="197" t="s">
        <v>12</v>
      </c>
      <c r="D1105" s="198" t="s">
        <v>13224</v>
      </c>
      <c r="E1105" s="199" t="s">
        <v>13223</v>
      </c>
      <c r="F1105" s="197" t="s">
        <v>2904</v>
      </c>
      <c r="G1105" s="200">
        <f>+'MC Canais'!J935</f>
        <v>9600</v>
      </c>
      <c r="H1105" s="200">
        <f>+'Composições de Preços'!$F$173</f>
        <v>26.052132569499999</v>
      </c>
      <c r="I1105" s="201">
        <f t="shared" si="145"/>
        <v>250100.4726672</v>
      </c>
      <c r="J1105" s="299"/>
    </row>
    <row r="1106" spans="2:10" ht="28.8" x14ac:dyDescent="0.3">
      <c r="B1106" s="197" t="s">
        <v>13625</v>
      </c>
      <c r="C1106" s="197" t="s">
        <v>13039</v>
      </c>
      <c r="D1106" s="198" t="s">
        <v>6908</v>
      </c>
      <c r="E1106" s="199" t="str">
        <f>VLOOKUP($D1106,'Preços Unitários'!$B:$G,2,FALSE)</f>
        <v>Tubo de concreto perfurado produzido na obra para drenagem - D = 0,40 m - fornecimento e instalação</v>
      </c>
      <c r="F1106" s="197" t="str">
        <f>VLOOKUP($D1106,'Preços Unitários'!$B:$G,3,FALSE)</f>
        <v>m</v>
      </c>
      <c r="G1106" s="200">
        <f>+'MC Canais'!J936</f>
        <v>4000</v>
      </c>
      <c r="H1106" s="200">
        <f>VLOOKUP($D1106,'Preços Unitários'!$B:$G,6,FALSE)</f>
        <v>116.764167</v>
      </c>
      <c r="I1106" s="201">
        <f t="shared" si="145"/>
        <v>467056.66800000001</v>
      </c>
      <c r="J1106" s="299"/>
    </row>
    <row r="1107" spans="2:10" ht="28.8" x14ac:dyDescent="0.3">
      <c r="B1107" s="197" t="s">
        <v>13626</v>
      </c>
      <c r="C1107" s="197" t="s">
        <v>13039</v>
      </c>
      <c r="D1107" s="198" t="s">
        <v>6438</v>
      </c>
      <c r="E1107" s="199" t="str">
        <f>VLOOKUP($D1107,'Preços Unitários'!$B:$G,2,FALSE)</f>
        <v>Lastro de brita comercial compactado com soquete vibratório - espalhamento manual</v>
      </c>
      <c r="F1107" s="197" t="str">
        <f>VLOOKUP($D1107,'Preços Unitários'!$B:$G,3,FALSE)</f>
        <v>m³</v>
      </c>
      <c r="G1107" s="200">
        <f>+'MC Canais'!J937</f>
        <v>937.59999999999991</v>
      </c>
      <c r="H1107" s="200">
        <f>VLOOKUP($D1107,'Preços Unitários'!$B:$G,6,FALSE)</f>
        <v>239.34086200000002</v>
      </c>
      <c r="I1107" s="201">
        <f t="shared" si="145"/>
        <v>224405.99221120001</v>
      </c>
      <c r="J1107" s="299"/>
    </row>
    <row r="1108" spans="2:10" x14ac:dyDescent="0.3">
      <c r="B1108" s="197" t="s">
        <v>13627</v>
      </c>
      <c r="C1108" s="197" t="s">
        <v>13039</v>
      </c>
      <c r="D1108" s="206" t="s">
        <v>6430</v>
      </c>
      <c r="E1108" s="199" t="str">
        <f>VLOOKUP($D1108,'Preços Unitários'!$B:$G,2,FALSE)</f>
        <v>Lastro de areia comercial - espalhamento manual</v>
      </c>
      <c r="F1108" s="197" t="str">
        <f>VLOOKUP($D1108,'Preços Unitários'!$B:$G,3,FALSE)</f>
        <v>m³</v>
      </c>
      <c r="G1108" s="200">
        <f>+'MC Canais'!J938</f>
        <v>480</v>
      </c>
      <c r="H1108" s="200">
        <f>VLOOKUP($D1108,'Preços Unitários'!$B:$G,6,FALSE)</f>
        <v>198.06439700000001</v>
      </c>
      <c r="I1108" s="201">
        <f t="shared" si="145"/>
        <v>95070.910560000004</v>
      </c>
      <c r="J1108" s="299"/>
    </row>
    <row r="1109" spans="2:10" s="243" customFormat="1" ht="28.8" x14ac:dyDescent="0.3">
      <c r="B1109" s="197" t="s">
        <v>13628</v>
      </c>
      <c r="C1109" s="197" t="s">
        <v>13</v>
      </c>
      <c r="D1109" s="198" t="s">
        <v>13</v>
      </c>
      <c r="E1109" s="207" t="s">
        <v>13228</v>
      </c>
      <c r="F1109" s="197"/>
      <c r="G1109" s="200">
        <f>+'MC Canais'!J939</f>
        <v>0</v>
      </c>
      <c r="H1109" s="201"/>
      <c r="I1109" s="201"/>
      <c r="J1109" s="299"/>
    </row>
    <row r="1110" spans="2:10" ht="28.8" x14ac:dyDescent="0.3">
      <c r="B1110" s="197" t="s">
        <v>13629</v>
      </c>
      <c r="C1110" s="197" t="s">
        <v>13039</v>
      </c>
      <c r="D1110" s="198" t="s">
        <v>6964</v>
      </c>
      <c r="E1110" s="199" t="str">
        <f>VLOOKUP($D1110,'Preços Unitários'!$B:$G,2,FALSE)</f>
        <v>Valeta de proteção de cortes com revestimento vegetal - VPCG 120-30 - escavação mecânica</v>
      </c>
      <c r="F1110" s="197" t="str">
        <f>VLOOKUP($D1110,'Preços Unitários'!$B:$G,3,FALSE)</f>
        <v>m</v>
      </c>
      <c r="G1110" s="200">
        <f>+'MC Canais'!J940</f>
        <v>8000</v>
      </c>
      <c r="H1110" s="200">
        <f>VLOOKUP($D1110,'Preços Unitários'!$B:$G,6,FALSE)</f>
        <v>51.961995999999999</v>
      </c>
      <c r="I1110" s="201">
        <f t="shared" ref="I1110:I1113" si="146">+G1110*H1110</f>
        <v>415695.96799999999</v>
      </c>
      <c r="J1110" s="299"/>
    </row>
    <row r="1111" spans="2:10" ht="28.8" x14ac:dyDescent="0.3">
      <c r="B1111" s="197" t="s">
        <v>13630</v>
      </c>
      <c r="C1111" s="197" t="s">
        <v>13039</v>
      </c>
      <c r="D1111" s="198" t="s">
        <v>6744</v>
      </c>
      <c r="E1111" s="199" t="str">
        <f>VLOOKUP($D1111,'Preços Unitários'!$B:$G,2,FALSE)</f>
        <v>Sarjeta triangular de grama - STG 125-25 - escavação mecânica</v>
      </c>
      <c r="F1111" s="197" t="str">
        <f>VLOOKUP($D1111,'Preços Unitários'!$B:$G,3,FALSE)</f>
        <v>m</v>
      </c>
      <c r="G1111" s="200">
        <f>+'MC Canais'!J941</f>
        <v>8000</v>
      </c>
      <c r="H1111" s="200">
        <f>VLOOKUP($D1111,'Preços Unitários'!$B:$G,6,FALSE)</f>
        <v>29.776679000000001</v>
      </c>
      <c r="I1111" s="201">
        <f t="shared" si="146"/>
        <v>238213.432</v>
      </c>
      <c r="J1111" s="296"/>
    </row>
    <row r="1112" spans="2:10" ht="28.8" x14ac:dyDescent="0.3">
      <c r="B1112" s="197" t="s">
        <v>13631</v>
      </c>
      <c r="C1112" s="197" t="s">
        <v>13039</v>
      </c>
      <c r="D1112" s="198" t="s">
        <v>2740</v>
      </c>
      <c r="E1112" s="199" t="str">
        <f>VLOOKUP($D1112,'Preços Unitários'!$B:$G,2,FALSE)</f>
        <v>Corpo de BSTC D = 0,80 m PA1 - areia, brita e pedra de mão comerciais</v>
      </c>
      <c r="F1112" s="197" t="str">
        <f>VLOOKUP($D1112,'Preços Unitários'!$B:$G,3,FALSE)</f>
        <v>m</v>
      </c>
      <c r="G1112" s="200">
        <f>+'MC Canais'!J942</f>
        <v>0</v>
      </c>
      <c r="H1112" s="200">
        <f>VLOOKUP($D1112,'Preços Unitários'!$B:$G,6,FALSE)</f>
        <v>799.67357200000004</v>
      </c>
      <c r="I1112" s="201">
        <f t="shared" si="146"/>
        <v>0</v>
      </c>
      <c r="J1112" s="297"/>
    </row>
    <row r="1113" spans="2:10" ht="28.8" x14ac:dyDescent="0.3">
      <c r="B1113" s="197" t="s">
        <v>13632</v>
      </c>
      <c r="C1113" s="197" t="s">
        <v>13039</v>
      </c>
      <c r="D1113" s="208" t="s">
        <v>2172</v>
      </c>
      <c r="E1113" s="199" t="str">
        <f>VLOOKUP($D1113,'Preços Unitários'!$B:$G,2,FALSE)</f>
        <v>Boca de BSTC D = 0,80 m - esconsidade 0° - areia e brita comerciais - alas retas</v>
      </c>
      <c r="F1113" s="197" t="str">
        <f>VLOOKUP($D1113,'Preços Unitários'!$B:$G,3,FALSE)</f>
        <v>un</v>
      </c>
      <c r="G1113" s="200">
        <f>+'MC Canais'!J943</f>
        <v>0</v>
      </c>
      <c r="H1113" s="200">
        <f>VLOOKUP($D1113,'Preços Unitários'!$B:$G,6,FALSE)</f>
        <v>1606.687966</v>
      </c>
      <c r="I1113" s="201">
        <f t="shared" si="146"/>
        <v>0</v>
      </c>
      <c r="J1113" s="297"/>
    </row>
    <row r="1114" spans="2:10" s="243" customFormat="1" x14ac:dyDescent="0.3">
      <c r="B1114" s="197" t="s">
        <v>13633</v>
      </c>
      <c r="C1114" s="197" t="s">
        <v>13</v>
      </c>
      <c r="D1114" s="198" t="s">
        <v>13</v>
      </c>
      <c r="E1114" s="207" t="s">
        <v>13230</v>
      </c>
      <c r="F1114" s="197"/>
      <c r="G1114" s="200">
        <f>+'MC Canais'!J944</f>
        <v>0</v>
      </c>
      <c r="H1114" s="201"/>
      <c r="I1114" s="201"/>
      <c r="J1114"/>
    </row>
    <row r="1115" spans="2:10" ht="28.8" x14ac:dyDescent="0.3">
      <c r="B1115" s="197" t="s">
        <v>13634</v>
      </c>
      <c r="C1115" s="197" t="s">
        <v>13039</v>
      </c>
      <c r="D1115" s="198" t="s">
        <v>11088</v>
      </c>
      <c r="E1115" s="199" t="str">
        <f>VLOOKUP($D1115,'Preços Unitários'!$B:$G,2,FALSE)</f>
        <v>Escavação mecânica com retroescavadeira em material de 1ª categoria</v>
      </c>
      <c r="F1115" s="197" t="str">
        <f>VLOOKUP($D1115,'Preços Unitários'!$B:$G,3,FALSE)</f>
        <v>m³</v>
      </c>
      <c r="G1115" s="200">
        <f>+'MC Canais'!J945</f>
        <v>4200</v>
      </c>
      <c r="H1115" s="200">
        <f>VLOOKUP($D1115,'Preços Unitários'!$B:$G,6,FALSE)</f>
        <v>8.7313189999999992</v>
      </c>
      <c r="I1115" s="201">
        <f t="shared" ref="I1115:I1119" si="147">+G1115*H1115</f>
        <v>36671.539799999999</v>
      </c>
      <c r="J1115" s="299"/>
    </row>
    <row r="1116" spans="2:10" x14ac:dyDescent="0.3">
      <c r="B1116" s="197" t="s">
        <v>13635</v>
      </c>
      <c r="C1116" s="197" t="s">
        <v>13039</v>
      </c>
      <c r="D1116" s="198" t="s">
        <v>11046</v>
      </c>
      <c r="E1116" s="199" t="str">
        <f>VLOOKUP($D1116,'Preços Unitários'!$B:$G,2,FALSE)</f>
        <v>Compactação de aterros a 100% do Proctor normal</v>
      </c>
      <c r="F1116" s="197" t="str">
        <f>VLOOKUP($D1116,'Preços Unitários'!$B:$G,3,FALSE)</f>
        <v>m³</v>
      </c>
      <c r="G1116" s="200">
        <f>+'MC Canais'!J946</f>
        <v>2800</v>
      </c>
      <c r="H1116" s="200">
        <f>VLOOKUP($D1116,'Preços Unitários'!$B:$G,6,FALSE)</f>
        <v>7.1028090000000006</v>
      </c>
      <c r="I1116" s="201">
        <f t="shared" si="147"/>
        <v>19887.8652</v>
      </c>
      <c r="J1116" s="299"/>
    </row>
    <row r="1117" spans="2:10" ht="28.8" x14ac:dyDescent="0.3">
      <c r="B1117" s="197" t="s">
        <v>13636</v>
      </c>
      <c r="C1117" s="197" t="s">
        <v>13039</v>
      </c>
      <c r="D1117" s="198" t="s">
        <v>11947</v>
      </c>
      <c r="E1117" s="199" t="str">
        <f>VLOOKUP($D1117,'Preços Unitários'!$B:$G,2,FALSE)</f>
        <v>Transporte com caminhão basculante de 14 m³ - rodovia em leito natural</v>
      </c>
      <c r="F1117" s="197" t="str">
        <f>VLOOKUP($D1117,'Preços Unitários'!$B:$G,3,FALSE)</f>
        <v>tkm</v>
      </c>
      <c r="G1117" s="200">
        <f>+'MC Canais'!J947</f>
        <v>1400</v>
      </c>
      <c r="H1117" s="200">
        <f>VLOOKUP($D1117,'Preços Unitários'!$B:$G,6,FALSE)</f>
        <v>1.165011</v>
      </c>
      <c r="I1117" s="201">
        <f t="shared" si="147"/>
        <v>1631.0154</v>
      </c>
      <c r="J1117" s="299"/>
    </row>
    <row r="1118" spans="2:10" x14ac:dyDescent="0.3">
      <c r="B1118" s="197" t="s">
        <v>13637</v>
      </c>
      <c r="C1118" s="197" t="s">
        <v>13039</v>
      </c>
      <c r="D1118" s="198" t="s">
        <v>9440</v>
      </c>
      <c r="E1118" s="199" t="str">
        <f>VLOOKUP($D1118,'Preços Unitários'!$B:$G,2,FALSE)</f>
        <v>Regularização de superfície com motoniveladora</v>
      </c>
      <c r="F1118" s="197" t="str">
        <f>VLOOKUP($D1118,'Preços Unitários'!$B:$G,3,FALSE)</f>
        <v>m²</v>
      </c>
      <c r="G1118" s="200">
        <f>+'MC Canais'!J948</f>
        <v>28000</v>
      </c>
      <c r="H1118" s="200">
        <f>VLOOKUP($D1118,'Preços Unitários'!$B:$G,6,FALSE)</f>
        <v>0.100216</v>
      </c>
      <c r="I1118" s="201">
        <f t="shared" si="147"/>
        <v>2806.0479999999998</v>
      </c>
      <c r="J1118" s="299"/>
    </row>
    <row r="1119" spans="2:10" x14ac:dyDescent="0.3">
      <c r="B1119" s="197" t="s">
        <v>13638</v>
      </c>
      <c r="C1119" s="197" t="s">
        <v>12</v>
      </c>
      <c r="D1119" s="198" t="s">
        <v>13232</v>
      </c>
      <c r="E1119" s="199" t="s">
        <v>13231</v>
      </c>
      <c r="F1119" s="197" t="s">
        <v>427</v>
      </c>
      <c r="G1119" s="200">
        <f>+'MC Canais'!J949</f>
        <v>2100</v>
      </c>
      <c r="H1119" s="200">
        <f>+'Composições de Preços'!$F$216</f>
        <v>214.40019935426301</v>
      </c>
      <c r="I1119" s="201">
        <f t="shared" si="147"/>
        <v>450240.41864395235</v>
      </c>
      <c r="J1119" s="299"/>
    </row>
    <row r="1120" spans="2:10" s="243" customFormat="1" x14ac:dyDescent="0.3">
      <c r="B1120" s="197" t="s">
        <v>13639</v>
      </c>
      <c r="C1120" s="197" t="s">
        <v>13</v>
      </c>
      <c r="D1120" s="198" t="s">
        <v>13</v>
      </c>
      <c r="E1120" s="207" t="s">
        <v>13386</v>
      </c>
      <c r="F1120" s="197"/>
      <c r="G1120" s="200">
        <f>+'MC Canais'!J950</f>
        <v>0</v>
      </c>
      <c r="H1120" s="201"/>
      <c r="I1120" s="201"/>
      <c r="J1120" s="299"/>
    </row>
    <row r="1121" spans="1:10" ht="28.8" x14ac:dyDescent="0.3">
      <c r="B1121" s="197" t="s">
        <v>13640</v>
      </c>
      <c r="C1121" s="197" t="s">
        <v>13039</v>
      </c>
      <c r="D1121" s="198" t="s">
        <v>8625</v>
      </c>
      <c r="E1121" s="199" t="str">
        <f>VLOOKUP($D1121,'Preços Unitários'!$B:$G,2,FALSE)</f>
        <v>Cerca com 4 fios de arame liso galvanizado e mourão de madeira a cada 2,5 m e esticador a cada 50 m</v>
      </c>
      <c r="F1121" s="197" t="str">
        <f>VLOOKUP($D1121,'Preços Unitários'!$B:$G,3,FALSE)</f>
        <v>m</v>
      </c>
      <c r="G1121" s="200">
        <f>+'MC Canais'!J951</f>
        <v>8000</v>
      </c>
      <c r="H1121" s="200">
        <f>VLOOKUP($D1121,'Preços Unitários'!$B:$G,6,FALSE)</f>
        <v>27.146009000000003</v>
      </c>
      <c r="I1121" s="201">
        <f t="shared" ref="I1121" si="148">+G1121*H1121</f>
        <v>217168.07200000001</v>
      </c>
      <c r="J1121" s="299"/>
    </row>
    <row r="1122" spans="1:10" x14ac:dyDescent="0.3">
      <c r="A1122" s="284" t="s">
        <v>14474</v>
      </c>
      <c r="B1122" s="286" t="s">
        <v>13060</v>
      </c>
      <c r="C1122" s="209" t="s">
        <v>13</v>
      </c>
      <c r="D1122" s="210" t="s">
        <v>13</v>
      </c>
      <c r="E1122" s="211" t="s">
        <v>13145</v>
      </c>
      <c r="F1122" s="209" t="s">
        <v>13</v>
      </c>
      <c r="G1122" s="212">
        <v>0</v>
      </c>
      <c r="H1122" s="212">
        <v>0</v>
      </c>
      <c r="I1122" s="212">
        <f>SUM(I1123:I1158)</f>
        <v>7746578.4129106002</v>
      </c>
      <c r="J1122" s="284" t="s">
        <v>14474</v>
      </c>
    </row>
    <row r="1123" spans="1:10" x14ac:dyDescent="0.3">
      <c r="B1123" s="202" t="s">
        <v>13641</v>
      </c>
      <c r="C1123" s="202" t="s">
        <v>13</v>
      </c>
      <c r="D1123" s="203" t="s">
        <v>13</v>
      </c>
      <c r="E1123" s="204" t="s">
        <v>13203</v>
      </c>
      <c r="F1123" s="202"/>
      <c r="G1123" s="205"/>
      <c r="H1123" s="205"/>
      <c r="I1123" s="205"/>
      <c r="J1123" s="299"/>
    </row>
    <row r="1124" spans="1:10" ht="28.8" x14ac:dyDescent="0.3">
      <c r="B1124" s="197" t="s">
        <v>13642</v>
      </c>
      <c r="C1124" s="197" t="s">
        <v>13039</v>
      </c>
      <c r="D1124" s="198" t="s">
        <v>11052</v>
      </c>
      <c r="E1124" s="199" t="str">
        <f>VLOOKUP($D1124,'Preços Unitários'!$B:$G,2,FALSE)</f>
        <v>Desmatamento, destocamento e limpeza de área com árvores de diâmetro até 0,15 m</v>
      </c>
      <c r="F1124" s="197" t="str">
        <f>VLOOKUP($D1124,'Preços Unitários'!$B:$G,3,FALSE)</f>
        <v>m²</v>
      </c>
      <c r="G1124" s="200">
        <f>+'MC Canais'!J955</f>
        <v>55680</v>
      </c>
      <c r="H1124" s="200">
        <f>VLOOKUP($D1124,'Preços Unitários'!$B:$G,6,FALSE)</f>
        <v>0.87688999999999995</v>
      </c>
      <c r="I1124" s="201">
        <f>+G1124*H1124</f>
        <v>48825.235199999996</v>
      </c>
      <c r="J1124" s="299"/>
    </row>
    <row r="1125" spans="1:10" ht="43.2" x14ac:dyDescent="0.3">
      <c r="B1125" s="197" t="s">
        <v>13643</v>
      </c>
      <c r="C1125" s="197" t="s">
        <v>13039</v>
      </c>
      <c r="D1125" s="198" t="s">
        <v>11092</v>
      </c>
      <c r="E1125" s="199" t="str">
        <f>VLOOKUP($D1125,'Preços Unitários'!$B:$G,2,FALSE)</f>
        <v>Escavação, carga e transporte de material de 1ª categoria - DMT de 1.000 a 1.200 m - caminho de serviço em leito natural - com escavadeira e caminhão basculante de 14 m³</v>
      </c>
      <c r="F1125" s="197" t="str">
        <f>VLOOKUP($D1125,'Preços Unitários'!$B:$G,3,FALSE)</f>
        <v>m³</v>
      </c>
      <c r="G1125" s="200">
        <f>+'MC Canais'!J956</f>
        <v>1879.1</v>
      </c>
      <c r="H1125" s="200">
        <f>VLOOKUP($D1125,'Preços Unitários'!$B:$G,6,FALSE)</f>
        <v>10.673003999999999</v>
      </c>
      <c r="I1125" s="201">
        <f t="shared" ref="I1125:I1137" si="149">+G1125*H1125</f>
        <v>20055.641816399995</v>
      </c>
      <c r="J1125" s="299"/>
    </row>
    <row r="1126" spans="1:10" x14ac:dyDescent="0.3">
      <c r="B1126" s="197" t="s">
        <v>13644</v>
      </c>
      <c r="C1126" s="197" t="s">
        <v>13039</v>
      </c>
      <c r="D1126" s="198" t="s">
        <v>11046</v>
      </c>
      <c r="E1126" s="213" t="str">
        <f>VLOOKUP($D1126,'Preços Unitários'!$B:$G,2,FALSE)</f>
        <v>Compactação de aterros a 100% do Proctor normal</v>
      </c>
      <c r="F1126" s="197" t="str">
        <f>VLOOKUP($D1126,'Preços Unitários'!$B:$G,3,FALSE)</f>
        <v>m³</v>
      </c>
      <c r="G1126" s="200">
        <f>+'MC Canais'!J957</f>
        <v>128061.35</v>
      </c>
      <c r="H1126" s="200">
        <f>VLOOKUP($D1126,'Preços Unitários'!$B:$G,6,FALSE)</f>
        <v>7.1028090000000006</v>
      </c>
      <c r="I1126" s="201">
        <f t="shared" si="149"/>
        <v>909595.30933215015</v>
      </c>
      <c r="J1126" s="299"/>
    </row>
    <row r="1127" spans="1:10" ht="28.8" x14ac:dyDescent="0.3">
      <c r="B1127" s="197" t="s">
        <v>13645</v>
      </c>
      <c r="C1127" s="197" t="s">
        <v>13039</v>
      </c>
      <c r="D1127" s="198" t="s">
        <v>11947</v>
      </c>
      <c r="E1127" s="199" t="str">
        <f>VLOOKUP($D1127,'Preços Unitários'!$B:$G,2,FALSE)</f>
        <v>Transporte com caminhão basculante de 14 m³ - rodovia em leito natural</v>
      </c>
      <c r="F1127" s="197" t="str">
        <f>VLOOKUP($D1127,'Preços Unitários'!$B:$G,3,FALSE)</f>
        <v>tkm</v>
      </c>
      <c r="G1127" s="200">
        <f>+'MC Canais'!J958</f>
        <v>883275.75</v>
      </c>
      <c r="H1127" s="200">
        <f>VLOOKUP($D1127,'Preços Unitários'!$B:$G,6,FALSE)</f>
        <v>1.165011</v>
      </c>
      <c r="I1127" s="201">
        <f t="shared" si="149"/>
        <v>1029025.96478325</v>
      </c>
      <c r="J1127" s="299"/>
    </row>
    <row r="1128" spans="1:10" x14ac:dyDescent="0.3">
      <c r="B1128" s="197" t="s">
        <v>13646</v>
      </c>
      <c r="C1128" s="197" t="s">
        <v>13039</v>
      </c>
      <c r="D1128" s="198" t="s">
        <v>9440</v>
      </c>
      <c r="E1128" s="199" t="str">
        <f>VLOOKUP($D1128,'Preços Unitários'!$B:$G,2,FALSE)</f>
        <v>Regularização de superfície com motoniveladora</v>
      </c>
      <c r="F1128" s="197" t="str">
        <f>VLOOKUP($D1128,'Preços Unitários'!$B:$G,3,FALSE)</f>
        <v>m²</v>
      </c>
      <c r="G1128" s="200">
        <f>+'MC Canais'!J959</f>
        <v>835.19999999999993</v>
      </c>
      <c r="H1128" s="200">
        <f>VLOOKUP($D1128,'Preços Unitários'!$B:$G,6,FALSE)</f>
        <v>0.100216</v>
      </c>
      <c r="I1128" s="201">
        <f>+G1128*H1128</f>
        <v>83.700403199999997</v>
      </c>
      <c r="J1128" s="297"/>
    </row>
    <row r="1129" spans="1:10" ht="28.8" x14ac:dyDescent="0.3">
      <c r="B1129" s="197" t="s">
        <v>13647</v>
      </c>
      <c r="C1129" s="197" t="s">
        <v>12</v>
      </c>
      <c r="D1129" s="198" t="s">
        <v>13205</v>
      </c>
      <c r="E1129" s="199" t="s">
        <v>13204</v>
      </c>
      <c r="F1129" s="197" t="s">
        <v>2904</v>
      </c>
      <c r="G1129" s="200">
        <f>+'MC Canais'!J960</f>
        <v>6742.85</v>
      </c>
      <c r="H1129" s="200">
        <f>+'Composições de Preços'!$F$87</f>
        <v>59.387948601153852</v>
      </c>
      <c r="I1129" s="201">
        <f t="shared" si="149"/>
        <v>400444.02922529029</v>
      </c>
      <c r="J1129"/>
    </row>
    <row r="1130" spans="1:10" ht="28.8" x14ac:dyDescent="0.3">
      <c r="B1130" s="197" t="s">
        <v>13648</v>
      </c>
      <c r="C1130" s="197" t="s">
        <v>12</v>
      </c>
      <c r="D1130" s="198" t="s">
        <v>14504</v>
      </c>
      <c r="E1130" s="199" t="s">
        <v>14497</v>
      </c>
      <c r="F1130" s="197" t="s">
        <v>427</v>
      </c>
      <c r="G1130" s="200">
        <f>+'MC Canais'!J961</f>
        <v>5394.2000000000007</v>
      </c>
      <c r="H1130" s="200">
        <f>+'Composições de Preços'!$F$446</f>
        <v>99.894988108799993</v>
      </c>
      <c r="I1130" s="201">
        <f t="shared" si="149"/>
        <v>538853.54485648894</v>
      </c>
      <c r="J1130" s="299"/>
    </row>
    <row r="1131" spans="1:10" ht="28.8" x14ac:dyDescent="0.3">
      <c r="B1131" s="197" t="s">
        <v>13649</v>
      </c>
      <c r="C1131" s="197" t="s">
        <v>12</v>
      </c>
      <c r="D1131" s="198" t="s">
        <v>13192</v>
      </c>
      <c r="E1131" s="199" t="s">
        <v>13191</v>
      </c>
      <c r="F1131" s="197" t="s">
        <v>2904</v>
      </c>
      <c r="G1131" s="200">
        <f>+'MC Canais'!J962</f>
        <v>26971</v>
      </c>
      <c r="H1131" s="200">
        <f>+'Composições de Preços'!$F$44</f>
        <v>73.117919302000004</v>
      </c>
      <c r="I1131" s="201">
        <f t="shared" si="149"/>
        <v>1972063.401494242</v>
      </c>
      <c r="J1131" s="299"/>
    </row>
    <row r="1132" spans="1:10" ht="28.8" x14ac:dyDescent="0.3">
      <c r="B1132" s="197" t="s">
        <v>13650</v>
      </c>
      <c r="C1132" s="197" t="s">
        <v>12</v>
      </c>
      <c r="D1132" s="198" t="s">
        <v>14506</v>
      </c>
      <c r="E1132" s="199" t="s">
        <v>14505</v>
      </c>
      <c r="F1132" s="197" t="s">
        <v>427</v>
      </c>
      <c r="G1132" s="200">
        <f>+'MC Canais'!J963</f>
        <v>2784</v>
      </c>
      <c r="H1132" s="200">
        <f>+'Composições de Preços'!$F$492</f>
        <v>107.93859485200001</v>
      </c>
      <c r="I1132" s="201">
        <f t="shared" si="149"/>
        <v>300501.04806796805</v>
      </c>
      <c r="J1132" s="299"/>
    </row>
    <row r="1133" spans="1:10" ht="28.8" x14ac:dyDescent="0.3">
      <c r="B1133" s="197" t="s">
        <v>13651</v>
      </c>
      <c r="C1133" s="197" t="s">
        <v>13039</v>
      </c>
      <c r="D1133" s="198" t="s">
        <v>3149</v>
      </c>
      <c r="E1133" s="199" t="str">
        <f>VLOOKUP($D1133,'Preços Unitários'!$B:$G,2,FALSE)</f>
        <v>Concreto para bombeamento fck = 30 MPa - confecção em central dosadora de 30 m³/h - areia e brita comerciais</v>
      </c>
      <c r="F1133" s="197" t="str">
        <f>VLOOKUP($D1133,'Preços Unitários'!$B:$G,3,FALSE)</f>
        <v>m³</v>
      </c>
      <c r="G1133" s="200">
        <f>+'MC Canais'!J964</f>
        <v>1887.9700000000003</v>
      </c>
      <c r="H1133" s="200">
        <f>VLOOKUP($D1133,'Preços Unitários'!$B:$G,6,FALSE)</f>
        <v>575.92882499999996</v>
      </c>
      <c r="I1133" s="201">
        <f t="shared" si="149"/>
        <v>1087336.3437352502</v>
      </c>
      <c r="J1133" s="299"/>
    </row>
    <row r="1134" spans="1:10" ht="43.2" x14ac:dyDescent="0.3">
      <c r="B1134" s="197" t="s">
        <v>13652</v>
      </c>
      <c r="C1134" s="197" t="s">
        <v>13039</v>
      </c>
      <c r="D1134" s="198" t="s">
        <v>3201</v>
      </c>
      <c r="E1134" s="199" t="str">
        <f>VLOOKUP($D1134,'Preços Unitários'!$B:$G,2,FALSE)</f>
        <v>Lançamento mecânico de concreto com bomba rebocável com capacidade de 30 m³/h - confecção em central dosadora de 30 m³/h</v>
      </c>
      <c r="F1134" s="197" t="str">
        <f>VLOOKUP($D1134,'Preços Unitários'!$B:$G,3,FALSE)</f>
        <v>m³</v>
      </c>
      <c r="G1134" s="200">
        <f>+'MC Canais'!J965</f>
        <v>1887.9700000000003</v>
      </c>
      <c r="H1134" s="200">
        <f>VLOOKUP($D1134,'Preços Unitários'!$B:$G,6,FALSE)</f>
        <v>86.285976000000005</v>
      </c>
      <c r="I1134" s="201">
        <f t="shared" si="149"/>
        <v>162905.33410872004</v>
      </c>
      <c r="J1134" s="299"/>
    </row>
    <row r="1135" spans="1:10" ht="28.8" x14ac:dyDescent="0.3">
      <c r="B1135" s="197" t="s">
        <v>14529</v>
      </c>
      <c r="C1135" s="197" t="s">
        <v>13039</v>
      </c>
      <c r="D1135" s="198" t="s">
        <v>206</v>
      </c>
      <c r="E1135" s="199" t="str">
        <f>VLOOKUP($D1135,'Preços Unitários'!$B:$G,2,FALSE)</f>
        <v>Lábios poliméricos em junta de pavimento de concreto - L = 20 mm e H = 30 mm - confecção e assentamento</v>
      </c>
      <c r="F1135" s="197" t="str">
        <f>VLOOKUP($D1135,'Preços Unitários'!$B:$G,3,FALSE)</f>
        <v>m</v>
      </c>
      <c r="G1135" s="200">
        <f>+'MC Canais'!J966</f>
        <v>3379.7759999999998</v>
      </c>
      <c r="H1135" s="200">
        <f>VLOOKUP($D1135,'Preços Unitários'!$B:$G,6,FALSE)</f>
        <v>39.635428000000005</v>
      </c>
      <c r="I1135" s="201">
        <f t="shared" si="149"/>
        <v>133958.868304128</v>
      </c>
      <c r="J1135" s="299"/>
    </row>
    <row r="1136" spans="1:10" x14ac:dyDescent="0.3">
      <c r="B1136" s="197" t="s">
        <v>14530</v>
      </c>
      <c r="C1136" s="197" t="s">
        <v>12</v>
      </c>
      <c r="D1136" s="198" t="s">
        <v>13209</v>
      </c>
      <c r="E1136" s="199" t="s">
        <v>13208</v>
      </c>
      <c r="F1136" s="197" t="s">
        <v>195</v>
      </c>
      <c r="G1136" s="200">
        <f>+'MC Canais'!J967</f>
        <v>2784</v>
      </c>
      <c r="H1136" s="200">
        <f>+'Composições de Preços'!$F$130</f>
        <v>37.70076957596789</v>
      </c>
      <c r="I1136" s="201">
        <f t="shared" si="149"/>
        <v>104958.9424994946</v>
      </c>
      <c r="J1136" s="299"/>
    </row>
    <row r="1137" spans="2:10" ht="28.8" x14ac:dyDescent="0.3">
      <c r="B1137" s="197" t="s">
        <v>14581</v>
      </c>
      <c r="C1137" s="197" t="s">
        <v>13039</v>
      </c>
      <c r="D1137" s="198" t="s">
        <v>9446</v>
      </c>
      <c r="E1137" s="199" t="str">
        <f>VLOOKUP($D1137,'Preços Unitários'!$B:$G,2,FALSE)</f>
        <v>Revestimento vegetal com grama em mudas em superfícies inclinadas</v>
      </c>
      <c r="F1137" s="197" t="str">
        <f>VLOOKUP($D1137,'Preços Unitários'!$B:$G,3,FALSE)</f>
        <v>m²</v>
      </c>
      <c r="G1137" s="200">
        <f>+'MC Canais'!J968</f>
        <v>16704</v>
      </c>
      <c r="H1137" s="200">
        <f>VLOOKUP($D1137,'Preços Unitários'!$B:$G,6,FALSE)</f>
        <v>9.984019</v>
      </c>
      <c r="I1137" s="201">
        <f t="shared" si="149"/>
        <v>166773.053376</v>
      </c>
      <c r="J1137" s="299"/>
    </row>
    <row r="1138" spans="2:10" x14ac:dyDescent="0.3">
      <c r="B1138" s="202" t="s">
        <v>13653</v>
      </c>
      <c r="C1138" s="202" t="s">
        <v>13</v>
      </c>
      <c r="D1138" s="203" t="s">
        <v>13</v>
      </c>
      <c r="E1138" s="204" t="s">
        <v>13222</v>
      </c>
      <c r="F1138" s="202"/>
      <c r="G1138" s="200">
        <f>+'MC Canais'!J969</f>
        <v>0</v>
      </c>
      <c r="H1138" s="205"/>
      <c r="I1138" s="205"/>
      <c r="J1138" s="299"/>
    </row>
    <row r="1139" spans="2:10" x14ac:dyDescent="0.3">
      <c r="B1139" s="197" t="s">
        <v>13654</v>
      </c>
      <c r="C1139" s="197" t="s">
        <v>13039</v>
      </c>
      <c r="D1139" s="198" t="s">
        <v>9806</v>
      </c>
      <c r="E1139" s="199" t="str">
        <f>VLOOKUP($D1139,'Preços Unitários'!$B:$G,2,FALSE)</f>
        <v>Escavação mecânica de vala em material de 1ª categoria</v>
      </c>
      <c r="F1139" s="197" t="str">
        <f>VLOOKUP($D1139,'Preços Unitários'!$B:$G,3,FALSE)</f>
        <v>m³</v>
      </c>
      <c r="G1139" s="200">
        <f>+'MC Canais'!J970</f>
        <v>1169.2799999999997</v>
      </c>
      <c r="H1139" s="200">
        <f>VLOOKUP($D1139,'Preços Unitários'!$B:$G,6,FALSE)</f>
        <v>8.7313189999999992</v>
      </c>
      <c r="I1139" s="201">
        <f t="shared" ref="I1139:I1145" si="150">+G1139*H1139</f>
        <v>10209.356680319997</v>
      </c>
      <c r="J1139" s="299"/>
    </row>
    <row r="1140" spans="2:10" x14ac:dyDescent="0.3">
      <c r="B1140" s="197" t="s">
        <v>13655</v>
      </c>
      <c r="C1140" s="197" t="s">
        <v>13039</v>
      </c>
      <c r="D1140" s="198" t="s">
        <v>9830</v>
      </c>
      <c r="E1140" s="199" t="str">
        <f>VLOOKUP($D1140,'Preços Unitários'!$B:$G,2,FALSE)</f>
        <v>Reaterro e compactação com soquete vibratório</v>
      </c>
      <c r="F1140" s="197" t="str">
        <f>VLOOKUP($D1140,'Preços Unitários'!$B:$G,3,FALSE)</f>
        <v>m³</v>
      </c>
      <c r="G1140" s="200">
        <f>+'MC Canais'!J971</f>
        <v>668.15999999999985</v>
      </c>
      <c r="H1140" s="200">
        <f>VLOOKUP($D1140,'Preços Unitários'!$B:$G,6,FALSE)</f>
        <v>22.611235000000001</v>
      </c>
      <c r="I1140" s="201">
        <f t="shared" si="150"/>
        <v>15107.922777599997</v>
      </c>
      <c r="J1140" s="299"/>
    </row>
    <row r="1141" spans="2:10" ht="28.8" x14ac:dyDescent="0.3">
      <c r="B1141" s="197" t="s">
        <v>13656</v>
      </c>
      <c r="C1141" s="197" t="s">
        <v>13039</v>
      </c>
      <c r="D1141" s="198" t="s">
        <v>11947</v>
      </c>
      <c r="E1141" s="199" t="str">
        <f>VLOOKUP($D1141,'Preços Unitários'!$B:$G,2,FALSE)</f>
        <v>Transporte com caminhão basculante de 14 m³ - rodovia em leito natural</v>
      </c>
      <c r="F1141" s="197" t="str">
        <f>VLOOKUP($D1141,'Preços Unitários'!$B:$G,3,FALSE)</f>
        <v>tkm</v>
      </c>
      <c r="G1141" s="200">
        <f>+'MC Canais'!J972</f>
        <v>3507.8399999999988</v>
      </c>
      <c r="H1141" s="200">
        <f>VLOOKUP($D1141,'Preços Unitários'!$B:$G,6,FALSE)</f>
        <v>1.165011</v>
      </c>
      <c r="I1141" s="201">
        <f t="shared" si="150"/>
        <v>4086.6721862399986</v>
      </c>
      <c r="J1141" s="299"/>
    </row>
    <row r="1142" spans="2:10" ht="28.8" x14ac:dyDescent="0.3">
      <c r="B1142" s="197" t="s">
        <v>13657</v>
      </c>
      <c r="C1142" s="197" t="s">
        <v>12</v>
      </c>
      <c r="D1142" s="198" t="s">
        <v>13224</v>
      </c>
      <c r="E1142" s="199" t="s">
        <v>13223</v>
      </c>
      <c r="F1142" s="197" t="s">
        <v>2904</v>
      </c>
      <c r="G1142" s="200">
        <f>+'MC Canais'!J973</f>
        <v>3340.7999999999997</v>
      </c>
      <c r="H1142" s="200">
        <f>+'Composições de Preços'!$F$173</f>
        <v>26.052132569499999</v>
      </c>
      <c r="I1142" s="201">
        <f t="shared" si="150"/>
        <v>87034.964488185593</v>
      </c>
      <c r="J1142" s="299"/>
    </row>
    <row r="1143" spans="2:10" ht="28.8" x14ac:dyDescent="0.3">
      <c r="B1143" s="197" t="s">
        <v>13658</v>
      </c>
      <c r="C1143" s="197" t="s">
        <v>13039</v>
      </c>
      <c r="D1143" s="198" t="s">
        <v>6908</v>
      </c>
      <c r="E1143" s="199" t="str">
        <f>VLOOKUP($D1143,'Preços Unitários'!$B:$G,2,FALSE)</f>
        <v>Tubo de concreto perfurado produzido na obra para drenagem - D = 0,40 m - fornecimento e instalação</v>
      </c>
      <c r="F1143" s="197" t="str">
        <f>VLOOKUP($D1143,'Preços Unitários'!$B:$G,3,FALSE)</f>
        <v>m</v>
      </c>
      <c r="G1143" s="200">
        <f>+'MC Canais'!J974</f>
        <v>1392</v>
      </c>
      <c r="H1143" s="200">
        <f>VLOOKUP($D1143,'Preços Unitários'!$B:$G,6,FALSE)</f>
        <v>116.764167</v>
      </c>
      <c r="I1143" s="201">
        <f t="shared" si="150"/>
        <v>162535.72046400001</v>
      </c>
      <c r="J1143" s="297"/>
    </row>
    <row r="1144" spans="2:10" ht="28.8" x14ac:dyDescent="0.3">
      <c r="B1144" s="197" t="s">
        <v>13659</v>
      </c>
      <c r="C1144" s="197" t="s">
        <v>13039</v>
      </c>
      <c r="D1144" s="198" t="s">
        <v>6438</v>
      </c>
      <c r="E1144" s="199" t="str">
        <f>VLOOKUP($D1144,'Preços Unitários'!$B:$G,2,FALSE)</f>
        <v>Lastro de brita comercial compactado com soquete vibratório - espalhamento manual</v>
      </c>
      <c r="F1144" s="197" t="str">
        <f>VLOOKUP($D1144,'Preços Unitários'!$B:$G,3,FALSE)</f>
        <v>m³</v>
      </c>
      <c r="G1144" s="200">
        <f>+'MC Canais'!J975</f>
        <v>326.2847999999999</v>
      </c>
      <c r="H1144" s="200">
        <f>VLOOKUP($D1144,'Preços Unitários'!$B:$G,6,FALSE)</f>
        <v>239.34086200000002</v>
      </c>
      <c r="I1144" s="201">
        <f t="shared" si="150"/>
        <v>78093.28528949758</v>
      </c>
      <c r="J1144"/>
    </row>
    <row r="1145" spans="2:10" x14ac:dyDescent="0.3">
      <c r="B1145" s="197" t="s">
        <v>13660</v>
      </c>
      <c r="C1145" s="197" t="s">
        <v>13039</v>
      </c>
      <c r="D1145" s="206" t="s">
        <v>6430</v>
      </c>
      <c r="E1145" s="199" t="str">
        <f>VLOOKUP($D1145,'Preços Unitários'!$B:$G,2,FALSE)</f>
        <v>Lastro de areia comercial - espalhamento manual</v>
      </c>
      <c r="F1145" s="197" t="str">
        <f>VLOOKUP($D1145,'Preços Unitários'!$B:$G,3,FALSE)</f>
        <v>m³</v>
      </c>
      <c r="G1145" s="200">
        <f>+'MC Canais'!J976</f>
        <v>167.04</v>
      </c>
      <c r="H1145" s="200">
        <f>VLOOKUP($D1145,'Preços Unitários'!$B:$G,6,FALSE)</f>
        <v>198.06439700000001</v>
      </c>
      <c r="I1145" s="201">
        <f t="shared" si="150"/>
        <v>33084.676874880002</v>
      </c>
      <c r="J1145" s="299"/>
    </row>
    <row r="1146" spans="2:10" s="243" customFormat="1" ht="28.8" x14ac:dyDescent="0.3">
      <c r="B1146" s="197" t="s">
        <v>13661</v>
      </c>
      <c r="C1146" s="197" t="s">
        <v>13</v>
      </c>
      <c r="D1146" s="198" t="s">
        <v>13</v>
      </c>
      <c r="E1146" s="207" t="s">
        <v>13228</v>
      </c>
      <c r="F1146" s="197"/>
      <c r="G1146" s="200">
        <f>+'MC Canais'!J977</f>
        <v>0</v>
      </c>
      <c r="H1146" s="201"/>
      <c r="I1146" s="201"/>
      <c r="J1146" s="299"/>
    </row>
    <row r="1147" spans="2:10" ht="28.8" x14ac:dyDescent="0.3">
      <c r="B1147" s="197" t="s">
        <v>13662</v>
      </c>
      <c r="C1147" s="197" t="s">
        <v>13039</v>
      </c>
      <c r="D1147" s="198" t="s">
        <v>6964</v>
      </c>
      <c r="E1147" s="199" t="str">
        <f>VLOOKUP($D1147,'Preços Unitários'!$B:$G,2,FALSE)</f>
        <v>Valeta de proteção de cortes com revestimento vegetal - VPCG 120-30 - escavação mecânica</v>
      </c>
      <c r="F1147" s="197" t="str">
        <f>VLOOKUP($D1147,'Preços Unitários'!$B:$G,3,FALSE)</f>
        <v>m</v>
      </c>
      <c r="G1147" s="200">
        <f>+'MC Canais'!J978</f>
        <v>2784</v>
      </c>
      <c r="H1147" s="200">
        <f>VLOOKUP($D1147,'Preços Unitários'!$B:$G,6,FALSE)</f>
        <v>51.961995999999999</v>
      </c>
      <c r="I1147" s="201">
        <f t="shared" ref="I1147:I1150" si="151">+G1147*H1147</f>
        <v>144662.196864</v>
      </c>
      <c r="J1147" s="299"/>
    </row>
    <row r="1148" spans="2:10" ht="28.8" x14ac:dyDescent="0.3">
      <c r="B1148" s="197" t="s">
        <v>13663</v>
      </c>
      <c r="C1148" s="197" t="s">
        <v>13039</v>
      </c>
      <c r="D1148" s="198" t="s">
        <v>6744</v>
      </c>
      <c r="E1148" s="199" t="str">
        <f>VLOOKUP($D1148,'Preços Unitários'!$B:$G,2,FALSE)</f>
        <v>Sarjeta triangular de grama - STG 125-25 - escavação mecânica</v>
      </c>
      <c r="F1148" s="197" t="str">
        <f>VLOOKUP($D1148,'Preços Unitários'!$B:$G,3,FALSE)</f>
        <v>m</v>
      </c>
      <c r="G1148" s="200">
        <f>+'MC Canais'!J979</f>
        <v>2784</v>
      </c>
      <c r="H1148" s="200">
        <f>VLOOKUP($D1148,'Preços Unitários'!$B:$G,6,FALSE)</f>
        <v>29.776679000000001</v>
      </c>
      <c r="I1148" s="201">
        <f t="shared" si="151"/>
        <v>82898.274336000002</v>
      </c>
      <c r="J1148" s="299"/>
    </row>
    <row r="1149" spans="2:10" ht="28.8" x14ac:dyDescent="0.3">
      <c r="B1149" s="197" t="s">
        <v>13664</v>
      </c>
      <c r="C1149" s="197" t="s">
        <v>13039</v>
      </c>
      <c r="D1149" s="198" t="s">
        <v>2740</v>
      </c>
      <c r="E1149" s="199" t="str">
        <f>VLOOKUP($D1149,'Preços Unitários'!$B:$G,2,FALSE)</f>
        <v>Corpo de BSTC D = 0,80 m PA1 - areia, brita e pedra de mão comerciais</v>
      </c>
      <c r="F1149" s="197" t="str">
        <f>VLOOKUP($D1149,'Preços Unitários'!$B:$G,3,FALSE)</f>
        <v>m</v>
      </c>
      <c r="G1149" s="200">
        <f>+'MC Canais'!J980</f>
        <v>0</v>
      </c>
      <c r="H1149" s="200">
        <f>VLOOKUP($D1149,'Preços Unitários'!$B:$G,6,FALSE)</f>
        <v>799.67357200000004</v>
      </c>
      <c r="I1149" s="201">
        <f t="shared" si="151"/>
        <v>0</v>
      </c>
      <c r="J1149" s="299"/>
    </row>
    <row r="1150" spans="2:10" ht="28.8" x14ac:dyDescent="0.3">
      <c r="B1150" s="197" t="s">
        <v>13665</v>
      </c>
      <c r="C1150" s="197" t="s">
        <v>13039</v>
      </c>
      <c r="D1150" s="208" t="s">
        <v>2172</v>
      </c>
      <c r="E1150" s="199" t="str">
        <f>VLOOKUP($D1150,'Preços Unitários'!$B:$G,2,FALSE)</f>
        <v>Boca de BSTC D = 0,80 m - esconsidade 0° - areia e brita comerciais - alas retas</v>
      </c>
      <c r="F1150" s="197" t="str">
        <f>VLOOKUP($D1150,'Preços Unitários'!$B:$G,3,FALSE)</f>
        <v>un</v>
      </c>
      <c r="G1150" s="200">
        <f>+'MC Canais'!J981</f>
        <v>0</v>
      </c>
      <c r="H1150" s="200">
        <f>VLOOKUP($D1150,'Preços Unitários'!$B:$G,6,FALSE)</f>
        <v>1606.687966</v>
      </c>
      <c r="I1150" s="201">
        <f t="shared" si="151"/>
        <v>0</v>
      </c>
      <c r="J1150" s="299"/>
    </row>
    <row r="1151" spans="2:10" s="243" customFormat="1" x14ac:dyDescent="0.3">
      <c r="B1151" s="197" t="s">
        <v>13666</v>
      </c>
      <c r="C1151" s="197" t="s">
        <v>13</v>
      </c>
      <c r="D1151" s="198" t="s">
        <v>13</v>
      </c>
      <c r="E1151" s="207" t="s">
        <v>13230</v>
      </c>
      <c r="F1151" s="197"/>
      <c r="G1151" s="200">
        <f>+'MC Canais'!J982</f>
        <v>0</v>
      </c>
      <c r="H1151" s="201"/>
      <c r="I1151" s="201"/>
      <c r="J1151" s="299"/>
    </row>
    <row r="1152" spans="2:10" ht="28.8" x14ac:dyDescent="0.3">
      <c r="B1152" s="197" t="s">
        <v>13667</v>
      </c>
      <c r="C1152" s="197" t="s">
        <v>13039</v>
      </c>
      <c r="D1152" s="198" t="s">
        <v>11088</v>
      </c>
      <c r="E1152" s="199" t="str">
        <f>VLOOKUP($D1152,'Preços Unitários'!$B:$G,2,FALSE)</f>
        <v>Escavação mecânica com retroescavadeira em material de 1ª categoria</v>
      </c>
      <c r="F1152" s="197" t="str">
        <f>VLOOKUP($D1152,'Preços Unitários'!$B:$G,3,FALSE)</f>
        <v>m³</v>
      </c>
      <c r="G1152" s="200">
        <f>+'MC Canais'!J983</f>
        <v>1461.6</v>
      </c>
      <c r="H1152" s="200">
        <f>VLOOKUP($D1152,'Preços Unitários'!$B:$G,6,FALSE)</f>
        <v>8.7313189999999992</v>
      </c>
      <c r="I1152" s="201">
        <f t="shared" ref="I1152:I1156" si="152">+G1152*H1152</f>
        <v>12761.695850399998</v>
      </c>
      <c r="J1152" s="299"/>
    </row>
    <row r="1153" spans="1:10" x14ac:dyDescent="0.3">
      <c r="B1153" s="197" t="s">
        <v>13668</v>
      </c>
      <c r="C1153" s="197" t="s">
        <v>13039</v>
      </c>
      <c r="D1153" s="198" t="s">
        <v>11046</v>
      </c>
      <c r="E1153" s="199" t="str">
        <f>VLOOKUP($D1153,'Preços Unitários'!$B:$G,2,FALSE)</f>
        <v>Compactação de aterros a 100% do Proctor normal</v>
      </c>
      <c r="F1153" s="197" t="str">
        <f>VLOOKUP($D1153,'Preços Unitários'!$B:$G,3,FALSE)</f>
        <v>m³</v>
      </c>
      <c r="G1153" s="200">
        <f>+'MC Canais'!J984</f>
        <v>974.40000000000009</v>
      </c>
      <c r="H1153" s="200">
        <f>VLOOKUP($D1153,'Preços Unitários'!$B:$G,6,FALSE)</f>
        <v>7.1028090000000006</v>
      </c>
      <c r="I1153" s="201">
        <f t="shared" si="152"/>
        <v>6920.9770896000009</v>
      </c>
      <c r="J1153" s="299"/>
    </row>
    <row r="1154" spans="1:10" ht="28.8" x14ac:dyDescent="0.3">
      <c r="B1154" s="197" t="s">
        <v>13669</v>
      </c>
      <c r="C1154" s="197" t="s">
        <v>13039</v>
      </c>
      <c r="D1154" s="198" t="s">
        <v>11947</v>
      </c>
      <c r="E1154" s="199" t="str">
        <f>VLOOKUP($D1154,'Preços Unitários'!$B:$G,2,FALSE)</f>
        <v>Transporte com caminhão basculante de 14 m³ - rodovia em leito natural</v>
      </c>
      <c r="F1154" s="197" t="str">
        <f>VLOOKUP($D1154,'Preços Unitários'!$B:$G,3,FALSE)</f>
        <v>tkm</v>
      </c>
      <c r="G1154" s="200">
        <f>+'MC Canais'!J985</f>
        <v>487.19999999999982</v>
      </c>
      <c r="H1154" s="200">
        <f>VLOOKUP($D1154,'Preços Unitários'!$B:$G,6,FALSE)</f>
        <v>1.165011</v>
      </c>
      <c r="I1154" s="201">
        <f t="shared" si="152"/>
        <v>567.59335919999978</v>
      </c>
      <c r="J1154" s="299"/>
    </row>
    <row r="1155" spans="1:10" x14ac:dyDescent="0.3">
      <c r="B1155" s="197" t="s">
        <v>13670</v>
      </c>
      <c r="C1155" s="197" t="s">
        <v>13039</v>
      </c>
      <c r="D1155" s="198" t="s">
        <v>9440</v>
      </c>
      <c r="E1155" s="199" t="str">
        <f>VLOOKUP($D1155,'Preços Unitários'!$B:$G,2,FALSE)</f>
        <v>Regularização de superfície com motoniveladora</v>
      </c>
      <c r="F1155" s="197" t="str">
        <f>VLOOKUP($D1155,'Preços Unitários'!$B:$G,3,FALSE)</f>
        <v>m²</v>
      </c>
      <c r="G1155" s="200">
        <f>+'MC Canais'!J986</f>
        <v>9744</v>
      </c>
      <c r="H1155" s="200">
        <f>VLOOKUP($D1155,'Preços Unitários'!$B:$G,6,FALSE)</f>
        <v>0.100216</v>
      </c>
      <c r="I1155" s="201">
        <f t="shared" si="152"/>
        <v>976.50470399999995</v>
      </c>
      <c r="J1155" s="299"/>
    </row>
    <row r="1156" spans="1:10" x14ac:dyDescent="0.3">
      <c r="B1156" s="197" t="s">
        <v>13671</v>
      </c>
      <c r="C1156" s="197" t="s">
        <v>12</v>
      </c>
      <c r="D1156" s="198" t="s">
        <v>13232</v>
      </c>
      <c r="E1156" s="199" t="s">
        <v>13231</v>
      </c>
      <c r="F1156" s="197" t="s">
        <v>427</v>
      </c>
      <c r="G1156" s="200">
        <f>+'MC Canais'!J987</f>
        <v>730.8</v>
      </c>
      <c r="H1156" s="200">
        <f>+'Composições de Preços'!$F$216</f>
        <v>214.40019935426301</v>
      </c>
      <c r="I1156" s="201">
        <f t="shared" si="152"/>
        <v>156683.66568809541</v>
      </c>
      <c r="J1156" s="299"/>
    </row>
    <row r="1157" spans="1:10" s="243" customFormat="1" x14ac:dyDescent="0.3">
      <c r="B1157" s="197" t="s">
        <v>13672</v>
      </c>
      <c r="C1157" s="197" t="s">
        <v>13</v>
      </c>
      <c r="D1157" s="198" t="s">
        <v>13</v>
      </c>
      <c r="E1157" s="207" t="s">
        <v>13386</v>
      </c>
      <c r="F1157" s="197"/>
      <c r="G1157" s="200">
        <f>+'MC Canais'!J988</f>
        <v>0</v>
      </c>
      <c r="H1157" s="201"/>
      <c r="I1157" s="201"/>
      <c r="J1157" s="299"/>
    </row>
    <row r="1158" spans="1:10" ht="28.8" x14ac:dyDescent="0.3">
      <c r="B1158" s="197" t="s">
        <v>13673</v>
      </c>
      <c r="C1158" s="197" t="s">
        <v>13039</v>
      </c>
      <c r="D1158" s="198" t="s">
        <v>8625</v>
      </c>
      <c r="E1158" s="199" t="str">
        <f>VLOOKUP($D1158,'Preços Unitários'!$B:$G,2,FALSE)</f>
        <v>Cerca com 4 fios de arame liso galvanizado e mourão de madeira a cada 2,5 m e esticador a cada 50 m</v>
      </c>
      <c r="F1158" s="197" t="str">
        <f>VLOOKUP($D1158,'Preços Unitários'!$B:$G,3,FALSE)</f>
        <v>m</v>
      </c>
      <c r="G1158" s="200">
        <f>+'MC Canais'!J989</f>
        <v>2784</v>
      </c>
      <c r="H1158" s="200">
        <f>VLOOKUP($D1158,'Preços Unitários'!$B:$G,6,FALSE)</f>
        <v>27.146009000000003</v>
      </c>
      <c r="I1158" s="201">
        <f t="shared" ref="I1158" si="153">+G1158*H1158</f>
        <v>75574.489056000006</v>
      </c>
      <c r="J1158" s="296"/>
    </row>
    <row r="1159" spans="1:10" s="219" customFormat="1" x14ac:dyDescent="0.3">
      <c r="B1159" s="214">
        <v>0</v>
      </c>
      <c r="C1159" s="215" t="s">
        <v>13</v>
      </c>
      <c r="D1159" s="216" t="s">
        <v>13</v>
      </c>
      <c r="E1159" s="217" t="s">
        <v>13146</v>
      </c>
      <c r="F1159" s="215" t="s">
        <v>13</v>
      </c>
      <c r="G1159" s="214">
        <v>0</v>
      </c>
      <c r="H1159" s="214">
        <v>0</v>
      </c>
      <c r="I1159" s="214">
        <f>+I1160</f>
        <v>5541200.9161161799</v>
      </c>
      <c r="J1159" s="297"/>
    </row>
    <row r="1160" spans="1:10" x14ac:dyDescent="0.3">
      <c r="A1160" s="284" t="s">
        <v>14474</v>
      </c>
      <c r="B1160" s="286" t="s">
        <v>13061</v>
      </c>
      <c r="C1160" s="209" t="s">
        <v>13</v>
      </c>
      <c r="D1160" s="210" t="s">
        <v>13</v>
      </c>
      <c r="E1160" s="211" t="s">
        <v>13146</v>
      </c>
      <c r="F1160" s="209" t="s">
        <v>13</v>
      </c>
      <c r="G1160" s="212">
        <v>0</v>
      </c>
      <c r="H1160" s="212">
        <v>0</v>
      </c>
      <c r="I1160" s="212">
        <f>SUM(I1161:I1196)</f>
        <v>5541200.9161161799</v>
      </c>
      <c r="J1160" s="284" t="s">
        <v>14474</v>
      </c>
    </row>
    <row r="1161" spans="1:10" x14ac:dyDescent="0.3">
      <c r="B1161" s="202" t="s">
        <v>13674</v>
      </c>
      <c r="C1161" s="202" t="s">
        <v>13</v>
      </c>
      <c r="D1161" s="203" t="s">
        <v>13</v>
      </c>
      <c r="E1161" s="204" t="s">
        <v>13203</v>
      </c>
      <c r="F1161" s="202"/>
      <c r="G1161" s="205"/>
      <c r="H1161" s="205"/>
      <c r="I1161" s="205"/>
      <c r="J1161"/>
    </row>
    <row r="1162" spans="1:10" ht="28.8" x14ac:dyDescent="0.3">
      <c r="B1162" s="197" t="s">
        <v>13675</v>
      </c>
      <c r="C1162" s="197" t="s">
        <v>13039</v>
      </c>
      <c r="D1162" s="198" t="s">
        <v>11052</v>
      </c>
      <c r="E1162" s="199" t="str">
        <f>VLOOKUP($D1162,'Preços Unitários'!$B:$G,2,FALSE)</f>
        <v>Desmatamento, destocamento e limpeza de área com árvores de diâmetro até 0,15 m</v>
      </c>
      <c r="F1162" s="197" t="str">
        <f>VLOOKUP($D1162,'Preços Unitários'!$B:$G,3,FALSE)</f>
        <v>m²</v>
      </c>
      <c r="G1162" s="200">
        <f>+'MC Canais'!J993</f>
        <v>127440</v>
      </c>
      <c r="H1162" s="200">
        <f>VLOOKUP($D1162,'Preços Unitários'!$B:$G,6,FALSE)</f>
        <v>0.87688999999999995</v>
      </c>
      <c r="I1162" s="201">
        <f>+G1162*H1162</f>
        <v>111750.86159999999</v>
      </c>
      <c r="J1162" s="299"/>
    </row>
    <row r="1163" spans="1:10" ht="43.2" x14ac:dyDescent="0.3">
      <c r="B1163" s="197" t="s">
        <v>13676</v>
      </c>
      <c r="C1163" s="197" t="s">
        <v>13039</v>
      </c>
      <c r="D1163" s="198" t="s">
        <v>11092</v>
      </c>
      <c r="E1163" s="199" t="str">
        <f>VLOOKUP($D1163,'Preços Unitários'!$B:$G,2,FALSE)</f>
        <v>Escavação, carga e transporte de material de 1ª categoria - DMT de 1.000 a 1.200 m - caminho de serviço em leito natural - com escavadeira e caminhão basculante de 14 m³</v>
      </c>
      <c r="F1163" s="197" t="str">
        <f>VLOOKUP($D1163,'Preços Unitários'!$B:$G,3,FALSE)</f>
        <v>m³</v>
      </c>
      <c r="G1163" s="200">
        <f>+'MC Canais'!J994</f>
        <v>42907</v>
      </c>
      <c r="H1163" s="200">
        <f>VLOOKUP($D1163,'Preços Unitários'!$B:$G,6,FALSE)</f>
        <v>10.673003999999999</v>
      </c>
      <c r="I1163" s="201">
        <f t="shared" ref="I1163:I1175" si="154">+G1163*H1163</f>
        <v>457946.58262799995</v>
      </c>
      <c r="J1163" s="299"/>
    </row>
    <row r="1164" spans="1:10" x14ac:dyDescent="0.3">
      <c r="B1164" s="197" t="s">
        <v>13677</v>
      </c>
      <c r="C1164" s="197" t="s">
        <v>13039</v>
      </c>
      <c r="D1164" s="198" t="s">
        <v>11046</v>
      </c>
      <c r="E1164" s="213" t="str">
        <f>VLOOKUP($D1164,'Preços Unitários'!$B:$G,2,FALSE)</f>
        <v>Compactação de aterros a 100% do Proctor normal</v>
      </c>
      <c r="F1164" s="197" t="str">
        <f>VLOOKUP($D1164,'Preços Unitários'!$B:$G,3,FALSE)</f>
        <v>m³</v>
      </c>
      <c r="G1164" s="200">
        <f>+'MC Canais'!J995</f>
        <v>37839.32</v>
      </c>
      <c r="H1164" s="200">
        <f>VLOOKUP($D1164,'Preços Unitários'!$B:$G,6,FALSE)</f>
        <v>7.1028090000000006</v>
      </c>
      <c r="I1164" s="201">
        <f t="shared" si="154"/>
        <v>268765.46264988004</v>
      </c>
      <c r="J1164" s="299"/>
    </row>
    <row r="1165" spans="1:10" ht="28.8" x14ac:dyDescent="0.3">
      <c r="B1165" s="197" t="s">
        <v>13678</v>
      </c>
      <c r="C1165" s="197" t="s">
        <v>13039</v>
      </c>
      <c r="D1165" s="198" t="s">
        <v>11947</v>
      </c>
      <c r="E1165" s="199" t="str">
        <f>VLOOKUP($D1165,'Preços Unitários'!$B:$G,2,FALSE)</f>
        <v>Transporte com caminhão basculante de 14 m³ - rodovia em leito natural</v>
      </c>
      <c r="F1165" s="197" t="str">
        <f>VLOOKUP($D1165,'Preços Unitários'!$B:$G,3,FALSE)</f>
        <v>tkm</v>
      </c>
      <c r="G1165" s="200">
        <f>+'MC Canais'!J996</f>
        <v>35473.760000000002</v>
      </c>
      <c r="H1165" s="200">
        <f>VLOOKUP($D1165,'Preços Unitários'!$B:$G,6,FALSE)</f>
        <v>1.165011</v>
      </c>
      <c r="I1165" s="201">
        <f t="shared" si="154"/>
        <v>41327.320611360003</v>
      </c>
      <c r="J1165" s="299"/>
    </row>
    <row r="1166" spans="1:10" x14ac:dyDescent="0.3">
      <c r="B1166" s="197" t="s">
        <v>13679</v>
      </c>
      <c r="C1166" s="197" t="s">
        <v>13039</v>
      </c>
      <c r="D1166" s="198" t="s">
        <v>9440</v>
      </c>
      <c r="E1166" s="199" t="str">
        <f>VLOOKUP($D1166,'Preços Unitários'!$B:$G,2,FALSE)</f>
        <v>Regularização de superfície com motoniveladora</v>
      </c>
      <c r="F1166" s="197" t="str">
        <f>VLOOKUP($D1166,'Preços Unitários'!$B:$G,3,FALSE)</f>
        <v>m²</v>
      </c>
      <c r="G1166" s="200">
        <f>+'MC Canais'!J997</f>
        <v>1911.6</v>
      </c>
      <c r="H1166" s="200">
        <f>VLOOKUP($D1166,'Preços Unitários'!$B:$G,6,FALSE)</f>
        <v>0.100216</v>
      </c>
      <c r="I1166" s="201">
        <f>+G1166*H1166</f>
        <v>191.57290559999998</v>
      </c>
      <c r="J1166" s="291"/>
    </row>
    <row r="1167" spans="1:10" ht="28.8" x14ac:dyDescent="0.3">
      <c r="B1167" s="197" t="s">
        <v>13680</v>
      </c>
      <c r="C1167" s="197" t="s">
        <v>12</v>
      </c>
      <c r="D1167" s="198" t="s">
        <v>13205</v>
      </c>
      <c r="E1167" s="199" t="s">
        <v>13204</v>
      </c>
      <c r="F1167" s="197" t="s">
        <v>2904</v>
      </c>
      <c r="G1167" s="200">
        <f>+'MC Canais'!J998</f>
        <v>1712.65</v>
      </c>
      <c r="H1167" s="200">
        <f>+'Composições de Preços'!$F$87</f>
        <v>59.387948601153852</v>
      </c>
      <c r="I1167" s="201">
        <f t="shared" si="154"/>
        <v>101710.77017176615</v>
      </c>
      <c r="J1167" s="299"/>
    </row>
    <row r="1168" spans="1:10" ht="28.8" x14ac:dyDescent="0.3">
      <c r="B1168" s="197" t="s">
        <v>13681</v>
      </c>
      <c r="C1168" s="197" t="s">
        <v>12</v>
      </c>
      <c r="D1168" s="198" t="s">
        <v>14504</v>
      </c>
      <c r="E1168" s="199" t="s">
        <v>14497</v>
      </c>
      <c r="F1168" s="197" t="s">
        <v>427</v>
      </c>
      <c r="G1168" s="200">
        <f>+'MC Canais'!J999</f>
        <v>1370.2</v>
      </c>
      <c r="H1168" s="200">
        <f>+'Composições de Preços'!$F$446</f>
        <v>99.894988108799993</v>
      </c>
      <c r="I1168" s="201">
        <f t="shared" si="154"/>
        <v>136876.11270667776</v>
      </c>
      <c r="J1168" s="299"/>
    </row>
    <row r="1169" spans="2:10" ht="28.8" x14ac:dyDescent="0.3">
      <c r="B1169" s="197" t="s">
        <v>13682</v>
      </c>
      <c r="C1169" s="197" t="s">
        <v>12</v>
      </c>
      <c r="D1169" s="198" t="s">
        <v>13192</v>
      </c>
      <c r="E1169" s="199" t="s">
        <v>13191</v>
      </c>
      <c r="F1169" s="197" t="s">
        <v>2904</v>
      </c>
      <c r="G1169" s="200">
        <f>+'MC Canais'!J1000</f>
        <v>6851</v>
      </c>
      <c r="H1169" s="200">
        <f>+'Composições de Preços'!$F$44</f>
        <v>73.117919302000004</v>
      </c>
      <c r="I1169" s="201">
        <f t="shared" si="154"/>
        <v>500930.86513800203</v>
      </c>
      <c r="J1169" s="299"/>
    </row>
    <row r="1170" spans="2:10" ht="28.8" x14ac:dyDescent="0.3">
      <c r="B1170" s="197" t="s">
        <v>13683</v>
      </c>
      <c r="C1170" s="197" t="s">
        <v>12</v>
      </c>
      <c r="D1170" s="198" t="s">
        <v>14506</v>
      </c>
      <c r="E1170" s="199" t="s">
        <v>14505</v>
      </c>
      <c r="F1170" s="197" t="s">
        <v>427</v>
      </c>
      <c r="G1170" s="200">
        <f>+'MC Canais'!J1001</f>
        <v>6372</v>
      </c>
      <c r="H1170" s="200">
        <f>+'Composições de Preços'!$F$492</f>
        <v>107.93859485200001</v>
      </c>
      <c r="I1170" s="201">
        <f t="shared" si="154"/>
        <v>687784.72639694402</v>
      </c>
      <c r="J1170" s="299"/>
    </row>
    <row r="1171" spans="2:10" ht="28.8" x14ac:dyDescent="0.3">
      <c r="B1171" s="197" t="s">
        <v>13684</v>
      </c>
      <c r="C1171" s="197" t="s">
        <v>13039</v>
      </c>
      <c r="D1171" s="198" t="s">
        <v>3149</v>
      </c>
      <c r="E1171" s="199" t="str">
        <f>VLOOKUP($D1171,'Preços Unitários'!$B:$G,2,FALSE)</f>
        <v>Concreto para bombeamento fck = 30 MPa - confecção em central dosadora de 30 m³/h - areia e brita comerciais</v>
      </c>
      <c r="F1171" s="197" t="str">
        <f>VLOOKUP($D1171,'Preços Unitários'!$B:$G,3,FALSE)</f>
        <v>m³</v>
      </c>
      <c r="G1171" s="200">
        <f>+'MC Canais'!J1002</f>
        <v>479.57000000000005</v>
      </c>
      <c r="H1171" s="200">
        <f>VLOOKUP($D1171,'Preços Unitários'!$B:$G,6,FALSE)</f>
        <v>575.92882499999996</v>
      </c>
      <c r="I1171" s="201">
        <f t="shared" si="154"/>
        <v>276198.18660525</v>
      </c>
      <c r="J1171" s="297"/>
    </row>
    <row r="1172" spans="2:10" ht="43.2" x14ac:dyDescent="0.3">
      <c r="B1172" s="197" t="s">
        <v>13685</v>
      </c>
      <c r="C1172" s="197" t="s">
        <v>13039</v>
      </c>
      <c r="D1172" s="198" t="s">
        <v>3201</v>
      </c>
      <c r="E1172" s="199" t="str">
        <f>VLOOKUP($D1172,'Preços Unitários'!$B:$G,2,FALSE)</f>
        <v>Lançamento mecânico de concreto com bomba rebocável com capacidade de 30 m³/h - confecção em central dosadora de 30 m³/h</v>
      </c>
      <c r="F1172" s="197" t="str">
        <f>VLOOKUP($D1172,'Preços Unitários'!$B:$G,3,FALSE)</f>
        <v>m³</v>
      </c>
      <c r="G1172" s="200">
        <f>+'MC Canais'!J1003</f>
        <v>479.57000000000005</v>
      </c>
      <c r="H1172" s="200">
        <f>VLOOKUP($D1172,'Preços Unitários'!$B:$G,6,FALSE)</f>
        <v>86.285976000000005</v>
      </c>
      <c r="I1172" s="201">
        <f t="shared" si="154"/>
        <v>41380.16551032001</v>
      </c>
      <c r="J1172"/>
    </row>
    <row r="1173" spans="2:10" ht="28.8" x14ac:dyDescent="0.3">
      <c r="B1173" s="197" t="s">
        <v>14527</v>
      </c>
      <c r="C1173" s="197" t="s">
        <v>13039</v>
      </c>
      <c r="D1173" s="198" t="s">
        <v>206</v>
      </c>
      <c r="E1173" s="199" t="str">
        <f>VLOOKUP($D1173,'Preços Unitários'!$B:$G,2,FALSE)</f>
        <v>Lábios poliméricos em junta de pavimento de concreto - L = 20 mm e H = 30 mm - confecção e assentamento</v>
      </c>
      <c r="F1173" s="197" t="str">
        <f>VLOOKUP($D1173,'Preços Unitários'!$B:$G,3,FALSE)</f>
        <v>m</v>
      </c>
      <c r="G1173" s="200">
        <f>+'MC Canais'!J1004</f>
        <v>7104.78</v>
      </c>
      <c r="H1173" s="200">
        <f>VLOOKUP($D1173,'Preços Unitários'!$B:$G,6,FALSE)</f>
        <v>39.635428000000005</v>
      </c>
      <c r="I1173" s="201">
        <f t="shared" si="154"/>
        <v>281600.99614584004</v>
      </c>
      <c r="J1173" s="299"/>
    </row>
    <row r="1174" spans="2:10" x14ac:dyDescent="0.3">
      <c r="B1174" s="197" t="s">
        <v>14528</v>
      </c>
      <c r="C1174" s="197" t="s">
        <v>12</v>
      </c>
      <c r="D1174" s="198" t="s">
        <v>13209</v>
      </c>
      <c r="E1174" s="199" t="s">
        <v>13208</v>
      </c>
      <c r="F1174" s="197" t="s">
        <v>195</v>
      </c>
      <c r="G1174" s="200">
        <f>+'MC Canais'!J1005</f>
        <v>6372</v>
      </c>
      <c r="H1174" s="200">
        <f>+'Composições de Preços'!$F$130</f>
        <v>37.70076957596789</v>
      </c>
      <c r="I1174" s="201">
        <f t="shared" si="154"/>
        <v>240229.30373806739</v>
      </c>
      <c r="J1174" s="299"/>
    </row>
    <row r="1175" spans="2:10" ht="28.8" x14ac:dyDescent="0.3">
      <c r="B1175" s="197" t="s">
        <v>14582</v>
      </c>
      <c r="C1175" s="197" t="s">
        <v>13039</v>
      </c>
      <c r="D1175" s="198" t="s">
        <v>9446</v>
      </c>
      <c r="E1175" s="199" t="str">
        <f>VLOOKUP($D1175,'Preços Unitários'!$B:$G,2,FALSE)</f>
        <v>Revestimento vegetal com grama em mudas em superfícies inclinadas</v>
      </c>
      <c r="F1175" s="197" t="str">
        <f>VLOOKUP($D1175,'Preços Unitários'!$B:$G,3,FALSE)</f>
        <v>m²</v>
      </c>
      <c r="G1175" s="200">
        <f>+'MC Canais'!J1006</f>
        <v>38232</v>
      </c>
      <c r="H1175" s="200">
        <f>VLOOKUP($D1175,'Preços Unitários'!$B:$G,6,FALSE)</f>
        <v>9.984019</v>
      </c>
      <c r="I1175" s="201">
        <f t="shared" si="154"/>
        <v>381709.01440799999</v>
      </c>
      <c r="J1175" s="299"/>
    </row>
    <row r="1176" spans="2:10" x14ac:dyDescent="0.3">
      <c r="B1176" s="202" t="s">
        <v>13686</v>
      </c>
      <c r="C1176" s="202" t="s">
        <v>13</v>
      </c>
      <c r="D1176" s="203" t="s">
        <v>13</v>
      </c>
      <c r="E1176" s="204" t="s">
        <v>13222</v>
      </c>
      <c r="F1176" s="202"/>
      <c r="G1176" s="200">
        <f>+'MC Canais'!J1007</f>
        <v>0</v>
      </c>
      <c r="H1176" s="205"/>
      <c r="I1176" s="205"/>
      <c r="J1176" s="299"/>
    </row>
    <row r="1177" spans="2:10" x14ac:dyDescent="0.3">
      <c r="B1177" s="197" t="s">
        <v>13687</v>
      </c>
      <c r="C1177" s="197" t="s">
        <v>13039</v>
      </c>
      <c r="D1177" s="198" t="s">
        <v>9806</v>
      </c>
      <c r="E1177" s="199" t="str">
        <f>VLOOKUP($D1177,'Preços Unitários'!$B:$G,2,FALSE)</f>
        <v>Escavação mecânica de vala em material de 1ª categoria</v>
      </c>
      <c r="F1177" s="197" t="str">
        <f>VLOOKUP($D1177,'Preços Unitários'!$B:$G,3,FALSE)</f>
        <v>m³</v>
      </c>
      <c r="G1177" s="200">
        <f>+'MC Canais'!J1008</f>
        <v>2676.24</v>
      </c>
      <c r="H1177" s="200">
        <f>VLOOKUP($D1177,'Preços Unitários'!$B:$G,6,FALSE)</f>
        <v>8.7313189999999992</v>
      </c>
      <c r="I1177" s="201">
        <f t="shared" ref="I1177:I1183" si="155">+G1177*H1177</f>
        <v>23367.105160559997</v>
      </c>
      <c r="J1177"/>
    </row>
    <row r="1178" spans="2:10" x14ac:dyDescent="0.3">
      <c r="B1178" s="197" t="s">
        <v>13688</v>
      </c>
      <c r="C1178" s="197" t="s">
        <v>13039</v>
      </c>
      <c r="D1178" s="198" t="s">
        <v>9830</v>
      </c>
      <c r="E1178" s="199" t="str">
        <f>VLOOKUP($D1178,'Preços Unitários'!$B:$G,2,FALSE)</f>
        <v>Reaterro e compactação com soquete vibratório</v>
      </c>
      <c r="F1178" s="197" t="str">
        <f>VLOOKUP($D1178,'Preços Unitários'!$B:$G,3,FALSE)</f>
        <v>m³</v>
      </c>
      <c r="G1178" s="200">
        <f>+'MC Canais'!J1009</f>
        <v>1529.28</v>
      </c>
      <c r="H1178" s="200">
        <f>VLOOKUP($D1178,'Preços Unitários'!$B:$G,6,FALSE)</f>
        <v>22.611235000000001</v>
      </c>
      <c r="I1178" s="201">
        <f t="shared" si="155"/>
        <v>34578.909460800001</v>
      </c>
      <c r="J1178" s="299"/>
    </row>
    <row r="1179" spans="2:10" ht="28.8" x14ac:dyDescent="0.3">
      <c r="B1179" s="197" t="s">
        <v>13689</v>
      </c>
      <c r="C1179" s="197" t="s">
        <v>13039</v>
      </c>
      <c r="D1179" s="198" t="s">
        <v>11947</v>
      </c>
      <c r="E1179" s="199" t="str">
        <f>VLOOKUP($D1179,'Preços Unitários'!$B:$G,2,FALSE)</f>
        <v>Transporte com caminhão basculante de 14 m³ - rodovia em leito natural</v>
      </c>
      <c r="F1179" s="197" t="str">
        <f>VLOOKUP($D1179,'Preços Unitários'!$B:$G,3,FALSE)</f>
        <v>tkm</v>
      </c>
      <c r="G1179" s="200">
        <f>+'MC Canais'!J1010</f>
        <v>8028.7199999999984</v>
      </c>
      <c r="H1179" s="200">
        <f>VLOOKUP($D1179,'Preços Unitários'!$B:$G,6,FALSE)</f>
        <v>1.165011</v>
      </c>
      <c r="I1179" s="201">
        <f t="shared" si="155"/>
        <v>9353.5471159199988</v>
      </c>
      <c r="J1179" s="299"/>
    </row>
    <row r="1180" spans="2:10" ht="28.8" x14ac:dyDescent="0.3">
      <c r="B1180" s="197" t="s">
        <v>13690</v>
      </c>
      <c r="C1180" s="197" t="s">
        <v>12</v>
      </c>
      <c r="D1180" s="198" t="s">
        <v>13224</v>
      </c>
      <c r="E1180" s="199" t="s">
        <v>13223</v>
      </c>
      <c r="F1180" s="197" t="s">
        <v>2904</v>
      </c>
      <c r="G1180" s="200">
        <f>+'MC Canais'!J1011</f>
        <v>7646.4</v>
      </c>
      <c r="H1180" s="200">
        <f>+'Composições de Preços'!$F$173</f>
        <v>26.052132569499999</v>
      </c>
      <c r="I1180" s="201">
        <f t="shared" si="155"/>
        <v>199205.02647942479</v>
      </c>
      <c r="J1180" s="299"/>
    </row>
    <row r="1181" spans="2:10" ht="28.8" x14ac:dyDescent="0.3">
      <c r="B1181" s="197" t="s">
        <v>13691</v>
      </c>
      <c r="C1181" s="197" t="s">
        <v>13039</v>
      </c>
      <c r="D1181" s="198" t="s">
        <v>6908</v>
      </c>
      <c r="E1181" s="199" t="str">
        <f>VLOOKUP($D1181,'Preços Unitários'!$B:$G,2,FALSE)</f>
        <v>Tubo de concreto perfurado produzido na obra para drenagem - D = 0,40 m - fornecimento e instalação</v>
      </c>
      <c r="F1181" s="197" t="str">
        <f>VLOOKUP($D1181,'Preços Unitários'!$B:$G,3,FALSE)</f>
        <v>m</v>
      </c>
      <c r="G1181" s="200">
        <f>+'MC Canais'!J1012</f>
        <v>3186</v>
      </c>
      <c r="H1181" s="200">
        <f>VLOOKUP($D1181,'Preços Unitários'!$B:$G,6,FALSE)</f>
        <v>116.764167</v>
      </c>
      <c r="I1181" s="201">
        <f t="shared" si="155"/>
        <v>372010.63606200001</v>
      </c>
      <c r="J1181" s="299"/>
    </row>
    <row r="1182" spans="2:10" ht="28.8" x14ac:dyDescent="0.3">
      <c r="B1182" s="197" t="s">
        <v>13692</v>
      </c>
      <c r="C1182" s="197" t="s">
        <v>13039</v>
      </c>
      <c r="D1182" s="198" t="s">
        <v>6438</v>
      </c>
      <c r="E1182" s="199" t="str">
        <f>VLOOKUP($D1182,'Preços Unitários'!$B:$G,2,FALSE)</f>
        <v>Lastro de brita comercial compactado com soquete vibratório - espalhamento manual</v>
      </c>
      <c r="F1182" s="197" t="str">
        <f>VLOOKUP($D1182,'Preços Unitários'!$B:$G,3,FALSE)</f>
        <v>m³</v>
      </c>
      <c r="G1182" s="200">
        <f>+'MC Canais'!J1013</f>
        <v>746.79839999999967</v>
      </c>
      <c r="H1182" s="200">
        <f>VLOOKUP($D1182,'Preços Unitários'!$B:$G,6,FALSE)</f>
        <v>239.34086200000002</v>
      </c>
      <c r="I1182" s="201">
        <f t="shared" si="155"/>
        <v>178739.37279622073</v>
      </c>
      <c r="J1182" s="297"/>
    </row>
    <row r="1183" spans="2:10" x14ac:dyDescent="0.3">
      <c r="B1183" s="197" t="s">
        <v>13693</v>
      </c>
      <c r="C1183" s="197" t="s">
        <v>13039</v>
      </c>
      <c r="D1183" s="206" t="s">
        <v>6430</v>
      </c>
      <c r="E1183" s="199" t="str">
        <f>VLOOKUP($D1183,'Preços Unitários'!$B:$G,2,FALSE)</f>
        <v>Lastro de areia comercial - espalhamento manual</v>
      </c>
      <c r="F1183" s="197" t="str">
        <f>VLOOKUP($D1183,'Preços Unitários'!$B:$G,3,FALSE)</f>
        <v>m³</v>
      </c>
      <c r="G1183" s="200">
        <f>+'MC Canais'!J1014</f>
        <v>382.32</v>
      </c>
      <c r="H1183" s="200">
        <f>VLOOKUP($D1183,'Preços Unitários'!$B:$G,6,FALSE)</f>
        <v>198.06439700000001</v>
      </c>
      <c r="I1183" s="201">
        <f t="shared" si="155"/>
        <v>75723.980261040007</v>
      </c>
      <c r="J1183"/>
    </row>
    <row r="1184" spans="2:10" s="243" customFormat="1" ht="28.8" x14ac:dyDescent="0.3">
      <c r="B1184" s="197" t="s">
        <v>13694</v>
      </c>
      <c r="C1184" s="197" t="s">
        <v>13</v>
      </c>
      <c r="D1184" s="198" t="s">
        <v>13</v>
      </c>
      <c r="E1184" s="207" t="s">
        <v>13228</v>
      </c>
      <c r="F1184" s="197"/>
      <c r="G1184" s="200">
        <f>+'MC Canais'!J1015</f>
        <v>0</v>
      </c>
      <c r="H1184" s="201"/>
      <c r="I1184" s="201"/>
      <c r="J1184" s="299"/>
    </row>
    <row r="1185" spans="1:10" ht="28.8" x14ac:dyDescent="0.3">
      <c r="B1185" s="197" t="s">
        <v>13695</v>
      </c>
      <c r="C1185" s="197" t="s">
        <v>13039</v>
      </c>
      <c r="D1185" s="198" t="s">
        <v>6964</v>
      </c>
      <c r="E1185" s="199" t="str">
        <f>VLOOKUP($D1185,'Preços Unitários'!$B:$G,2,FALSE)</f>
        <v>Valeta de proteção de cortes com revestimento vegetal - VPCG 120-30 - escavação mecânica</v>
      </c>
      <c r="F1185" s="197" t="str">
        <f>VLOOKUP($D1185,'Preços Unitários'!$B:$G,3,FALSE)</f>
        <v>m</v>
      </c>
      <c r="G1185" s="200">
        <f>+'MC Canais'!J1016</f>
        <v>6372</v>
      </c>
      <c r="H1185" s="200">
        <f>VLOOKUP($D1185,'Preços Unitários'!$B:$G,6,FALSE)</f>
        <v>51.961995999999999</v>
      </c>
      <c r="I1185" s="201">
        <f t="shared" ref="I1185:I1188" si="156">+G1185*H1185</f>
        <v>331101.83851199999</v>
      </c>
      <c r="J1185" s="299"/>
    </row>
    <row r="1186" spans="1:10" ht="28.8" x14ac:dyDescent="0.3">
      <c r="B1186" s="197" t="s">
        <v>13696</v>
      </c>
      <c r="C1186" s="197" t="s">
        <v>13039</v>
      </c>
      <c r="D1186" s="198" t="s">
        <v>6744</v>
      </c>
      <c r="E1186" s="199" t="str">
        <f>VLOOKUP($D1186,'Preços Unitários'!$B:$G,2,FALSE)</f>
        <v>Sarjeta triangular de grama - STG 125-25 - escavação mecânica</v>
      </c>
      <c r="F1186" s="197" t="str">
        <f>VLOOKUP($D1186,'Preços Unitários'!$B:$G,3,FALSE)</f>
        <v>m</v>
      </c>
      <c r="G1186" s="200">
        <f>+'MC Canais'!J1017</f>
        <v>6372</v>
      </c>
      <c r="H1186" s="200">
        <f>VLOOKUP($D1186,'Preços Unitários'!$B:$G,6,FALSE)</f>
        <v>29.776679000000001</v>
      </c>
      <c r="I1186" s="201">
        <f t="shared" si="156"/>
        <v>189736.99858800002</v>
      </c>
      <c r="J1186" s="299"/>
    </row>
    <row r="1187" spans="1:10" ht="28.8" x14ac:dyDescent="0.3">
      <c r="B1187" s="197" t="s">
        <v>13697</v>
      </c>
      <c r="C1187" s="197" t="s">
        <v>13039</v>
      </c>
      <c r="D1187" s="198" t="s">
        <v>2740</v>
      </c>
      <c r="E1187" s="199" t="str">
        <f>VLOOKUP($D1187,'Preços Unitários'!$B:$G,2,FALSE)</f>
        <v>Corpo de BSTC D = 0,80 m PA1 - areia, brita e pedra de mão comerciais</v>
      </c>
      <c r="F1187" s="197" t="str">
        <f>VLOOKUP($D1187,'Preços Unitários'!$B:$G,3,FALSE)</f>
        <v>m</v>
      </c>
      <c r="G1187" s="200">
        <f>+'MC Canais'!J1018</f>
        <v>19.5</v>
      </c>
      <c r="H1187" s="200">
        <f>VLOOKUP($D1187,'Preços Unitários'!$B:$G,6,FALSE)</f>
        <v>799.67357200000004</v>
      </c>
      <c r="I1187" s="201">
        <f t="shared" si="156"/>
        <v>15593.634654000001</v>
      </c>
      <c r="J1187" s="299"/>
    </row>
    <row r="1188" spans="1:10" ht="28.8" x14ac:dyDescent="0.3">
      <c r="B1188" s="197" t="s">
        <v>13698</v>
      </c>
      <c r="C1188" s="197" t="s">
        <v>13039</v>
      </c>
      <c r="D1188" s="208" t="s">
        <v>2172</v>
      </c>
      <c r="E1188" s="199" t="str">
        <f>VLOOKUP($D1188,'Preços Unitários'!$B:$G,2,FALSE)</f>
        <v>Boca de BSTC D = 0,80 m - esconsidade 0° - areia e brita comerciais - alas retas</v>
      </c>
      <c r="F1188" s="197" t="str">
        <f>VLOOKUP($D1188,'Preços Unitários'!$B:$G,3,FALSE)</f>
        <v>un</v>
      </c>
      <c r="G1188" s="200">
        <f>+'MC Canais'!J1019</f>
        <v>2</v>
      </c>
      <c r="H1188" s="200">
        <f>VLOOKUP($D1188,'Preços Unitários'!$B:$G,6,FALSE)</f>
        <v>1606.687966</v>
      </c>
      <c r="I1188" s="201">
        <f t="shared" si="156"/>
        <v>3213.3759319999999</v>
      </c>
      <c r="J1188" s="297"/>
    </row>
    <row r="1189" spans="1:10" s="243" customFormat="1" x14ac:dyDescent="0.3">
      <c r="B1189" s="197" t="s">
        <v>13699</v>
      </c>
      <c r="C1189" s="197" t="s">
        <v>13</v>
      </c>
      <c r="D1189" s="198" t="s">
        <v>13</v>
      </c>
      <c r="E1189" s="207" t="s">
        <v>13230</v>
      </c>
      <c r="F1189" s="197"/>
      <c r="G1189" s="200">
        <f>+'MC Canais'!J1020</f>
        <v>0</v>
      </c>
      <c r="H1189" s="201"/>
      <c r="I1189" s="201"/>
      <c r="J1189"/>
    </row>
    <row r="1190" spans="1:10" ht="28.8" x14ac:dyDescent="0.3">
      <c r="B1190" s="197" t="s">
        <v>13700</v>
      </c>
      <c r="C1190" s="197" t="s">
        <v>13039</v>
      </c>
      <c r="D1190" s="198" t="s">
        <v>11088</v>
      </c>
      <c r="E1190" s="199" t="str">
        <f>VLOOKUP($D1190,'Preços Unitários'!$B:$G,2,FALSE)</f>
        <v>Escavação mecânica com retroescavadeira em material de 1ª categoria</v>
      </c>
      <c r="F1190" s="197" t="str">
        <f>VLOOKUP($D1190,'Preços Unitários'!$B:$G,3,FALSE)</f>
        <v>m³</v>
      </c>
      <c r="G1190" s="200">
        <f>+'MC Canais'!J1021</f>
        <v>3345.2999999999997</v>
      </c>
      <c r="H1190" s="200">
        <f>VLOOKUP($D1190,'Preços Unitários'!$B:$G,6,FALSE)</f>
        <v>8.7313189999999992</v>
      </c>
      <c r="I1190" s="201">
        <f t="shared" ref="I1190:I1194" si="157">+G1190*H1190</f>
        <v>29208.881450699995</v>
      </c>
      <c r="J1190" s="299"/>
    </row>
    <row r="1191" spans="1:10" x14ac:dyDescent="0.3">
      <c r="B1191" s="197" t="s">
        <v>13701</v>
      </c>
      <c r="C1191" s="197" t="s">
        <v>13039</v>
      </c>
      <c r="D1191" s="198" t="s">
        <v>11046</v>
      </c>
      <c r="E1191" s="199" t="str">
        <f>VLOOKUP($D1191,'Preços Unitários'!$B:$G,2,FALSE)</f>
        <v>Compactação de aterros a 100% do Proctor normal</v>
      </c>
      <c r="F1191" s="197" t="str">
        <f>VLOOKUP($D1191,'Preços Unitários'!$B:$G,3,FALSE)</f>
        <v>m³</v>
      </c>
      <c r="G1191" s="200">
        <f>+'MC Canais'!J1022</f>
        <v>2230.2000000000003</v>
      </c>
      <c r="H1191" s="200">
        <f>VLOOKUP($D1191,'Preços Unitários'!$B:$G,6,FALSE)</f>
        <v>7.1028090000000006</v>
      </c>
      <c r="I1191" s="201">
        <f t="shared" si="157"/>
        <v>15840.684631800003</v>
      </c>
      <c r="J1191" s="299"/>
    </row>
    <row r="1192" spans="1:10" ht="28.8" x14ac:dyDescent="0.3">
      <c r="B1192" s="197" t="s">
        <v>13702</v>
      </c>
      <c r="C1192" s="197" t="s">
        <v>13039</v>
      </c>
      <c r="D1192" s="198" t="s">
        <v>11947</v>
      </c>
      <c r="E1192" s="199" t="str">
        <f>VLOOKUP($D1192,'Preços Unitários'!$B:$G,2,FALSE)</f>
        <v>Transporte com caminhão basculante de 14 m³ - rodovia em leito natural</v>
      </c>
      <c r="F1192" s="197" t="str">
        <f>VLOOKUP($D1192,'Preços Unitários'!$B:$G,3,FALSE)</f>
        <v>tkm</v>
      </c>
      <c r="G1192" s="200">
        <f>+'MC Canais'!J1023</f>
        <v>1115.0999999999995</v>
      </c>
      <c r="H1192" s="200">
        <f>VLOOKUP($D1192,'Preços Unitários'!$B:$G,6,FALSE)</f>
        <v>1.165011</v>
      </c>
      <c r="I1192" s="201">
        <f t="shared" si="157"/>
        <v>1299.1037660999993</v>
      </c>
      <c r="J1192" s="299"/>
    </row>
    <row r="1193" spans="1:10" x14ac:dyDescent="0.3">
      <c r="B1193" s="197" t="s">
        <v>13703</v>
      </c>
      <c r="C1193" s="197" t="s">
        <v>13039</v>
      </c>
      <c r="D1193" s="198" t="s">
        <v>9440</v>
      </c>
      <c r="E1193" s="199" t="str">
        <f>VLOOKUP($D1193,'Preços Unitários'!$B:$G,2,FALSE)</f>
        <v>Regularização de superfície com motoniveladora</v>
      </c>
      <c r="F1193" s="197" t="str">
        <f>VLOOKUP($D1193,'Preços Unitários'!$B:$G,3,FALSE)</f>
        <v>m²</v>
      </c>
      <c r="G1193" s="200">
        <f>+'MC Canais'!J1024</f>
        <v>22302</v>
      </c>
      <c r="H1193" s="200">
        <f>VLOOKUP($D1193,'Preços Unitários'!$B:$G,6,FALSE)</f>
        <v>0.100216</v>
      </c>
      <c r="I1193" s="201">
        <f t="shared" si="157"/>
        <v>2235.0172320000001</v>
      </c>
      <c r="J1193" s="299"/>
    </row>
    <row r="1194" spans="1:10" x14ac:dyDescent="0.3">
      <c r="B1194" s="197" t="s">
        <v>13704</v>
      </c>
      <c r="C1194" s="197" t="s">
        <v>12</v>
      </c>
      <c r="D1194" s="198" t="s">
        <v>13232</v>
      </c>
      <c r="E1194" s="199" t="s">
        <v>13231</v>
      </c>
      <c r="F1194" s="197" t="s">
        <v>427</v>
      </c>
      <c r="G1194" s="200">
        <f>+'MC Canais'!J1025</f>
        <v>1672.6499999999999</v>
      </c>
      <c r="H1194" s="200">
        <f>+'Composições de Preços'!$F$216</f>
        <v>214.40019935426301</v>
      </c>
      <c r="I1194" s="201">
        <f t="shared" si="157"/>
        <v>358616.49344990798</v>
      </c>
      <c r="J1194" s="297"/>
    </row>
    <row r="1195" spans="1:10" s="243" customFormat="1" x14ac:dyDescent="0.3">
      <c r="B1195" s="197" t="s">
        <v>13705</v>
      </c>
      <c r="C1195" s="197" t="s">
        <v>13</v>
      </c>
      <c r="D1195" s="198" t="s">
        <v>13</v>
      </c>
      <c r="E1195" s="207" t="s">
        <v>13386</v>
      </c>
      <c r="F1195" s="197"/>
      <c r="G1195" s="200">
        <f>+'MC Canais'!J1026</f>
        <v>0</v>
      </c>
      <c r="H1195" s="201"/>
      <c r="I1195" s="201"/>
      <c r="J1195"/>
    </row>
    <row r="1196" spans="1:10" ht="28.8" x14ac:dyDescent="0.3">
      <c r="B1196" s="197" t="s">
        <v>13706</v>
      </c>
      <c r="C1196" s="197" t="s">
        <v>13039</v>
      </c>
      <c r="D1196" s="198" t="s">
        <v>8625</v>
      </c>
      <c r="E1196" s="199" t="str">
        <f>VLOOKUP($D1196,'Preços Unitários'!$B:$G,2,FALSE)</f>
        <v>Cerca com 4 fios de arame liso galvanizado e mourão de madeira a cada 2,5 m e esticador a cada 50 m</v>
      </c>
      <c r="F1196" s="197" t="str">
        <f>VLOOKUP($D1196,'Preços Unitários'!$B:$G,3,FALSE)</f>
        <v>m</v>
      </c>
      <c r="G1196" s="200">
        <f>+'MC Canais'!J1027</f>
        <v>6372</v>
      </c>
      <c r="H1196" s="200">
        <f>VLOOKUP($D1196,'Preços Unitários'!$B:$G,6,FALSE)</f>
        <v>27.146009000000003</v>
      </c>
      <c r="I1196" s="201">
        <f t="shared" ref="I1196" si="158">+G1196*H1196</f>
        <v>172974.36934800001</v>
      </c>
      <c r="J1196" s="299"/>
    </row>
    <row r="1197" spans="1:10" x14ac:dyDescent="0.3">
      <c r="B1197" s="202"/>
      <c r="C1197" s="204"/>
      <c r="D1197" s="204"/>
      <c r="E1197" s="204"/>
      <c r="F1197" s="204"/>
      <c r="G1197" s="204"/>
      <c r="H1197" s="204"/>
      <c r="I1197" s="204"/>
      <c r="J1197" s="299"/>
    </row>
    <row r="1198" spans="1:10" x14ac:dyDescent="0.3">
      <c r="B1198" s="202">
        <v>2</v>
      </c>
      <c r="C1198" s="202" t="s">
        <v>13</v>
      </c>
      <c r="D1198" s="203" t="s">
        <v>13</v>
      </c>
      <c r="E1198" s="204" t="s">
        <v>13080</v>
      </c>
      <c r="F1198" s="202" t="s">
        <v>13</v>
      </c>
      <c r="G1198" s="205">
        <v>0</v>
      </c>
      <c r="H1198" s="205">
        <v>0</v>
      </c>
      <c r="I1198" s="205">
        <f>+I1199+I1215+I1231</f>
        <v>572810.62970549054</v>
      </c>
      <c r="J1198" s="299"/>
    </row>
    <row r="1199" spans="1:10" s="219" customFormat="1" x14ac:dyDescent="0.3">
      <c r="B1199" s="214">
        <v>0</v>
      </c>
      <c r="C1199" s="215" t="s">
        <v>13</v>
      </c>
      <c r="D1199" s="216" t="s">
        <v>13</v>
      </c>
      <c r="E1199" s="217" t="s">
        <v>13346</v>
      </c>
      <c r="F1199" s="215" t="s">
        <v>13</v>
      </c>
      <c r="G1199" s="214">
        <v>0</v>
      </c>
      <c r="H1199" s="214">
        <v>0</v>
      </c>
      <c r="I1199" s="214">
        <f>+I1200</f>
        <v>220237.87190635232</v>
      </c>
      <c r="J1199" s="299"/>
    </row>
    <row r="1200" spans="1:10" x14ac:dyDescent="0.3">
      <c r="A1200" s="284" t="s">
        <v>14472</v>
      </c>
      <c r="B1200" s="287" t="s">
        <v>13101</v>
      </c>
      <c r="C1200" s="202" t="s">
        <v>13</v>
      </c>
      <c r="D1200" s="203" t="s">
        <v>13</v>
      </c>
      <c r="E1200" s="204" t="s">
        <v>13148</v>
      </c>
      <c r="F1200" s="202" t="s">
        <v>13</v>
      </c>
      <c r="G1200" s="205">
        <v>0</v>
      </c>
      <c r="H1200" s="205">
        <v>0</v>
      </c>
      <c r="I1200" s="205">
        <f>SUM(I1201:I1214)</f>
        <v>220237.87190635232</v>
      </c>
      <c r="J1200" s="284" t="s">
        <v>14472</v>
      </c>
    </row>
    <row r="1201" spans="1:10" ht="28.8" x14ac:dyDescent="0.3">
      <c r="B1201" s="197" t="s">
        <v>13803</v>
      </c>
      <c r="C1201" s="197" t="s">
        <v>13039</v>
      </c>
      <c r="D1201" s="198" t="s">
        <v>11052</v>
      </c>
      <c r="E1201" s="199" t="str">
        <f>VLOOKUP($D1201,'Preços Unitários'!$B:$G,2,FALSE)</f>
        <v>Desmatamento, destocamento e limpeza de área com árvores de diâmetro até 0,15 m</v>
      </c>
      <c r="F1201" s="197" t="str">
        <f>VLOOKUP($D1201,'Preços Unitários'!$B:$G,3,FALSE)</f>
        <v>m²</v>
      </c>
      <c r="G1201" s="200">
        <f>+'MC EC'!I131</f>
        <v>192</v>
      </c>
      <c r="H1201" s="200">
        <f>VLOOKUP($D1201,'Preços Unitários'!$B:$G,6,FALSE)</f>
        <v>0.87688999999999995</v>
      </c>
      <c r="I1201" s="201">
        <f t="shared" ref="I1201:I1214" si="159">+G1201*H1201</f>
        <v>168.36287999999999</v>
      </c>
      <c r="J1201"/>
    </row>
    <row r="1202" spans="1:10" ht="43.2" x14ac:dyDescent="0.3">
      <c r="B1202" s="197" t="s">
        <v>13804</v>
      </c>
      <c r="C1202" s="197" t="s">
        <v>13039</v>
      </c>
      <c r="D1202" s="198" t="s">
        <v>11092</v>
      </c>
      <c r="E1202" s="199" t="str">
        <f>VLOOKUP($D1202,'Preços Unitários'!$B:$G,2,FALSE)</f>
        <v>Escavação, carga e transporte de material de 1ª categoria - DMT de 1.000 a 1.200 m - caminho de serviço em leito natural - com escavadeira e caminhão basculante de 14 m³</v>
      </c>
      <c r="F1202" s="197" t="str">
        <f>VLOOKUP($D1202,'Preços Unitários'!$B:$G,3,FALSE)</f>
        <v>m³</v>
      </c>
      <c r="G1202" s="200">
        <f>+'MC EC'!I132</f>
        <v>146.87999999999738</v>
      </c>
      <c r="H1202" s="200">
        <f>VLOOKUP($D1202,'Preços Unitários'!$B:$G,6,FALSE)</f>
        <v>10.673003999999999</v>
      </c>
      <c r="I1202" s="201">
        <f t="shared" si="159"/>
        <v>1567.6508275199719</v>
      </c>
      <c r="J1202" s="299"/>
    </row>
    <row r="1203" spans="1:10" x14ac:dyDescent="0.3">
      <c r="B1203" s="197" t="s">
        <v>13805</v>
      </c>
      <c r="C1203" s="197" t="s">
        <v>13039</v>
      </c>
      <c r="D1203" s="198" t="s">
        <v>11046</v>
      </c>
      <c r="E1203" s="199" t="str">
        <f>VLOOKUP($D1203,'Preços Unitários'!$B:$G,2,FALSE)</f>
        <v>Compactação de aterros a 100% do Proctor normal</v>
      </c>
      <c r="F1203" s="197" t="str">
        <f>VLOOKUP($D1203,'Preços Unitários'!$B:$G,3,FALSE)</f>
        <v>m³</v>
      </c>
      <c r="G1203" s="200">
        <f>+'MC EC'!I133</f>
        <v>65.279999999998836</v>
      </c>
      <c r="H1203" s="200">
        <f>VLOOKUP($D1203,'Preços Unitários'!$B:$G,6,FALSE)</f>
        <v>7.1028090000000006</v>
      </c>
      <c r="I1203" s="201">
        <f t="shared" si="159"/>
        <v>463.67137151999179</v>
      </c>
      <c r="J1203" s="299"/>
    </row>
    <row r="1204" spans="1:10" ht="28.8" x14ac:dyDescent="0.3">
      <c r="B1204" s="197" t="s">
        <v>13806</v>
      </c>
      <c r="C1204" s="197" t="s">
        <v>13039</v>
      </c>
      <c r="D1204" s="198" t="s">
        <v>11947</v>
      </c>
      <c r="E1204" s="199" t="str">
        <f>VLOOKUP($D1204,'Preços Unitários'!$B:$G,2,FALSE)</f>
        <v>Transporte com caminhão basculante de 14 m³ - rodovia em leito natural</v>
      </c>
      <c r="F1204" s="197" t="str">
        <f>VLOOKUP($D1204,'Preços Unitários'!$B:$G,3,FALSE)</f>
        <v>tkm</v>
      </c>
      <c r="G1204" s="200">
        <f>+'MC EC'!I134</f>
        <v>571.1999999999897</v>
      </c>
      <c r="H1204" s="200">
        <f>VLOOKUP($D1204,'Preços Unitários'!$B:$G,6,FALSE)</f>
        <v>1.165011</v>
      </c>
      <c r="I1204" s="201">
        <f t="shared" si="159"/>
        <v>665.45428319998803</v>
      </c>
      <c r="J1204" s="299"/>
    </row>
    <row r="1205" spans="1:10" ht="28.8" x14ac:dyDescent="0.3">
      <c r="B1205" s="197" t="s">
        <v>13807</v>
      </c>
      <c r="C1205" s="197" t="s">
        <v>13039</v>
      </c>
      <c r="D1205" s="198" t="s">
        <v>3137</v>
      </c>
      <c r="E1205" s="199" t="str">
        <f>VLOOKUP($D1205,'Preços Unitários'!$B:$G,2,FALSE)</f>
        <v>Concreto magro - confecção em betoneira e lançamento manual - areia e brita comerciais</v>
      </c>
      <c r="F1205" s="197" t="str">
        <f>VLOOKUP($D1205,'Preços Unitários'!$B:$G,3,FALSE)</f>
        <v>m³</v>
      </c>
      <c r="G1205" s="200">
        <f>+'MC EC'!I135</f>
        <v>10.319999999999999</v>
      </c>
      <c r="H1205" s="200">
        <f>VLOOKUP($D1205,'Preços Unitários'!$B:$G,6,FALSE)</f>
        <v>573.22299299999997</v>
      </c>
      <c r="I1205" s="201">
        <f t="shared" si="159"/>
        <v>5915.6612877599991</v>
      </c>
      <c r="J1205" s="299"/>
    </row>
    <row r="1206" spans="1:10" ht="28.8" x14ac:dyDescent="0.3">
      <c r="B1206" s="197" t="s">
        <v>13808</v>
      </c>
      <c r="C1206" s="197" t="s">
        <v>13039</v>
      </c>
      <c r="D1206" s="198" t="s">
        <v>3149</v>
      </c>
      <c r="E1206" s="199" t="str">
        <f>VLOOKUP($D1206,'Preços Unitários'!$B:$G,2,FALSE)</f>
        <v>Concreto para bombeamento fck = 30 MPa - confecção em central dosadora de 30 m³/h - areia e brita comerciais</v>
      </c>
      <c r="F1206" s="197" t="str">
        <f>VLOOKUP($D1206,'Preços Unitários'!$B:$G,3,FALSE)</f>
        <v>m³</v>
      </c>
      <c r="G1206" s="200">
        <f>+'MC EC'!I136</f>
        <v>24.287999999999737</v>
      </c>
      <c r="H1206" s="200">
        <f>VLOOKUP($D1206,'Preços Unitários'!$B:$G,6,FALSE)</f>
        <v>575.92882499999996</v>
      </c>
      <c r="I1206" s="201">
        <f t="shared" si="159"/>
        <v>13988.159301599848</v>
      </c>
      <c r="J1206" s="291"/>
    </row>
    <row r="1207" spans="1:10" ht="43.2" x14ac:dyDescent="0.3">
      <c r="B1207" s="197" t="s">
        <v>13809</v>
      </c>
      <c r="C1207" s="197" t="s">
        <v>13039</v>
      </c>
      <c r="D1207" s="198" t="s">
        <v>3201</v>
      </c>
      <c r="E1207" s="199" t="str">
        <f>VLOOKUP($D1207,'Preços Unitários'!$B:$G,2,FALSE)</f>
        <v>Lançamento mecânico de concreto com bomba rebocável com capacidade de 30 m³/h - confecção em central dosadora de 30 m³/h</v>
      </c>
      <c r="F1207" s="197" t="str">
        <f>VLOOKUP($D1207,'Preços Unitários'!$B:$G,3,FALSE)</f>
        <v>m³</v>
      </c>
      <c r="G1207" s="200">
        <f>+'MC EC'!I137</f>
        <v>24.287999999999737</v>
      </c>
      <c r="H1207" s="200">
        <f>VLOOKUP($D1207,'Preços Unitários'!$B:$G,6,FALSE)</f>
        <v>86.285976000000005</v>
      </c>
      <c r="I1207" s="201">
        <f t="shared" si="159"/>
        <v>2095.7137850879776</v>
      </c>
      <c r="J1207" s="299"/>
    </row>
    <row r="1208" spans="1:10" ht="28.8" x14ac:dyDescent="0.3">
      <c r="B1208" s="197" t="s">
        <v>13810</v>
      </c>
      <c r="C1208" s="197" t="s">
        <v>13039</v>
      </c>
      <c r="D1208" s="198" t="s">
        <v>8335</v>
      </c>
      <c r="E1208" s="199" t="str">
        <f>VLOOKUP($D1208,'Preços Unitários'!$B:$G,2,FALSE)</f>
        <v>Fôrmas de compensado plastificado 12 mm - uso geral - utilização de 1 vez - confecção, instalação e retirada</v>
      </c>
      <c r="F1208" s="197" t="str">
        <f>VLOOKUP($D1208,'Preços Unitários'!$B:$G,3,FALSE)</f>
        <v>m²</v>
      </c>
      <c r="G1208" s="200">
        <f>+'MC EC'!I138</f>
        <v>161.91999999999825</v>
      </c>
      <c r="H1208" s="200">
        <f>VLOOKUP($D1208,'Preços Unitários'!$B:$G,6,FALSE)</f>
        <v>175.71622900000003</v>
      </c>
      <c r="I1208" s="201">
        <f t="shared" si="159"/>
        <v>28451.971799679697</v>
      </c>
      <c r="J1208" s="299"/>
    </row>
    <row r="1209" spans="1:10" ht="28.8" x14ac:dyDescent="0.3">
      <c r="B1209" s="197" t="s">
        <v>13811</v>
      </c>
      <c r="C1209" s="197" t="s">
        <v>13039</v>
      </c>
      <c r="D1209" s="198" t="s">
        <v>211</v>
      </c>
      <c r="E1209" s="199" t="str">
        <f>VLOOKUP($D1209,'Preços Unitários'!$B:$G,2,FALSE)</f>
        <v>Armação em aço CA-50 - fornecimento, preparo e colocação</v>
      </c>
      <c r="F1209" s="197" t="str">
        <f>VLOOKUP($D1209,'Preços Unitários'!$B:$G,3,FALSE)</f>
        <v>kg</v>
      </c>
      <c r="G1209" s="200">
        <f>+'MC EC'!I139</f>
        <v>2914.5599999999686</v>
      </c>
      <c r="H1209" s="200">
        <f>VLOOKUP($D1209,'Preços Unitários'!$B:$G,6,FALSE)</f>
        <v>15.846655000000002</v>
      </c>
      <c r="I1209" s="201">
        <f t="shared" si="159"/>
        <v>46186.02679679951</v>
      </c>
      <c r="J1209" s="299"/>
    </row>
    <row r="1210" spans="1:10" ht="28.8" x14ac:dyDescent="0.3">
      <c r="B1210" s="197" t="s">
        <v>13812</v>
      </c>
      <c r="C1210" s="197" t="s">
        <v>13039</v>
      </c>
      <c r="D1210" s="198" t="s">
        <v>8761</v>
      </c>
      <c r="E1210" s="199" t="str">
        <f>VLOOKUP($D1210,'Preços Unitários'!$B:$G,2,FALSE)</f>
        <v>Guarda-corpo e corrimão metálico para passarelas para pedestres - fornecimento e instalação</v>
      </c>
      <c r="F1210" s="197" t="str">
        <f>VLOOKUP($D1210,'Preços Unitários'!$B:$G,3,FALSE)</f>
        <v>m</v>
      </c>
      <c r="G1210" s="200">
        <f>+'MC EC'!I140</f>
        <v>16</v>
      </c>
      <c r="H1210" s="200">
        <f>VLOOKUP($D1210,'Preços Unitários'!$B:$G,6,FALSE)</f>
        <v>928.91463099999999</v>
      </c>
      <c r="I1210" s="201">
        <f t="shared" si="159"/>
        <v>14862.634096</v>
      </c>
      <c r="J1210" s="299"/>
    </row>
    <row r="1211" spans="1:10" x14ac:dyDescent="0.3">
      <c r="B1211" s="197" t="s">
        <v>13813</v>
      </c>
      <c r="C1211" s="197" t="s">
        <v>12</v>
      </c>
      <c r="D1211" s="198" t="s">
        <v>13249</v>
      </c>
      <c r="E1211" s="199" t="s">
        <v>13242</v>
      </c>
      <c r="F1211" s="197" t="s">
        <v>2904</v>
      </c>
      <c r="G1211" s="200">
        <f>+'MC EC'!I141</f>
        <v>35.200000000000003</v>
      </c>
      <c r="H1211" s="200">
        <f>+'Composições de Preços'!$F$262</f>
        <v>97.457885715492935</v>
      </c>
      <c r="I1211" s="201">
        <f t="shared" si="159"/>
        <v>3430.5175771853515</v>
      </c>
      <c r="J1211" s="297"/>
    </row>
    <row r="1212" spans="1:10" x14ac:dyDescent="0.3">
      <c r="B1212" s="197" t="s">
        <v>13814</v>
      </c>
      <c r="C1212" s="197" t="s">
        <v>12</v>
      </c>
      <c r="D1212" s="198" t="s">
        <v>13257</v>
      </c>
      <c r="E1212" s="199" t="s">
        <v>13256</v>
      </c>
      <c r="F1212" s="197" t="s">
        <v>13258</v>
      </c>
      <c r="G1212" s="200">
        <v>1</v>
      </c>
      <c r="H1212" s="200">
        <f>+'Composições de Preços'!$F$308</f>
        <v>26933.050000000003</v>
      </c>
      <c r="I1212" s="201">
        <f t="shared" si="159"/>
        <v>26933.050000000003</v>
      </c>
      <c r="J1212" s="297"/>
    </row>
    <row r="1213" spans="1:10" x14ac:dyDescent="0.3">
      <c r="B1213" s="197" t="s">
        <v>13815</v>
      </c>
      <c r="C1213" s="197" t="s">
        <v>12</v>
      </c>
      <c r="D1213" s="198" t="s">
        <v>13262</v>
      </c>
      <c r="E1213" s="199" t="s">
        <v>13259</v>
      </c>
      <c r="F1213" s="197" t="s">
        <v>13258</v>
      </c>
      <c r="G1213" s="200">
        <v>1</v>
      </c>
      <c r="H1213" s="200">
        <f>+'Composições de Preços'!$F$354</f>
        <v>51849.252999999997</v>
      </c>
      <c r="I1213" s="201">
        <f t="shared" si="159"/>
        <v>51849.252999999997</v>
      </c>
      <c r="J1213"/>
    </row>
    <row r="1214" spans="1:10" x14ac:dyDescent="0.3">
      <c r="B1214" s="197" t="s">
        <v>14546</v>
      </c>
      <c r="C1214" s="197" t="s">
        <v>12</v>
      </c>
      <c r="D1214" s="198" t="s">
        <v>13263</v>
      </c>
      <c r="E1214" s="199" t="s">
        <v>13260</v>
      </c>
      <c r="F1214" s="197" t="s">
        <v>13258</v>
      </c>
      <c r="G1214" s="200">
        <v>1</v>
      </c>
      <c r="H1214" s="200">
        <f>+'Composições de Preços'!$F$400</f>
        <v>23659.744900000002</v>
      </c>
      <c r="I1214" s="201">
        <f t="shared" si="159"/>
        <v>23659.744900000002</v>
      </c>
      <c r="J1214" s="299"/>
    </row>
    <row r="1215" spans="1:10" s="219" customFormat="1" x14ac:dyDescent="0.3">
      <c r="B1215" s="214">
        <v>0</v>
      </c>
      <c r="C1215" s="215" t="s">
        <v>13</v>
      </c>
      <c r="D1215" s="216" t="s">
        <v>13</v>
      </c>
      <c r="E1215" s="217" t="s">
        <v>13347</v>
      </c>
      <c r="F1215" s="215" t="s">
        <v>13</v>
      </c>
      <c r="G1215" s="214">
        <v>0</v>
      </c>
      <c r="H1215" s="214">
        <v>0</v>
      </c>
      <c r="I1215" s="214">
        <f>+I1216</f>
        <v>183639.0269888647</v>
      </c>
      <c r="J1215" s="299"/>
    </row>
    <row r="1216" spans="1:10" x14ac:dyDescent="0.3">
      <c r="A1216" s="230" t="s">
        <v>14473</v>
      </c>
      <c r="B1216" s="287" t="s">
        <v>13102</v>
      </c>
      <c r="C1216" s="202" t="s">
        <v>13</v>
      </c>
      <c r="D1216" s="203" t="s">
        <v>13</v>
      </c>
      <c r="E1216" s="204" t="s">
        <v>13149</v>
      </c>
      <c r="F1216" s="202" t="s">
        <v>13</v>
      </c>
      <c r="G1216" s="205">
        <v>0</v>
      </c>
      <c r="H1216" s="205">
        <v>0</v>
      </c>
      <c r="I1216" s="205">
        <f>SUM(I1217:I1230)</f>
        <v>183639.0269888647</v>
      </c>
      <c r="J1216" s="284" t="s">
        <v>14473</v>
      </c>
    </row>
    <row r="1217" spans="1:10" ht="28.8" x14ac:dyDescent="0.3">
      <c r="B1217" s="197" t="s">
        <v>13816</v>
      </c>
      <c r="C1217" s="197" t="s">
        <v>13039</v>
      </c>
      <c r="D1217" s="198" t="s">
        <v>11052</v>
      </c>
      <c r="E1217" s="199" t="str">
        <f>VLOOKUP($D1217,'Preços Unitários'!$B:$G,2,FALSE)</f>
        <v>Desmatamento, destocamento e limpeza de área com árvores de diâmetro até 0,15 m</v>
      </c>
      <c r="F1217" s="197" t="str">
        <f>VLOOKUP($D1217,'Preços Unitários'!$B:$G,3,FALSE)</f>
        <v>m²</v>
      </c>
      <c r="G1217" s="200">
        <f>+'MC EC'!I145</f>
        <v>181.6</v>
      </c>
      <c r="H1217" s="200">
        <f>VLOOKUP($D1217,'Preços Unitários'!$B:$G,6,FALSE)</f>
        <v>0.87688999999999995</v>
      </c>
      <c r="I1217" s="201">
        <f t="shared" ref="I1217:I1230" si="160">+G1217*H1217</f>
        <v>159.243224</v>
      </c>
      <c r="J1217" s="299"/>
    </row>
    <row r="1218" spans="1:10" ht="43.2" x14ac:dyDescent="0.3">
      <c r="B1218" s="197" t="s">
        <v>13817</v>
      </c>
      <c r="C1218" s="197" t="s">
        <v>13039</v>
      </c>
      <c r="D1218" s="198" t="s">
        <v>11092</v>
      </c>
      <c r="E1218" s="199" t="str">
        <f>VLOOKUP($D1218,'Preços Unitários'!$B:$G,2,FALSE)</f>
        <v>Escavação, carga e transporte de material de 1ª categoria - DMT de 1.000 a 1.200 m - caminho de serviço em leito natural - com escavadeira e caminhão basculante de 14 m³</v>
      </c>
      <c r="F1218" s="197" t="str">
        <f>VLOOKUP($D1218,'Preços Unitários'!$B:$G,3,FALSE)</f>
        <v>m³</v>
      </c>
      <c r="G1218" s="200">
        <f>+'MC EC'!I146</f>
        <v>86.239999999998602</v>
      </c>
      <c r="H1218" s="200">
        <f>VLOOKUP($D1218,'Preços Unitários'!$B:$G,6,FALSE)</f>
        <v>10.673003999999999</v>
      </c>
      <c r="I1218" s="201">
        <f t="shared" si="160"/>
        <v>920.43986495998502</v>
      </c>
      <c r="J1218" s="299"/>
    </row>
    <row r="1219" spans="1:10" x14ac:dyDescent="0.3">
      <c r="B1219" s="197" t="s">
        <v>13818</v>
      </c>
      <c r="C1219" s="197" t="s">
        <v>13039</v>
      </c>
      <c r="D1219" s="198" t="s">
        <v>11046</v>
      </c>
      <c r="E1219" s="199" t="str">
        <f>VLOOKUP($D1219,'Preços Unitários'!$B:$G,2,FALSE)</f>
        <v>Compactação de aterros a 100% do Proctor normal</v>
      </c>
      <c r="F1219" s="197" t="str">
        <f>VLOOKUP($D1219,'Preços Unitários'!$B:$G,3,FALSE)</f>
        <v>m³</v>
      </c>
      <c r="G1219" s="200">
        <f>+'MC EC'!I147</f>
        <v>30.239999999999512</v>
      </c>
      <c r="H1219" s="200">
        <f>VLOOKUP($D1219,'Preços Unitários'!$B:$G,6,FALSE)</f>
        <v>7.1028090000000006</v>
      </c>
      <c r="I1219" s="201">
        <f t="shared" si="160"/>
        <v>214.78894415999656</v>
      </c>
      <c r="J1219" s="299"/>
    </row>
    <row r="1220" spans="1:10" ht="28.8" x14ac:dyDescent="0.3">
      <c r="B1220" s="197" t="s">
        <v>13819</v>
      </c>
      <c r="C1220" s="197" t="s">
        <v>13039</v>
      </c>
      <c r="D1220" s="198" t="s">
        <v>11947</v>
      </c>
      <c r="E1220" s="199" t="str">
        <f>VLOOKUP($D1220,'Preços Unitários'!$B:$G,2,FALSE)</f>
        <v>Transporte com caminhão basculante de 14 m³ - rodovia em leito natural</v>
      </c>
      <c r="F1220" s="197" t="str">
        <f>VLOOKUP($D1220,'Preços Unitários'!$B:$G,3,FALSE)</f>
        <v>tkm</v>
      </c>
      <c r="G1220" s="200">
        <f>+'MC EC'!I148</f>
        <v>391.99999999999363</v>
      </c>
      <c r="H1220" s="200">
        <f>VLOOKUP($D1220,'Preços Unitários'!$B:$G,6,FALSE)</f>
        <v>1.165011</v>
      </c>
      <c r="I1220" s="201">
        <f t="shared" si="160"/>
        <v>456.68431199999259</v>
      </c>
      <c r="J1220" s="297"/>
    </row>
    <row r="1221" spans="1:10" ht="28.8" x14ac:dyDescent="0.3">
      <c r="B1221" s="197" t="s">
        <v>13820</v>
      </c>
      <c r="C1221" s="197" t="s">
        <v>13039</v>
      </c>
      <c r="D1221" s="198" t="s">
        <v>3137</v>
      </c>
      <c r="E1221" s="199" t="str">
        <f>VLOOKUP($D1221,'Preços Unitários'!$B:$G,2,FALSE)</f>
        <v>Concreto magro - confecção em betoneira e lançamento manual - areia e brita comerciais</v>
      </c>
      <c r="F1221" s="197" t="str">
        <f>VLOOKUP($D1221,'Preços Unitários'!$B:$G,3,FALSE)</f>
        <v>m³</v>
      </c>
      <c r="G1221" s="200">
        <f>+'MC EC'!I149</f>
        <v>7.1999999999999993</v>
      </c>
      <c r="H1221" s="200">
        <f>VLOOKUP($D1221,'Preços Unitários'!$B:$G,6,FALSE)</f>
        <v>573.22299299999997</v>
      </c>
      <c r="I1221" s="201">
        <f t="shared" si="160"/>
        <v>4127.2055495999994</v>
      </c>
      <c r="J1221" s="297"/>
    </row>
    <row r="1222" spans="1:10" ht="28.8" x14ac:dyDescent="0.3">
      <c r="B1222" s="197" t="s">
        <v>13821</v>
      </c>
      <c r="C1222" s="197" t="s">
        <v>13039</v>
      </c>
      <c r="D1222" s="198" t="s">
        <v>3149</v>
      </c>
      <c r="E1222" s="199" t="str">
        <f>VLOOKUP($D1222,'Preços Unitários'!$B:$G,2,FALSE)</f>
        <v>Concreto para bombeamento fck = 30 MPa - confecção em central dosadora de 30 m³/h - areia e brita comerciais</v>
      </c>
      <c r="F1222" s="197" t="str">
        <f>VLOOKUP($D1222,'Preços Unitários'!$B:$G,3,FALSE)</f>
        <v>m³</v>
      </c>
      <c r="G1222" s="200">
        <f>+'MC EC'!I150</f>
        <v>16.559999999999835</v>
      </c>
      <c r="H1222" s="200">
        <f>VLOOKUP($D1222,'Preços Unitários'!$B:$G,6,FALSE)</f>
        <v>575.92882499999996</v>
      </c>
      <c r="I1222" s="201">
        <f t="shared" si="160"/>
        <v>9537.3813419999042</v>
      </c>
      <c r="J1222" s="291"/>
    </row>
    <row r="1223" spans="1:10" ht="43.2" x14ac:dyDescent="0.3">
      <c r="B1223" s="197" t="s">
        <v>13822</v>
      </c>
      <c r="C1223" s="197" t="s">
        <v>13039</v>
      </c>
      <c r="D1223" s="198" t="s">
        <v>3201</v>
      </c>
      <c r="E1223" s="199" t="str">
        <f>VLOOKUP($D1223,'Preços Unitários'!$B:$G,2,FALSE)</f>
        <v>Lançamento mecânico de concreto com bomba rebocável com capacidade de 30 m³/h - confecção em central dosadora de 30 m³/h</v>
      </c>
      <c r="F1223" s="197" t="str">
        <f>VLOOKUP($D1223,'Preços Unitários'!$B:$G,3,FALSE)</f>
        <v>m³</v>
      </c>
      <c r="G1223" s="200">
        <f>+'MC EC'!I151</f>
        <v>16.559999999999835</v>
      </c>
      <c r="H1223" s="200">
        <f>VLOOKUP($D1223,'Preços Unitários'!$B:$G,6,FALSE)</f>
        <v>86.285976000000005</v>
      </c>
      <c r="I1223" s="201">
        <f t="shared" si="160"/>
        <v>1428.8957625599858</v>
      </c>
      <c r="J1223" s="299"/>
    </row>
    <row r="1224" spans="1:10" ht="28.8" x14ac:dyDescent="0.3">
      <c r="B1224" s="197" t="s">
        <v>13823</v>
      </c>
      <c r="C1224" s="197" t="s">
        <v>13039</v>
      </c>
      <c r="D1224" s="198" t="s">
        <v>8335</v>
      </c>
      <c r="E1224" s="199" t="str">
        <f>VLOOKUP($D1224,'Preços Unitários'!$B:$G,2,FALSE)</f>
        <v>Fôrmas de compensado plastificado 12 mm - uso geral - utilização de 1 vez - confecção, instalação e retirada</v>
      </c>
      <c r="F1224" s="197" t="str">
        <f>VLOOKUP($D1224,'Preços Unitários'!$B:$G,3,FALSE)</f>
        <v>m²</v>
      </c>
      <c r="G1224" s="200">
        <f>+'MC EC'!I152</f>
        <v>110.39999999999891</v>
      </c>
      <c r="H1224" s="200">
        <f>VLOOKUP($D1224,'Preços Unitários'!$B:$G,6,FALSE)</f>
        <v>175.71622900000003</v>
      </c>
      <c r="I1224" s="201">
        <f t="shared" si="160"/>
        <v>19399.071681599813</v>
      </c>
      <c r="J1224" s="299"/>
    </row>
    <row r="1225" spans="1:10" ht="28.8" x14ac:dyDescent="0.3">
      <c r="B1225" s="197" t="s">
        <v>13824</v>
      </c>
      <c r="C1225" s="197" t="s">
        <v>13039</v>
      </c>
      <c r="D1225" s="198" t="s">
        <v>211</v>
      </c>
      <c r="E1225" s="199" t="str">
        <f>VLOOKUP($D1225,'Preços Unitários'!$B:$G,2,FALSE)</f>
        <v>Armação em aço CA-50 - fornecimento, preparo e colocação</v>
      </c>
      <c r="F1225" s="197" t="str">
        <f>VLOOKUP($D1225,'Preços Unitários'!$B:$G,3,FALSE)</f>
        <v>kg</v>
      </c>
      <c r="G1225" s="200">
        <f>+'MC EC'!I153</f>
        <v>1987.1999999999803</v>
      </c>
      <c r="H1225" s="200">
        <f>VLOOKUP($D1225,'Preços Unitários'!$B:$G,6,FALSE)</f>
        <v>15.846655000000002</v>
      </c>
      <c r="I1225" s="201">
        <f t="shared" si="160"/>
        <v>31490.472815999692</v>
      </c>
      <c r="J1225" s="299"/>
    </row>
    <row r="1226" spans="1:10" ht="28.8" x14ac:dyDescent="0.3">
      <c r="B1226" s="197" t="s">
        <v>13825</v>
      </c>
      <c r="C1226" s="197" t="s">
        <v>13039</v>
      </c>
      <c r="D1226" s="198" t="s">
        <v>8761</v>
      </c>
      <c r="E1226" s="199" t="str">
        <f>VLOOKUP($D1226,'Preços Unitários'!$B:$G,2,FALSE)</f>
        <v>Guarda-corpo e corrimão metálico para passarelas para pedestres - fornecimento e instalação</v>
      </c>
      <c r="F1226" s="197" t="str">
        <f>VLOOKUP($D1226,'Preços Unitários'!$B:$G,3,FALSE)</f>
        <v>m</v>
      </c>
      <c r="G1226" s="200">
        <f>+'MC EC'!I154</f>
        <v>10.8</v>
      </c>
      <c r="H1226" s="200">
        <f>VLOOKUP($D1226,'Preços Unitários'!$B:$G,6,FALSE)</f>
        <v>928.91463099999999</v>
      </c>
      <c r="I1226" s="201">
        <f t="shared" si="160"/>
        <v>10032.2780148</v>
      </c>
      <c r="J1226" s="299"/>
    </row>
    <row r="1227" spans="1:10" x14ac:dyDescent="0.3">
      <c r="B1227" s="197" t="s">
        <v>13826</v>
      </c>
      <c r="C1227" s="197" t="s">
        <v>12</v>
      </c>
      <c r="D1227" s="198" t="s">
        <v>13249</v>
      </c>
      <c r="E1227" s="199" t="s">
        <v>13242</v>
      </c>
      <c r="F1227" s="197" t="s">
        <v>2904</v>
      </c>
      <c r="G1227" s="200">
        <f>+'MC EC'!I155</f>
        <v>35.200000000000003</v>
      </c>
      <c r="H1227" s="200">
        <f>+'Composições de Preços'!$F$262</f>
        <v>97.457885715492935</v>
      </c>
      <c r="I1227" s="201">
        <f t="shared" si="160"/>
        <v>3430.5175771853515</v>
      </c>
      <c r="J1227" s="299"/>
    </row>
    <row r="1228" spans="1:10" x14ac:dyDescent="0.3">
      <c r="B1228" s="197" t="s">
        <v>13827</v>
      </c>
      <c r="C1228" s="197" t="s">
        <v>12</v>
      </c>
      <c r="D1228" s="198" t="s">
        <v>13257</v>
      </c>
      <c r="E1228" s="199" t="s">
        <v>13256</v>
      </c>
      <c r="F1228" s="197" t="s">
        <v>13258</v>
      </c>
      <c r="G1228" s="200">
        <v>1</v>
      </c>
      <c r="H1228" s="200">
        <f>+'Composições de Preços'!$F$308</f>
        <v>26933.050000000003</v>
      </c>
      <c r="I1228" s="201">
        <f t="shared" si="160"/>
        <v>26933.050000000003</v>
      </c>
      <c r="J1228" s="299"/>
    </row>
    <row r="1229" spans="1:10" x14ac:dyDescent="0.3">
      <c r="B1229" s="197" t="s">
        <v>13828</v>
      </c>
      <c r="C1229" s="197" t="s">
        <v>12</v>
      </c>
      <c r="D1229" s="198" t="s">
        <v>13262</v>
      </c>
      <c r="E1229" s="199" t="s">
        <v>13259</v>
      </c>
      <c r="F1229" s="197" t="s">
        <v>13258</v>
      </c>
      <c r="G1229" s="200">
        <v>1</v>
      </c>
      <c r="H1229" s="200">
        <f>+'Composições de Preços'!$F$354</f>
        <v>51849.252999999997</v>
      </c>
      <c r="I1229" s="201">
        <f t="shared" si="160"/>
        <v>51849.252999999997</v>
      </c>
      <c r="J1229" s="299"/>
    </row>
    <row r="1230" spans="1:10" x14ac:dyDescent="0.3">
      <c r="B1230" s="197" t="s">
        <v>14547</v>
      </c>
      <c r="C1230" s="197" t="s">
        <v>12</v>
      </c>
      <c r="D1230" s="198" t="s">
        <v>13263</v>
      </c>
      <c r="E1230" s="199" t="s">
        <v>13260</v>
      </c>
      <c r="F1230" s="197" t="s">
        <v>13258</v>
      </c>
      <c r="G1230" s="200">
        <v>1</v>
      </c>
      <c r="H1230" s="200">
        <f>+'Composições de Preços'!$F$400</f>
        <v>23659.744900000002</v>
      </c>
      <c r="I1230" s="201">
        <f t="shared" si="160"/>
        <v>23659.744900000002</v>
      </c>
      <c r="J1230" s="299"/>
    </row>
    <row r="1231" spans="1:10" s="219" customFormat="1" x14ac:dyDescent="0.3">
      <c r="B1231" s="214">
        <v>0</v>
      </c>
      <c r="C1231" s="215" t="s">
        <v>13</v>
      </c>
      <c r="D1231" s="216" t="s">
        <v>13</v>
      </c>
      <c r="E1231" s="217" t="s">
        <v>13349</v>
      </c>
      <c r="F1231" s="215" t="s">
        <v>13</v>
      </c>
      <c r="G1231" s="214">
        <v>0</v>
      </c>
      <c r="H1231" s="214">
        <v>0</v>
      </c>
      <c r="I1231" s="214">
        <f>+I1232</f>
        <v>168933.73081027353</v>
      </c>
    </row>
    <row r="1232" spans="1:10" x14ac:dyDescent="0.3">
      <c r="A1232" s="230" t="s">
        <v>14474</v>
      </c>
      <c r="B1232" s="287" t="s">
        <v>13103</v>
      </c>
      <c r="C1232" s="202" t="s">
        <v>13</v>
      </c>
      <c r="D1232" s="203" t="s">
        <v>13</v>
      </c>
      <c r="E1232" s="204" t="s">
        <v>13150</v>
      </c>
      <c r="F1232" s="202" t="s">
        <v>13</v>
      </c>
      <c r="G1232" s="205">
        <v>0</v>
      </c>
      <c r="H1232" s="205">
        <v>0</v>
      </c>
      <c r="I1232" s="205">
        <f>SUM(I1233:I1246)</f>
        <v>168933.73081027353</v>
      </c>
      <c r="J1232" s="284" t="s">
        <v>14474</v>
      </c>
    </row>
    <row r="1233" spans="2:10" ht="28.8" x14ac:dyDescent="0.3">
      <c r="B1233" s="197" t="s">
        <v>13829</v>
      </c>
      <c r="C1233" s="197" t="s">
        <v>13039</v>
      </c>
      <c r="D1233" s="198" t="s">
        <v>11052</v>
      </c>
      <c r="E1233" s="199" t="str">
        <f>VLOOKUP($D1233,'Preços Unitários'!$B:$G,2,FALSE)</f>
        <v>Desmatamento, destocamento e limpeza de área com árvores de diâmetro até 0,15 m</v>
      </c>
      <c r="F1233" s="197" t="str">
        <f>VLOOKUP($D1233,'Preços Unitários'!$B:$G,3,FALSE)</f>
        <v>m²</v>
      </c>
      <c r="G1233" s="200">
        <f>+'MC EC'!I159</f>
        <v>176.8</v>
      </c>
      <c r="H1233" s="200">
        <f>VLOOKUP($D1233,'Preços Unitários'!$B:$G,6,FALSE)</f>
        <v>0.87688999999999995</v>
      </c>
      <c r="I1233" s="201">
        <f t="shared" ref="I1233:I1246" si="161">+G1233*H1233</f>
        <v>155.03415200000001</v>
      </c>
      <c r="J1233" s="299"/>
    </row>
    <row r="1234" spans="2:10" ht="43.2" x14ac:dyDescent="0.3">
      <c r="B1234" s="197" t="s">
        <v>13830</v>
      </c>
      <c r="C1234" s="197" t="s">
        <v>13039</v>
      </c>
      <c r="D1234" s="198" t="s">
        <v>11092</v>
      </c>
      <c r="E1234" s="199" t="str">
        <f>VLOOKUP($D1234,'Preços Unitários'!$B:$G,2,FALSE)</f>
        <v>Escavação, carga e transporte de material de 1ª categoria - DMT de 1.000 a 1.200 m - caminho de serviço em leito natural - com escavadeira e caminhão basculante de 14 m³</v>
      </c>
      <c r="F1234" s="197" t="str">
        <f>VLOOKUP($D1234,'Preços Unitários'!$B:$G,3,FALSE)</f>
        <v>m³</v>
      </c>
      <c r="G1234" s="200">
        <f>+'MC EC'!I160</f>
        <v>67.024000000000385</v>
      </c>
      <c r="H1234" s="200">
        <f>VLOOKUP($D1234,'Preços Unitários'!$B:$G,6,FALSE)</f>
        <v>10.673003999999999</v>
      </c>
      <c r="I1234" s="201">
        <f t="shared" si="161"/>
        <v>715.34742009600404</v>
      </c>
      <c r="J1234" s="299"/>
    </row>
    <row r="1235" spans="2:10" x14ac:dyDescent="0.3">
      <c r="B1235" s="197" t="s">
        <v>13831</v>
      </c>
      <c r="C1235" s="197" t="s">
        <v>13039</v>
      </c>
      <c r="D1235" s="198" t="s">
        <v>11046</v>
      </c>
      <c r="E1235" s="199" t="str">
        <f>VLOOKUP($D1235,'Preços Unitários'!$B:$G,2,FALSE)</f>
        <v>Compactação de aterros a 100% do Proctor normal</v>
      </c>
      <c r="F1235" s="197" t="str">
        <f>VLOOKUP($D1235,'Preços Unitários'!$B:$G,3,FALSE)</f>
        <v>m³</v>
      </c>
      <c r="G1235" s="200">
        <f>+'MC EC'!I161</f>
        <v>19.824000000000115</v>
      </c>
      <c r="H1235" s="200">
        <f>VLOOKUP($D1235,'Preços Unitários'!$B:$G,6,FALSE)</f>
        <v>7.1028090000000006</v>
      </c>
      <c r="I1235" s="201">
        <f t="shared" si="161"/>
        <v>140.80608561600084</v>
      </c>
      <c r="J1235" s="299"/>
    </row>
    <row r="1236" spans="2:10" ht="28.8" x14ac:dyDescent="0.3">
      <c r="B1236" s="197" t="s">
        <v>13832</v>
      </c>
      <c r="C1236" s="197" t="s">
        <v>13039</v>
      </c>
      <c r="D1236" s="198" t="s">
        <v>11947</v>
      </c>
      <c r="E1236" s="199" t="str">
        <f>VLOOKUP($D1236,'Preços Unitários'!$B:$G,2,FALSE)</f>
        <v>Transporte com caminhão basculante de 14 m³ - rodovia em leito natural</v>
      </c>
      <c r="F1236" s="197" t="str">
        <f>VLOOKUP($D1236,'Preços Unitários'!$B:$G,3,FALSE)</f>
        <v>tkm</v>
      </c>
      <c r="G1236" s="200">
        <f>+'MC EC'!I162</f>
        <v>330.40000000000191</v>
      </c>
      <c r="H1236" s="200">
        <f>VLOOKUP($D1236,'Preços Unitários'!$B:$G,6,FALSE)</f>
        <v>1.165011</v>
      </c>
      <c r="I1236" s="201">
        <f t="shared" si="161"/>
        <v>384.91963440000222</v>
      </c>
      <c r="J1236" s="299"/>
    </row>
    <row r="1237" spans="2:10" ht="28.8" x14ac:dyDescent="0.3">
      <c r="B1237" s="197" t="s">
        <v>13833</v>
      </c>
      <c r="C1237" s="197" t="s">
        <v>13039</v>
      </c>
      <c r="D1237" s="198" t="s">
        <v>3137</v>
      </c>
      <c r="E1237" s="199" t="str">
        <f>VLOOKUP($D1237,'Preços Unitários'!$B:$G,2,FALSE)</f>
        <v>Concreto magro - confecção em betoneira e lançamento manual - areia e brita comerciais</v>
      </c>
      <c r="F1237" s="197" t="str">
        <f>VLOOKUP($D1237,'Preços Unitários'!$B:$G,3,FALSE)</f>
        <v>m³</v>
      </c>
      <c r="G1237" s="200">
        <f>+'MC EC'!I163</f>
        <v>5.7600000000000007</v>
      </c>
      <c r="H1237" s="200">
        <f>VLOOKUP($D1237,'Preços Unitários'!$B:$G,6,FALSE)</f>
        <v>573.22299299999997</v>
      </c>
      <c r="I1237" s="201">
        <f t="shared" si="161"/>
        <v>3301.7644396800001</v>
      </c>
      <c r="J1237" s="299"/>
    </row>
    <row r="1238" spans="2:10" ht="28.8" x14ac:dyDescent="0.3">
      <c r="B1238" s="197" t="s">
        <v>13834</v>
      </c>
      <c r="C1238" s="197" t="s">
        <v>13039</v>
      </c>
      <c r="D1238" s="198" t="s">
        <v>3149</v>
      </c>
      <c r="E1238" s="199" t="str">
        <f>VLOOKUP($D1238,'Preços Unitários'!$B:$G,2,FALSE)</f>
        <v>Concreto para bombeamento fck = 30 MPa - confecção em central dosadora de 30 m³/h - areia e brita comerciais</v>
      </c>
      <c r="F1238" s="197" t="str">
        <f>VLOOKUP($D1238,'Preços Unitários'!$B:$G,3,FALSE)</f>
        <v>m³</v>
      </c>
      <c r="G1238" s="200">
        <f>+'MC EC'!I164</f>
        <v>13.536000000000048</v>
      </c>
      <c r="H1238" s="200">
        <f>VLOOKUP($D1238,'Preços Unitários'!$B:$G,6,FALSE)</f>
        <v>575.92882499999996</v>
      </c>
      <c r="I1238" s="201">
        <f t="shared" si="161"/>
        <v>7795.7725752000269</v>
      </c>
      <c r="J1238" s="299"/>
    </row>
    <row r="1239" spans="2:10" ht="43.2" x14ac:dyDescent="0.3">
      <c r="B1239" s="197" t="s">
        <v>13835</v>
      </c>
      <c r="C1239" s="197" t="s">
        <v>13039</v>
      </c>
      <c r="D1239" s="198" t="s">
        <v>3201</v>
      </c>
      <c r="E1239" s="199" t="str">
        <f>VLOOKUP($D1239,'Preços Unitários'!$B:$G,2,FALSE)</f>
        <v>Lançamento mecânico de concreto com bomba rebocável com capacidade de 30 m³/h - confecção em central dosadora de 30 m³/h</v>
      </c>
      <c r="F1239" s="197" t="str">
        <f>VLOOKUP($D1239,'Preços Unitários'!$B:$G,3,FALSE)</f>
        <v>m³</v>
      </c>
      <c r="G1239" s="200">
        <f>+'MC EC'!I165</f>
        <v>13.536000000000048</v>
      </c>
      <c r="H1239" s="200">
        <f>VLOOKUP($D1239,'Preços Unitários'!$B:$G,6,FALSE)</f>
        <v>86.285976000000005</v>
      </c>
      <c r="I1239" s="201">
        <f t="shared" si="161"/>
        <v>1167.9669711360041</v>
      </c>
      <c r="J1239" s="299"/>
    </row>
    <row r="1240" spans="2:10" ht="28.8" x14ac:dyDescent="0.3">
      <c r="B1240" s="197" t="s">
        <v>13836</v>
      </c>
      <c r="C1240" s="197" t="s">
        <v>13039</v>
      </c>
      <c r="D1240" s="198" t="s">
        <v>8335</v>
      </c>
      <c r="E1240" s="199" t="str">
        <f>VLOOKUP($D1240,'Preços Unitários'!$B:$G,2,FALSE)</f>
        <v>Fôrmas de compensado plastificado 12 mm - uso geral - utilização de 1 vez - confecção, instalação e retirada</v>
      </c>
      <c r="F1240" s="197" t="str">
        <f>VLOOKUP($D1240,'Preços Unitários'!$B:$G,3,FALSE)</f>
        <v>m²</v>
      </c>
      <c r="G1240" s="200">
        <f>+'MC EC'!I166</f>
        <v>90.240000000000322</v>
      </c>
      <c r="H1240" s="200">
        <f>VLOOKUP($D1240,'Preços Unitários'!$B:$G,6,FALSE)</f>
        <v>175.71622900000003</v>
      </c>
      <c r="I1240" s="201">
        <f t="shared" si="161"/>
        <v>15856.632504960058</v>
      </c>
      <c r="J1240"/>
    </row>
    <row r="1241" spans="2:10" ht="28.8" x14ac:dyDescent="0.3">
      <c r="B1241" s="197" t="s">
        <v>13837</v>
      </c>
      <c r="C1241" s="197" t="s">
        <v>13039</v>
      </c>
      <c r="D1241" s="198" t="s">
        <v>211</v>
      </c>
      <c r="E1241" s="199" t="str">
        <f>VLOOKUP($D1241,'Preços Unitários'!$B:$G,2,FALSE)</f>
        <v>Armação em aço CA-50 - fornecimento, preparo e colocação</v>
      </c>
      <c r="F1241" s="197" t="str">
        <f>VLOOKUP($D1241,'Preços Unitários'!$B:$G,3,FALSE)</f>
        <v>kg</v>
      </c>
      <c r="G1241" s="200">
        <f>+'MC EC'!I167</f>
        <v>1624.3200000000056</v>
      </c>
      <c r="H1241" s="200">
        <f>VLOOKUP($D1241,'Preços Unitários'!$B:$G,6,FALSE)</f>
        <v>15.846655000000002</v>
      </c>
      <c r="I1241" s="201">
        <f t="shared" si="161"/>
        <v>25740.038649600094</v>
      </c>
      <c r="J1241" s="299"/>
    </row>
    <row r="1242" spans="2:10" ht="28.8" x14ac:dyDescent="0.3">
      <c r="B1242" s="197" t="s">
        <v>13838</v>
      </c>
      <c r="C1242" s="197" t="s">
        <v>13039</v>
      </c>
      <c r="D1242" s="198" t="s">
        <v>8761</v>
      </c>
      <c r="E1242" s="199" t="str">
        <f>VLOOKUP($D1242,'Preços Unitários'!$B:$G,2,FALSE)</f>
        <v>Guarda-corpo e corrimão metálico para passarelas para pedestres - fornecimento e instalação</v>
      </c>
      <c r="F1242" s="197" t="str">
        <f>VLOOKUP($D1242,'Preços Unitários'!$B:$G,3,FALSE)</f>
        <v>m</v>
      </c>
      <c r="G1242" s="200">
        <f>+'MC EC'!I168</f>
        <v>8.4</v>
      </c>
      <c r="H1242" s="200">
        <f>VLOOKUP($D1242,'Preços Unitários'!$B:$G,6,FALSE)</f>
        <v>928.91463099999999</v>
      </c>
      <c r="I1242" s="201">
        <f t="shared" si="161"/>
        <v>7802.8829003999999</v>
      </c>
      <c r="J1242" s="299"/>
    </row>
    <row r="1243" spans="2:10" x14ac:dyDescent="0.3">
      <c r="B1243" s="197" t="s">
        <v>13839</v>
      </c>
      <c r="C1243" s="197" t="s">
        <v>12</v>
      </c>
      <c r="D1243" s="198" t="s">
        <v>13249</v>
      </c>
      <c r="E1243" s="199" t="s">
        <v>13242</v>
      </c>
      <c r="F1243" s="197" t="s">
        <v>2904</v>
      </c>
      <c r="G1243" s="200">
        <f>+'MC EC'!I169</f>
        <v>35.200000000000003</v>
      </c>
      <c r="H1243" s="200">
        <f>+'Composições de Preços'!$F$262</f>
        <v>97.457885715492935</v>
      </c>
      <c r="I1243" s="201">
        <f t="shared" si="161"/>
        <v>3430.5175771853515</v>
      </c>
      <c r="J1243" s="299"/>
    </row>
    <row r="1244" spans="2:10" x14ac:dyDescent="0.3">
      <c r="B1244" s="197" t="s">
        <v>13840</v>
      </c>
      <c r="C1244" s="197" t="s">
        <v>12</v>
      </c>
      <c r="D1244" s="198" t="s">
        <v>13257</v>
      </c>
      <c r="E1244" s="199" t="s">
        <v>13256</v>
      </c>
      <c r="F1244" s="197" t="s">
        <v>13258</v>
      </c>
      <c r="G1244" s="200">
        <v>1</v>
      </c>
      <c r="H1244" s="200">
        <f>+'Composições de Preços'!$F$308</f>
        <v>26933.050000000003</v>
      </c>
      <c r="I1244" s="201">
        <f t="shared" si="161"/>
        <v>26933.050000000003</v>
      </c>
      <c r="J1244" s="299"/>
    </row>
    <row r="1245" spans="2:10" x14ac:dyDescent="0.3">
      <c r="B1245" s="197" t="s">
        <v>13841</v>
      </c>
      <c r="C1245" s="197" t="s">
        <v>12</v>
      </c>
      <c r="D1245" s="198" t="s">
        <v>13262</v>
      </c>
      <c r="E1245" s="199" t="s">
        <v>13259</v>
      </c>
      <c r="F1245" s="197" t="s">
        <v>13258</v>
      </c>
      <c r="G1245" s="200">
        <v>1</v>
      </c>
      <c r="H1245" s="200">
        <f>+'Composições de Preços'!$F$354</f>
        <v>51849.252999999997</v>
      </c>
      <c r="I1245" s="201">
        <f t="shared" si="161"/>
        <v>51849.252999999997</v>
      </c>
      <c r="J1245" s="299"/>
    </row>
    <row r="1246" spans="2:10" x14ac:dyDescent="0.3">
      <c r="B1246" s="197" t="s">
        <v>14548</v>
      </c>
      <c r="C1246" s="197" t="s">
        <v>12</v>
      </c>
      <c r="D1246" s="198" t="s">
        <v>13263</v>
      </c>
      <c r="E1246" s="199" t="s">
        <v>13260</v>
      </c>
      <c r="F1246" s="197" t="s">
        <v>13258</v>
      </c>
      <c r="G1246" s="200">
        <v>1</v>
      </c>
      <c r="H1246" s="200">
        <f>+'Composições de Preços'!$F$400</f>
        <v>23659.744900000002</v>
      </c>
      <c r="I1246" s="201">
        <f t="shared" si="161"/>
        <v>23659.744900000002</v>
      </c>
      <c r="J1246" s="299"/>
    </row>
    <row r="1247" spans="2:10" x14ac:dyDescent="0.3">
      <c r="B1247" s="202"/>
      <c r="C1247" s="204"/>
      <c r="D1247" s="204"/>
      <c r="E1247" s="204"/>
      <c r="F1247" s="204"/>
      <c r="G1247" s="204"/>
      <c r="H1247" s="204"/>
      <c r="I1247" s="204"/>
      <c r="J1247" s="299"/>
    </row>
    <row r="1248" spans="2:10" x14ac:dyDescent="0.3">
      <c r="B1248" s="202">
        <v>3</v>
      </c>
      <c r="C1248" s="202" t="s">
        <v>13</v>
      </c>
      <c r="D1248" s="203" t="s">
        <v>13</v>
      </c>
      <c r="E1248" s="204" t="s">
        <v>13091</v>
      </c>
      <c r="F1248" s="202" t="s">
        <v>13</v>
      </c>
      <c r="G1248" s="205">
        <v>0</v>
      </c>
      <c r="H1248" s="205">
        <v>0</v>
      </c>
      <c r="I1248" s="205">
        <f>+I1249+I1260+I1271+I1277+I1283+I1289</f>
        <v>7026460.5696502384</v>
      </c>
      <c r="J1248" s="299"/>
    </row>
    <row r="1249" spans="1:10" s="219" customFormat="1" x14ac:dyDescent="0.3">
      <c r="B1249" s="214">
        <v>0</v>
      </c>
      <c r="C1249" s="215" t="s">
        <v>13</v>
      </c>
      <c r="D1249" s="216" t="s">
        <v>13</v>
      </c>
      <c r="E1249" s="217" t="s">
        <v>13346</v>
      </c>
      <c r="F1249" s="215" t="s">
        <v>13</v>
      </c>
      <c r="G1249" s="214">
        <v>0</v>
      </c>
      <c r="H1249" s="214">
        <v>0</v>
      </c>
      <c r="I1249" s="214">
        <f>+I1250+I1255</f>
        <v>3065289.8131904188</v>
      </c>
      <c r="J1249"/>
    </row>
    <row r="1250" spans="1:10" x14ac:dyDescent="0.3">
      <c r="A1250" s="74" t="s">
        <v>14472</v>
      </c>
      <c r="B1250" s="287" t="s">
        <v>13110</v>
      </c>
      <c r="C1250" s="220" t="s">
        <v>13</v>
      </c>
      <c r="D1250" s="221" t="s">
        <v>13</v>
      </c>
      <c r="E1250" s="222" t="s">
        <v>13151</v>
      </c>
      <c r="F1250" s="220" t="s">
        <v>13</v>
      </c>
      <c r="G1250" s="223">
        <v>0</v>
      </c>
      <c r="H1250" s="223">
        <v>0</v>
      </c>
      <c r="I1250" s="223">
        <f>SUM(I1251:I1254)</f>
        <v>2081221.8964826232</v>
      </c>
      <c r="J1250" s="284" t="s">
        <v>14472</v>
      </c>
    </row>
    <row r="1251" spans="1:10" ht="28.8" x14ac:dyDescent="0.3">
      <c r="B1251" s="197" t="s">
        <v>14160</v>
      </c>
      <c r="C1251" s="197" t="s">
        <v>13039</v>
      </c>
      <c r="D1251" s="198" t="s">
        <v>3113</v>
      </c>
      <c r="E1251" s="199" t="str">
        <f>VLOOKUP($D1251,'Preços Unitários'!$B:$G,2,FALSE)</f>
        <v>Concreto fck = 30 MPa - confecção em betoneira e lançamento manual - areia e brita comerciais</v>
      </c>
      <c r="F1251" s="197" t="str">
        <f>VLOOKUP($D1251,'Preços Unitários'!$B:$G,3,FALSE)</f>
        <v>m³</v>
      </c>
      <c r="G1251" s="200">
        <f>+'Ficha EXTRAV'!L17+'Ficha EXTRAV'!R17+'Ficha EXTRAV'!W17</f>
        <v>909.63017294940073</v>
      </c>
      <c r="H1251" s="200">
        <f>VLOOKUP($D1251,'Preços Unitários'!$B:$G,6,FALSE)</f>
        <v>636.73488300000008</v>
      </c>
      <c r="I1251" s="201">
        <f t="shared" ref="I1251:I1254" si="162">+G1251*H1251</f>
        <v>579193.26174620655</v>
      </c>
      <c r="J1251" s="299"/>
    </row>
    <row r="1252" spans="1:10" ht="28.8" x14ac:dyDescent="0.3">
      <c r="B1252" s="197" t="s">
        <v>14161</v>
      </c>
      <c r="C1252" s="197" t="s">
        <v>13039</v>
      </c>
      <c r="D1252" s="198" t="s">
        <v>8335</v>
      </c>
      <c r="E1252" s="199" t="str">
        <f>VLOOKUP($D1252,'Preços Unitários'!$B:$G,2,FALSE)</f>
        <v>Fôrmas de compensado plastificado 12 mm - uso geral - utilização de 1 vez - confecção, instalação e retirada</v>
      </c>
      <c r="F1252" s="197" t="str">
        <f>VLOOKUP($D1252,'Preços Unitários'!$B:$G,3,FALSE)</f>
        <v>m²</v>
      </c>
      <c r="G1252" s="200">
        <f>+'Ficha EXTRAV'!K17+'Ficha EXTRAV'!Q17+'Ficha EXTRAV'!V17</f>
        <v>1182.7608647470031</v>
      </c>
      <c r="H1252" s="200">
        <f>VLOOKUP($D1252,'Preços Unitários'!$B:$G,6,FALSE)</f>
        <v>175.71622900000003</v>
      </c>
      <c r="I1252" s="201">
        <f t="shared" si="162"/>
        <v>207830.27896212245</v>
      </c>
      <c r="J1252" s="299"/>
    </row>
    <row r="1253" spans="1:10" ht="28.8" x14ac:dyDescent="0.3">
      <c r="B1253" s="197" t="s">
        <v>14162</v>
      </c>
      <c r="C1253" s="197" t="s">
        <v>13039</v>
      </c>
      <c r="D1253" s="198" t="s">
        <v>211</v>
      </c>
      <c r="E1253" s="199" t="str">
        <f>VLOOKUP($D1253,'Preços Unitários'!$B:$G,2,FALSE)</f>
        <v>Armação em aço CA-50 - fornecimento, preparo e colocação</v>
      </c>
      <c r="F1253" s="197" t="str">
        <f>VLOOKUP($D1253,'Preços Unitários'!$B:$G,3,FALSE)</f>
        <v>kg</v>
      </c>
      <c r="G1253" s="200">
        <f>+G1251*60</f>
        <v>54577.810376964044</v>
      </c>
      <c r="H1253" s="200">
        <f>VLOOKUP($D1253,'Preços Unitários'!$B:$G,6,FALSE)</f>
        <v>15.846655000000002</v>
      </c>
      <c r="I1253" s="201">
        <f t="shared" si="162"/>
        <v>864875.73169916926</v>
      </c>
      <c r="J1253" s="299"/>
    </row>
    <row r="1254" spans="1:10" x14ac:dyDescent="0.3">
      <c r="B1254" s="197" t="s">
        <v>14163</v>
      </c>
      <c r="C1254" s="197" t="s">
        <v>13039</v>
      </c>
      <c r="D1254" s="198" t="s">
        <v>6442</v>
      </c>
      <c r="E1254" s="199" t="str">
        <f>VLOOKUP($D1254,'Preços Unitários'!$B:$G,2,FALSE)</f>
        <v>Lastro de pedra de mão ou rachão - espalhamento manual</v>
      </c>
      <c r="F1254" s="197" t="str">
        <f>VLOOKUP($D1254,'Preços Unitários'!$B:$G,3,FALSE)</f>
        <v>m³</v>
      </c>
      <c r="G1254" s="200">
        <f>+'Ficha EXTRAV'!AC17</f>
        <v>2023.7249999999997</v>
      </c>
      <c r="H1254" s="200">
        <f>VLOOKUP($D1254,'Preços Unitários'!$B:$G,6,FALSE)</f>
        <v>212.144745</v>
      </c>
      <c r="I1254" s="201">
        <f t="shared" si="162"/>
        <v>429322.62407512491</v>
      </c>
      <c r="J1254" s="299"/>
    </row>
    <row r="1255" spans="1:10" x14ac:dyDescent="0.3">
      <c r="A1255" s="230" t="s">
        <v>14472</v>
      </c>
      <c r="B1255" s="287" t="s">
        <v>13111</v>
      </c>
      <c r="C1255" s="220" t="s">
        <v>13</v>
      </c>
      <c r="D1255" s="221" t="s">
        <v>13</v>
      </c>
      <c r="E1255" s="222" t="s">
        <v>13152</v>
      </c>
      <c r="F1255" s="220" t="s">
        <v>13</v>
      </c>
      <c r="G1255" s="223">
        <v>0</v>
      </c>
      <c r="H1255" s="223">
        <v>0</v>
      </c>
      <c r="I1255" s="223">
        <f>SUM(I1256:I1259)</f>
        <v>984067.91670779558</v>
      </c>
      <c r="J1255" s="284" t="s">
        <v>14472</v>
      </c>
    </row>
    <row r="1256" spans="1:10" ht="28.8" x14ac:dyDescent="0.3">
      <c r="B1256" s="197" t="s">
        <v>14164</v>
      </c>
      <c r="C1256" s="197" t="s">
        <v>13039</v>
      </c>
      <c r="D1256" s="198" t="s">
        <v>3113</v>
      </c>
      <c r="E1256" s="199" t="str">
        <f>VLOOKUP($D1256,'Preços Unitários'!$B:$G,2,FALSE)</f>
        <v>Concreto fck = 30 MPa - confecção em betoneira e lançamento manual - areia e brita comerciais</v>
      </c>
      <c r="F1256" s="197" t="str">
        <f>VLOOKUP($D1256,'Preços Unitários'!$B:$G,3,FALSE)</f>
        <v>m³</v>
      </c>
      <c r="G1256" s="200">
        <f>+'Ficha EXTRAV'!L18+'Ficha EXTRAV'!R18+'Ficha EXTRAV'!W18</f>
        <v>471.30356573617991</v>
      </c>
      <c r="H1256" s="200">
        <f>VLOOKUP($D1256,'Preços Unitários'!$B:$G,6,FALSE)</f>
        <v>636.73488300000008</v>
      </c>
      <c r="I1256" s="201">
        <f t="shared" ref="I1256:I1259" si="163">+G1256*H1256</f>
        <v>300095.42078650935</v>
      </c>
      <c r="J1256" s="299"/>
    </row>
    <row r="1257" spans="1:10" ht="28.8" x14ac:dyDescent="0.3">
      <c r="B1257" s="197" t="s">
        <v>14165</v>
      </c>
      <c r="C1257" s="197" t="s">
        <v>13039</v>
      </c>
      <c r="D1257" s="198" t="s">
        <v>8335</v>
      </c>
      <c r="E1257" s="199" t="str">
        <f>VLOOKUP($D1257,'Preços Unitários'!$B:$G,2,FALSE)</f>
        <v>Fôrmas de compensado plastificado 12 mm - uso geral - utilização de 1 vez - confecção, instalação e retirada</v>
      </c>
      <c r="F1257" s="197" t="str">
        <f>VLOOKUP($D1257,'Preços Unitários'!$B:$G,3,FALSE)</f>
        <v>m²</v>
      </c>
      <c r="G1257" s="200">
        <f>+'Ficha EXTRAV'!K18+'Ficha EXTRAV'!Q18+'Ficha EXTRAV'!V18</f>
        <v>722.02482868089919</v>
      </c>
      <c r="H1257" s="200">
        <f>VLOOKUP($D1257,'Preços Unitários'!$B:$G,6,FALSE)</f>
        <v>175.71622900000003</v>
      </c>
      <c r="I1257" s="201">
        <f t="shared" si="163"/>
        <v>126871.48014017867</v>
      </c>
      <c r="J1257" s="299"/>
    </row>
    <row r="1258" spans="1:10" ht="28.8" x14ac:dyDescent="0.3">
      <c r="B1258" s="197" t="s">
        <v>14166</v>
      </c>
      <c r="C1258" s="197" t="s">
        <v>13039</v>
      </c>
      <c r="D1258" s="198" t="s">
        <v>211</v>
      </c>
      <c r="E1258" s="199" t="str">
        <f>VLOOKUP($D1258,'Preços Unitários'!$B:$G,2,FALSE)</f>
        <v>Armação em aço CA-50 - fornecimento, preparo e colocação</v>
      </c>
      <c r="F1258" s="197" t="str">
        <f>VLOOKUP($D1258,'Preços Unitários'!$B:$G,3,FALSE)</f>
        <v>kg</v>
      </c>
      <c r="G1258" s="200">
        <f>+G1256*60</f>
        <v>28278.213944170795</v>
      </c>
      <c r="H1258" s="200">
        <f>VLOOKUP($D1258,'Preços Unitários'!$B:$G,6,FALSE)</f>
        <v>15.846655000000002</v>
      </c>
      <c r="I1258" s="201">
        <f t="shared" si="163"/>
        <v>448115.10038946389</v>
      </c>
      <c r="J1258" s="297"/>
    </row>
    <row r="1259" spans="1:10" x14ac:dyDescent="0.3">
      <c r="B1259" s="197" t="s">
        <v>14167</v>
      </c>
      <c r="C1259" s="197" t="s">
        <v>13039</v>
      </c>
      <c r="D1259" s="198" t="s">
        <v>6442</v>
      </c>
      <c r="E1259" s="199" t="str">
        <f>VLOOKUP($D1259,'Preços Unitários'!$B:$G,2,FALSE)</f>
        <v>Lastro de pedra de mão ou rachão - espalhamento manual</v>
      </c>
      <c r="F1259" s="197" t="str">
        <f>VLOOKUP($D1259,'Preços Unitários'!$B:$G,3,FALSE)</f>
        <v>m³</v>
      </c>
      <c r="G1259" s="200">
        <f>+'Ficha EXTRAV'!AC18</f>
        <v>513.73374999999999</v>
      </c>
      <c r="H1259" s="200">
        <f>VLOOKUP($D1259,'Preços Unitários'!$B:$G,6,FALSE)</f>
        <v>212.144745</v>
      </c>
      <c r="I1259" s="201">
        <f t="shared" si="163"/>
        <v>108985.91539164375</v>
      </c>
      <c r="J1259" s="297"/>
    </row>
    <row r="1260" spans="1:10" s="219" customFormat="1" x14ac:dyDescent="0.3">
      <c r="B1260" s="214">
        <v>0</v>
      </c>
      <c r="C1260" s="215" t="s">
        <v>13</v>
      </c>
      <c r="D1260" s="216" t="s">
        <v>13</v>
      </c>
      <c r="E1260" s="217" t="s">
        <v>13347</v>
      </c>
      <c r="F1260" s="215" t="s">
        <v>13</v>
      </c>
      <c r="G1260" s="214">
        <v>0</v>
      </c>
      <c r="H1260" s="214">
        <v>0</v>
      </c>
      <c r="I1260" s="214">
        <f>+I1261+I1266</f>
        <v>1773374.8462483194</v>
      </c>
    </row>
    <row r="1261" spans="1:10" x14ac:dyDescent="0.3">
      <c r="A1261" s="230" t="s">
        <v>14473</v>
      </c>
      <c r="B1261" s="220" t="s">
        <v>13112</v>
      </c>
      <c r="C1261" s="220" t="s">
        <v>13</v>
      </c>
      <c r="D1261" s="221" t="s">
        <v>13</v>
      </c>
      <c r="E1261" s="222" t="s">
        <v>13153</v>
      </c>
      <c r="F1261" s="220" t="s">
        <v>13</v>
      </c>
      <c r="G1261" s="223">
        <v>0</v>
      </c>
      <c r="H1261" s="223">
        <v>0</v>
      </c>
      <c r="I1261" s="223">
        <f>SUM(I1262:I1265)</f>
        <v>1094843.5190770847</v>
      </c>
      <c r="J1261" s="284" t="s">
        <v>14473</v>
      </c>
    </row>
    <row r="1262" spans="1:10" ht="28.8" x14ac:dyDescent="0.3">
      <c r="B1262" s="197" t="s">
        <v>14168</v>
      </c>
      <c r="C1262" s="197" t="s">
        <v>13039</v>
      </c>
      <c r="D1262" s="198" t="s">
        <v>3113</v>
      </c>
      <c r="E1262" s="199" t="str">
        <f>VLOOKUP($D1262,'Preços Unitários'!$B:$G,2,FALSE)</f>
        <v>Concreto fck = 30 MPa - confecção em betoneira e lançamento manual - areia e brita comerciais</v>
      </c>
      <c r="F1262" s="197" t="str">
        <f>VLOOKUP($D1262,'Preços Unitários'!$B:$G,3,FALSE)</f>
        <v>m³</v>
      </c>
      <c r="G1262" s="200">
        <f>+'Ficha EXTRAV'!L19+'Ficha EXTRAV'!R19+'Ficha EXTRAV'!W19</f>
        <v>519.70745830724013</v>
      </c>
      <c r="H1262" s="200">
        <f>VLOOKUP($D1262,'Preços Unitários'!$B:$G,6,FALSE)</f>
        <v>636.73488300000008</v>
      </c>
      <c r="I1262" s="201">
        <f t="shared" ref="I1262:I1265" si="164">+G1262*H1262</f>
        <v>330915.86765948799</v>
      </c>
      <c r="J1262" s="299"/>
    </row>
    <row r="1263" spans="1:10" ht="28.8" x14ac:dyDescent="0.3">
      <c r="B1263" s="197" t="s">
        <v>14169</v>
      </c>
      <c r="C1263" s="197" t="s">
        <v>13039</v>
      </c>
      <c r="D1263" s="198" t="s">
        <v>8335</v>
      </c>
      <c r="E1263" s="199" t="str">
        <f>VLOOKUP($D1263,'Preços Unitários'!$B:$G,2,FALSE)</f>
        <v>Fôrmas de compensado plastificado 12 mm - uso geral - utilização de 1 vez - confecção, instalação e retirada</v>
      </c>
      <c r="F1263" s="197" t="str">
        <f>VLOOKUP($D1263,'Preços Unitários'!$B:$G,3,FALSE)</f>
        <v>m²</v>
      </c>
      <c r="G1263" s="200">
        <f>+'Ficha EXTRAV'!K19+'Ficha EXTRAV'!Q19+'Ficha EXTRAV'!V19</f>
        <v>772.90229153620044</v>
      </c>
      <c r="H1263" s="200">
        <f>VLOOKUP($D1263,'Preços Unitários'!$B:$G,6,FALSE)</f>
        <v>175.71622900000003</v>
      </c>
      <c r="I1263" s="201">
        <f t="shared" si="164"/>
        <v>135811.47605419977</v>
      </c>
      <c r="J1263" s="299"/>
    </row>
    <row r="1264" spans="1:10" ht="28.8" x14ac:dyDescent="0.3">
      <c r="B1264" s="197" t="s">
        <v>14170</v>
      </c>
      <c r="C1264" s="197" t="s">
        <v>13039</v>
      </c>
      <c r="D1264" s="198" t="s">
        <v>211</v>
      </c>
      <c r="E1264" s="199" t="str">
        <f>VLOOKUP($D1264,'Preços Unitários'!$B:$G,2,FALSE)</f>
        <v>Armação em aço CA-50 - fornecimento, preparo e colocação</v>
      </c>
      <c r="F1264" s="197" t="str">
        <f>VLOOKUP($D1264,'Preços Unitários'!$B:$G,3,FALSE)</f>
        <v>kg</v>
      </c>
      <c r="G1264" s="200">
        <f>+G1262*60</f>
        <v>31182.447498434409</v>
      </c>
      <c r="H1264" s="200">
        <f>VLOOKUP($D1264,'Preços Unitários'!$B:$G,6,FALSE)</f>
        <v>15.846655000000002</v>
      </c>
      <c r="I1264" s="201">
        <f t="shared" si="164"/>
        <v>494137.48756330315</v>
      </c>
      <c r="J1264" s="299"/>
    </row>
    <row r="1265" spans="1:10" x14ac:dyDescent="0.3">
      <c r="B1265" s="197" t="s">
        <v>14171</v>
      </c>
      <c r="C1265" s="197" t="s">
        <v>13039</v>
      </c>
      <c r="D1265" s="198" t="s">
        <v>6442</v>
      </c>
      <c r="E1265" s="199" t="str">
        <f>VLOOKUP($D1265,'Preços Unitários'!$B:$G,2,FALSE)</f>
        <v>Lastro de pedra de mão ou rachão - espalhamento manual</v>
      </c>
      <c r="F1265" s="197" t="str">
        <f>VLOOKUP($D1265,'Preços Unitários'!$B:$G,3,FALSE)</f>
        <v>m³</v>
      </c>
      <c r="G1265" s="200">
        <f>+'Ficha EXTRAV'!AC19</f>
        <v>631.54375000000005</v>
      </c>
      <c r="H1265" s="200">
        <f>VLOOKUP($D1265,'Preços Unitários'!$B:$G,6,FALSE)</f>
        <v>212.144745</v>
      </c>
      <c r="I1265" s="201">
        <f t="shared" si="164"/>
        <v>133978.68780009376</v>
      </c>
      <c r="J1265" s="299"/>
    </row>
    <row r="1266" spans="1:10" x14ac:dyDescent="0.3">
      <c r="A1266" s="230" t="s">
        <v>14473</v>
      </c>
      <c r="B1266" s="220" t="s">
        <v>13113</v>
      </c>
      <c r="C1266" s="220" t="s">
        <v>13</v>
      </c>
      <c r="D1266" s="221" t="s">
        <v>13</v>
      </c>
      <c r="E1266" s="222" t="s">
        <v>13154</v>
      </c>
      <c r="F1266" s="220" t="s">
        <v>13</v>
      </c>
      <c r="G1266" s="223">
        <v>0</v>
      </c>
      <c r="H1266" s="223">
        <v>0</v>
      </c>
      <c r="I1266" s="223">
        <f>SUM(I1267:I1270)</f>
        <v>678531.32717123465</v>
      </c>
      <c r="J1266" s="284" t="s">
        <v>14473</v>
      </c>
    </row>
    <row r="1267" spans="1:10" ht="28.8" x14ac:dyDescent="0.3">
      <c r="B1267" s="197" t="s">
        <v>14172</v>
      </c>
      <c r="C1267" s="197" t="s">
        <v>13039</v>
      </c>
      <c r="D1267" s="198" t="s">
        <v>3113</v>
      </c>
      <c r="E1267" s="199" t="str">
        <f>VLOOKUP($D1267,'Preços Unitários'!$B:$G,2,FALSE)</f>
        <v>Concreto fck = 30 MPa - confecção em betoneira e lançamento manual - areia e brita comerciais</v>
      </c>
      <c r="F1267" s="197" t="str">
        <f>VLOOKUP($D1267,'Preços Unitários'!$B:$G,3,FALSE)</f>
        <v>m³</v>
      </c>
      <c r="G1267" s="200">
        <f>+'Ficha EXTRAV'!L20+'Ficha EXTRAV'!R20+'Ficha EXTRAV'!W20</f>
        <v>331.47128984329714</v>
      </c>
      <c r="H1267" s="200">
        <f>VLOOKUP($D1267,'Preços Unitários'!$B:$G,6,FALSE)</f>
        <v>636.73488300000008</v>
      </c>
      <c r="I1267" s="201">
        <f t="shared" ref="I1267:I1270" si="165">+G1267*H1267</f>
        <v>211059.33295623091</v>
      </c>
      <c r="J1267" s="291"/>
    </row>
    <row r="1268" spans="1:10" ht="28.8" x14ac:dyDescent="0.3">
      <c r="B1268" s="197" t="s">
        <v>14173</v>
      </c>
      <c r="C1268" s="197" t="s">
        <v>13039</v>
      </c>
      <c r="D1268" s="198" t="s">
        <v>8335</v>
      </c>
      <c r="E1268" s="199" t="str">
        <f>VLOOKUP($D1268,'Preços Unitários'!$B:$G,2,FALSE)</f>
        <v>Fôrmas de compensado plastificado 12 mm - uso geral - utilização de 1 vez - confecção, instalação e retirada</v>
      </c>
      <c r="F1268" s="197" t="str">
        <f>VLOOKUP($D1268,'Preços Unitários'!$B:$G,3,FALSE)</f>
        <v>m²</v>
      </c>
      <c r="G1268" s="200">
        <f>+'Ficha EXTRAV'!K20+'Ficha EXTRAV'!Q20+'Ficha EXTRAV'!V20</f>
        <v>575.05144921648537</v>
      </c>
      <c r="H1268" s="200">
        <f>VLOOKUP($D1268,'Preços Unitários'!$B:$G,6,FALSE)</f>
        <v>175.71622900000003</v>
      </c>
      <c r="I1268" s="201">
        <f t="shared" si="165"/>
        <v>101045.87213730582</v>
      </c>
      <c r="J1268" s="299"/>
    </row>
    <row r="1269" spans="1:10" ht="28.8" x14ac:dyDescent="0.3">
      <c r="B1269" s="197" t="s">
        <v>14174</v>
      </c>
      <c r="C1269" s="197" t="s">
        <v>13039</v>
      </c>
      <c r="D1269" s="198" t="s">
        <v>211</v>
      </c>
      <c r="E1269" s="199" t="str">
        <f>VLOOKUP($D1269,'Preços Unitários'!$B:$G,2,FALSE)</f>
        <v>Armação em aço CA-50 - fornecimento, preparo e colocação</v>
      </c>
      <c r="F1269" s="197" t="str">
        <f>VLOOKUP($D1269,'Preços Unitários'!$B:$G,3,FALSE)</f>
        <v>kg</v>
      </c>
      <c r="G1269" s="200">
        <f>+G1267*60</f>
        <v>19888.277390597828</v>
      </c>
      <c r="H1269" s="200">
        <f>VLOOKUP($D1269,'Preços Unitários'!$B:$G,6,FALSE)</f>
        <v>15.846655000000002</v>
      </c>
      <c r="I1269" s="201">
        <f t="shared" si="165"/>
        <v>315162.67035310407</v>
      </c>
      <c r="J1269" s="299"/>
    </row>
    <row r="1270" spans="1:10" x14ac:dyDescent="0.3">
      <c r="B1270" s="197" t="s">
        <v>14175</v>
      </c>
      <c r="C1270" s="197" t="s">
        <v>13039</v>
      </c>
      <c r="D1270" s="198" t="s">
        <v>6442</v>
      </c>
      <c r="E1270" s="199" t="str">
        <f>VLOOKUP($D1270,'Preços Unitários'!$B:$G,2,FALSE)</f>
        <v>Lastro de pedra de mão ou rachão - espalhamento manual</v>
      </c>
      <c r="F1270" s="197" t="str">
        <f>VLOOKUP($D1270,'Preços Unitários'!$B:$G,3,FALSE)</f>
        <v>m³</v>
      </c>
      <c r="G1270" s="200">
        <f>+'Ficha EXTRAV'!AC20</f>
        <v>241.64375000000001</v>
      </c>
      <c r="H1270" s="200">
        <f>VLOOKUP($D1270,'Preços Unitários'!$B:$G,6,FALSE)</f>
        <v>212.144745</v>
      </c>
      <c r="I1270" s="201">
        <f t="shared" si="165"/>
        <v>51263.451724593753</v>
      </c>
      <c r="J1270" s="299"/>
    </row>
    <row r="1271" spans="1:10" s="219" customFormat="1" x14ac:dyDescent="0.3">
      <c r="B1271" s="214">
        <v>0</v>
      </c>
      <c r="C1271" s="215" t="s">
        <v>13</v>
      </c>
      <c r="D1271" s="216" t="s">
        <v>13</v>
      </c>
      <c r="E1271" s="217" t="s">
        <v>13348</v>
      </c>
      <c r="F1271" s="215" t="s">
        <v>13</v>
      </c>
      <c r="G1271" s="214">
        <v>0</v>
      </c>
      <c r="H1271" s="214">
        <v>0</v>
      </c>
      <c r="I1271" s="214">
        <f>+I1272</f>
        <v>501206.29353343823</v>
      </c>
      <c r="J1271" s="299"/>
    </row>
    <row r="1272" spans="1:10" x14ac:dyDescent="0.3">
      <c r="A1272" s="230" t="s">
        <v>14473</v>
      </c>
      <c r="B1272" s="220" t="s">
        <v>13114</v>
      </c>
      <c r="C1272" s="220" t="s">
        <v>13</v>
      </c>
      <c r="D1272" s="221" t="s">
        <v>13</v>
      </c>
      <c r="E1272" s="222" t="s">
        <v>13155</v>
      </c>
      <c r="F1272" s="220" t="s">
        <v>13</v>
      </c>
      <c r="G1272" s="223">
        <v>0</v>
      </c>
      <c r="H1272" s="223">
        <v>0</v>
      </c>
      <c r="I1272" s="223">
        <f>SUM(I1273:I1276)</f>
        <v>501206.29353343823</v>
      </c>
      <c r="J1272" s="284" t="s">
        <v>14473</v>
      </c>
    </row>
    <row r="1273" spans="1:10" ht="28.8" x14ac:dyDescent="0.3">
      <c r="B1273" s="197" t="s">
        <v>14176</v>
      </c>
      <c r="C1273" s="197" t="s">
        <v>13039</v>
      </c>
      <c r="D1273" s="198" t="s">
        <v>3113</v>
      </c>
      <c r="E1273" s="199" t="str">
        <f>VLOOKUP($D1273,'Preços Unitários'!$B:$G,2,FALSE)</f>
        <v>Concreto fck = 30 MPa - confecção em betoneira e lançamento manual - areia e brita comerciais</v>
      </c>
      <c r="F1273" s="197" t="str">
        <f>VLOOKUP($D1273,'Preços Unitários'!$B:$G,3,FALSE)</f>
        <v>m³</v>
      </c>
      <c r="G1273" s="200">
        <f>+'Ficha EXTRAV'!L21+'Ficha EXTRAV'!R21+'Ficha EXTRAV'!W21</f>
        <v>245.42284327728629</v>
      </c>
      <c r="H1273" s="200">
        <f>VLOOKUP($D1273,'Preços Unitários'!$B:$G,6,FALSE)</f>
        <v>636.73488300000008</v>
      </c>
      <c r="I1273" s="201">
        <f t="shared" ref="I1273:I1276" si="166">+G1273*H1273</f>
        <v>156269.28539969024</v>
      </c>
      <c r="J1273" s="299"/>
    </row>
    <row r="1274" spans="1:10" ht="28.8" x14ac:dyDescent="0.3">
      <c r="B1274" s="197" t="s">
        <v>14177</v>
      </c>
      <c r="C1274" s="197" t="s">
        <v>13039</v>
      </c>
      <c r="D1274" s="198" t="s">
        <v>8335</v>
      </c>
      <c r="E1274" s="199" t="str">
        <f>VLOOKUP($D1274,'Preços Unitários'!$B:$G,2,FALSE)</f>
        <v>Fôrmas de compensado plastificado 12 mm - uso geral - utilização de 1 vez - confecção, instalação e retirada</v>
      </c>
      <c r="F1274" s="197" t="str">
        <f>VLOOKUP($D1274,'Preços Unitários'!$B:$G,3,FALSE)</f>
        <v>m²</v>
      </c>
      <c r="G1274" s="200">
        <f>+'Ficha EXTRAV'!K21+'Ficha EXTRAV'!Q21+'Ficha EXTRAV'!V21</f>
        <v>484.61721638643121</v>
      </c>
      <c r="H1274" s="200">
        <f>VLOOKUP($D1274,'Preços Unitários'!$B:$G,6,FALSE)</f>
        <v>175.71622900000003</v>
      </c>
      <c r="I1274" s="201">
        <f t="shared" si="166"/>
        <v>85155.109771900708</v>
      </c>
      <c r="J1274" s="291"/>
    </row>
    <row r="1275" spans="1:10" ht="28.8" x14ac:dyDescent="0.3">
      <c r="B1275" s="197" t="s">
        <v>14178</v>
      </c>
      <c r="C1275" s="197" t="s">
        <v>13039</v>
      </c>
      <c r="D1275" s="198" t="s">
        <v>211</v>
      </c>
      <c r="E1275" s="199" t="str">
        <f>VLOOKUP($D1275,'Preços Unitários'!$B:$G,2,FALSE)</f>
        <v>Armação em aço CA-50 - fornecimento, preparo e colocação</v>
      </c>
      <c r="F1275" s="197" t="str">
        <f>VLOOKUP($D1275,'Preços Unitários'!$B:$G,3,FALSE)</f>
        <v>kg</v>
      </c>
      <c r="G1275" s="200">
        <f>+G1273*60</f>
        <v>14725.370596637178</v>
      </c>
      <c r="H1275" s="200">
        <f>VLOOKUP($D1275,'Preços Unitários'!$B:$G,6,FALSE)</f>
        <v>15.846655000000002</v>
      </c>
      <c r="I1275" s="201">
        <f t="shared" si="166"/>
        <v>233347.86759205355</v>
      </c>
      <c r="J1275" s="299"/>
    </row>
    <row r="1276" spans="1:10" x14ac:dyDescent="0.3">
      <c r="B1276" s="197" t="s">
        <v>14179</v>
      </c>
      <c r="C1276" s="197" t="s">
        <v>13039</v>
      </c>
      <c r="D1276" s="198" t="s">
        <v>6442</v>
      </c>
      <c r="E1276" s="199" t="str">
        <f>VLOOKUP($D1276,'Preços Unitários'!$B:$G,2,FALSE)</f>
        <v>Lastro de pedra de mão ou rachão - espalhamento manual</v>
      </c>
      <c r="F1276" s="197" t="str">
        <f>VLOOKUP($D1276,'Preços Unitários'!$B:$G,3,FALSE)</f>
        <v>m³</v>
      </c>
      <c r="G1276" s="200">
        <f>+'Ficha EXTRAV'!AC21</f>
        <v>124.60375000000001</v>
      </c>
      <c r="H1276" s="200">
        <f>VLOOKUP($D1276,'Preços Unitários'!$B:$G,6,FALSE)</f>
        <v>212.144745</v>
      </c>
      <c r="I1276" s="201">
        <f t="shared" si="166"/>
        <v>26434.03076979375</v>
      </c>
      <c r="J1276" s="299"/>
    </row>
    <row r="1277" spans="1:10" s="219" customFormat="1" x14ac:dyDescent="0.3">
      <c r="B1277" s="214">
        <v>0</v>
      </c>
      <c r="C1277" s="215" t="s">
        <v>13</v>
      </c>
      <c r="D1277" s="216" t="s">
        <v>13</v>
      </c>
      <c r="E1277" s="217" t="s">
        <v>13143</v>
      </c>
      <c r="F1277" s="215" t="s">
        <v>13</v>
      </c>
      <c r="G1277" s="214">
        <v>0</v>
      </c>
      <c r="H1277" s="214">
        <v>0</v>
      </c>
      <c r="I1277" s="214">
        <f>+I1278</f>
        <v>230507.15689433168</v>
      </c>
      <c r="J1277" s="299"/>
    </row>
    <row r="1278" spans="1:10" ht="15.75" customHeight="1" x14ac:dyDescent="0.3">
      <c r="A1278" s="230" t="s">
        <v>14472</v>
      </c>
      <c r="B1278" s="220" t="s">
        <v>13115</v>
      </c>
      <c r="C1278" s="220" t="s">
        <v>13</v>
      </c>
      <c r="D1278" s="221" t="s">
        <v>13</v>
      </c>
      <c r="E1278" s="222" t="s">
        <v>13156</v>
      </c>
      <c r="F1278" s="220" t="s">
        <v>13</v>
      </c>
      <c r="G1278" s="223">
        <v>0</v>
      </c>
      <c r="H1278" s="223">
        <v>0</v>
      </c>
      <c r="I1278" s="223">
        <f>SUM(I1279:I1282)</f>
        <v>230507.15689433168</v>
      </c>
      <c r="J1278" s="284" t="s">
        <v>14472</v>
      </c>
    </row>
    <row r="1279" spans="1:10" ht="28.8" x14ac:dyDescent="0.3">
      <c r="B1279" s="197" t="s">
        <v>14180</v>
      </c>
      <c r="C1279" s="197" t="s">
        <v>13039</v>
      </c>
      <c r="D1279" s="198" t="s">
        <v>3113</v>
      </c>
      <c r="E1279" s="199" t="str">
        <f>VLOOKUP($D1279,'Preços Unitários'!$B:$G,2,FALSE)</f>
        <v>Concreto fck = 30 MPa - confecção em betoneira e lançamento manual - areia e brita comerciais</v>
      </c>
      <c r="F1279" s="197" t="str">
        <f>VLOOKUP($D1279,'Preços Unitários'!$B:$G,3,FALSE)</f>
        <v>m³</v>
      </c>
      <c r="G1279" s="200">
        <f>+'Ficha EXTRAV'!L22+'Ficha EXTRAV'!R22+'Ficha EXTRAV'!W22</f>
        <v>105.62630929211309</v>
      </c>
      <c r="H1279" s="200">
        <f>VLOOKUP($D1279,'Preços Unitários'!$B:$G,6,FALSE)</f>
        <v>636.73488300000008</v>
      </c>
      <c r="I1279" s="201">
        <f t="shared" ref="I1279:I1282" si="167">+G1279*H1279</f>
        <v>67255.955688835456</v>
      </c>
      <c r="J1279" s="299"/>
    </row>
    <row r="1280" spans="1:10" ht="28.8" x14ac:dyDescent="0.3">
      <c r="B1280" s="197" t="s">
        <v>14181</v>
      </c>
      <c r="C1280" s="197" t="s">
        <v>13039</v>
      </c>
      <c r="D1280" s="198" t="s">
        <v>8335</v>
      </c>
      <c r="E1280" s="199" t="str">
        <f>VLOOKUP($D1280,'Preços Unitários'!$B:$G,2,FALSE)</f>
        <v>Fôrmas de compensado plastificado 12 mm - uso geral - utilização de 1 vez - confecção, instalação e retirada</v>
      </c>
      <c r="F1280" s="197" t="str">
        <f>VLOOKUP($D1280,'Preços Unitários'!$B:$G,3,FALSE)</f>
        <v>m²</v>
      </c>
      <c r="G1280" s="200">
        <f>+'Ficha EXTRAV'!K22+'Ficha EXTRAV'!Q22+'Ficha EXTRAV'!V22</f>
        <v>337.82254646056543</v>
      </c>
      <c r="H1280" s="200">
        <f>VLOOKUP($D1280,'Preços Unitários'!$B:$G,6,FALSE)</f>
        <v>175.71622900000003</v>
      </c>
      <c r="I1280" s="201">
        <f t="shared" si="167"/>
        <v>59360.903935227863</v>
      </c>
      <c r="J1280" s="299"/>
    </row>
    <row r="1281" spans="1:10" ht="28.8" x14ac:dyDescent="0.3">
      <c r="B1281" s="197" t="s">
        <v>14182</v>
      </c>
      <c r="C1281" s="197" t="s">
        <v>13039</v>
      </c>
      <c r="D1281" s="198" t="s">
        <v>211</v>
      </c>
      <c r="E1281" s="199" t="str">
        <f>VLOOKUP($D1281,'Preços Unitários'!$B:$G,2,FALSE)</f>
        <v>Armação em aço CA-50 - fornecimento, preparo e colocação</v>
      </c>
      <c r="F1281" s="197" t="str">
        <f>VLOOKUP($D1281,'Preços Unitários'!$B:$G,3,FALSE)</f>
        <v>kg</v>
      </c>
      <c r="G1281" s="200">
        <f>+G1279*60</f>
        <v>6337.5785575267855</v>
      </c>
      <c r="H1281" s="200">
        <f>VLOOKUP($D1281,'Preços Unitários'!$B:$G,6,FALSE)</f>
        <v>15.846655000000002</v>
      </c>
      <c r="I1281" s="201">
        <f t="shared" si="167"/>
        <v>100429.42093652464</v>
      </c>
      <c r="J1281" s="291"/>
    </row>
    <row r="1282" spans="1:10" x14ac:dyDescent="0.3">
      <c r="B1282" s="197" t="s">
        <v>14183</v>
      </c>
      <c r="C1282" s="197" t="s">
        <v>13039</v>
      </c>
      <c r="D1282" s="198" t="s">
        <v>6442</v>
      </c>
      <c r="E1282" s="199" t="str">
        <f>VLOOKUP($D1282,'Preços Unitários'!$B:$G,2,FALSE)</f>
        <v>Lastro de pedra de mão ou rachão - espalhamento manual</v>
      </c>
      <c r="F1282" s="197" t="str">
        <f>VLOOKUP($D1282,'Preços Unitários'!$B:$G,3,FALSE)</f>
        <v>m³</v>
      </c>
      <c r="G1282" s="200">
        <f>+'Ficha EXTRAV'!AC22</f>
        <v>16.313750000000002</v>
      </c>
      <c r="H1282" s="200">
        <f>VLOOKUP($D1282,'Preços Unitários'!$B:$G,6,FALSE)</f>
        <v>212.144745</v>
      </c>
      <c r="I1282" s="201">
        <f t="shared" si="167"/>
        <v>3460.8763337437504</v>
      </c>
      <c r="J1282" s="299"/>
    </row>
    <row r="1283" spans="1:10" s="219" customFormat="1" x14ac:dyDescent="0.3">
      <c r="B1283" s="214">
        <v>0</v>
      </c>
      <c r="C1283" s="215" t="s">
        <v>13</v>
      </c>
      <c r="D1283" s="216" t="s">
        <v>13</v>
      </c>
      <c r="E1283" s="217" t="s">
        <v>13349</v>
      </c>
      <c r="F1283" s="215" t="s">
        <v>13</v>
      </c>
      <c r="G1283" s="214">
        <v>0</v>
      </c>
      <c r="H1283" s="214">
        <v>0</v>
      </c>
      <c r="I1283" s="214">
        <f>+I1284</f>
        <v>846272.88909167075</v>
      </c>
      <c r="J1283" s="299"/>
    </row>
    <row r="1284" spans="1:10" x14ac:dyDescent="0.3">
      <c r="A1284" s="230" t="s">
        <v>14474</v>
      </c>
      <c r="B1284" s="220" t="s">
        <v>13116</v>
      </c>
      <c r="C1284" s="220" t="s">
        <v>13</v>
      </c>
      <c r="D1284" s="221" t="s">
        <v>13</v>
      </c>
      <c r="E1284" s="222" t="s">
        <v>13157</v>
      </c>
      <c r="F1284" s="220" t="s">
        <v>13</v>
      </c>
      <c r="G1284" s="223">
        <v>0</v>
      </c>
      <c r="H1284" s="223">
        <v>0</v>
      </c>
      <c r="I1284" s="223">
        <f>SUM(I1285:I1288)</f>
        <v>846272.88909167075</v>
      </c>
      <c r="J1284" s="284" t="s">
        <v>14474</v>
      </c>
    </row>
    <row r="1285" spans="1:10" ht="28.8" x14ac:dyDescent="0.3">
      <c r="B1285" s="197" t="s">
        <v>14184</v>
      </c>
      <c r="C1285" s="197" t="s">
        <v>13039</v>
      </c>
      <c r="D1285" s="198" t="s">
        <v>3113</v>
      </c>
      <c r="E1285" s="199" t="str">
        <f>VLOOKUP($D1285,'Preços Unitários'!$B:$G,2,FALSE)</f>
        <v>Concreto fck = 30 MPa - confecção em betoneira e lançamento manual - areia e brita comerciais</v>
      </c>
      <c r="F1285" s="197" t="str">
        <f>VLOOKUP($D1285,'Preços Unitários'!$B:$G,3,FALSE)</f>
        <v>m³</v>
      </c>
      <c r="G1285" s="200">
        <f>+'Ficha EXTRAV'!L23+'Ficha EXTRAV'!R23+'Ficha EXTRAV'!W23</f>
        <v>409.45438715536613</v>
      </c>
      <c r="H1285" s="200">
        <f>VLOOKUP($D1285,'Preços Unitários'!$B:$G,6,FALSE)</f>
        <v>636.73488300000008</v>
      </c>
      <c r="I1285" s="201">
        <f t="shared" ref="I1285:I1288" si="168">+G1285*H1285</f>
        <v>260713.8912992088</v>
      </c>
      <c r="J1285" s="299"/>
    </row>
    <row r="1286" spans="1:10" ht="28.8" x14ac:dyDescent="0.3">
      <c r="B1286" s="197" t="s">
        <v>14185</v>
      </c>
      <c r="C1286" s="197" t="s">
        <v>13039</v>
      </c>
      <c r="D1286" s="198" t="s">
        <v>8335</v>
      </c>
      <c r="E1286" s="199" t="str">
        <f>VLOOKUP($D1286,'Preços Unitários'!$B:$G,2,FALSE)</f>
        <v>Fôrmas de compensado plastificado 12 mm - uso geral - utilização de 1 vez - confecção, instalação e retirada</v>
      </c>
      <c r="F1286" s="197" t="str">
        <f>VLOOKUP($D1286,'Preços Unitários'!$B:$G,3,FALSE)</f>
        <v>m²</v>
      </c>
      <c r="G1286" s="200">
        <f>+'Ficha EXTRAV'!K23+'Ficha EXTRAV'!Q23+'Ficha EXTRAV'!V23</f>
        <v>657.01593577683025</v>
      </c>
      <c r="H1286" s="200">
        <f>VLOOKUP($D1286,'Preços Unitários'!$B:$G,6,FALSE)</f>
        <v>175.71622900000003</v>
      </c>
      <c r="I1286" s="201">
        <f t="shared" si="168"/>
        <v>115448.36262761081</v>
      </c>
      <c r="J1286" s="299"/>
    </row>
    <row r="1287" spans="1:10" ht="28.8" x14ac:dyDescent="0.3">
      <c r="B1287" s="197" t="s">
        <v>14186</v>
      </c>
      <c r="C1287" s="197" t="s">
        <v>13039</v>
      </c>
      <c r="D1287" s="198" t="s">
        <v>211</v>
      </c>
      <c r="E1287" s="199" t="str">
        <f>VLOOKUP($D1287,'Preços Unitários'!$B:$G,2,FALSE)</f>
        <v>Armação em aço CA-50 - fornecimento, preparo e colocação</v>
      </c>
      <c r="F1287" s="197" t="str">
        <f>VLOOKUP($D1287,'Preços Unitários'!$B:$G,3,FALSE)</f>
        <v>kg</v>
      </c>
      <c r="G1287" s="200">
        <f>+G1285*60</f>
        <v>24567.263229321969</v>
      </c>
      <c r="H1287" s="200">
        <f>VLOOKUP($D1287,'Preços Unitários'!$B:$G,6,FALSE)</f>
        <v>15.846655000000002</v>
      </c>
      <c r="I1287" s="201">
        <f t="shared" si="168"/>
        <v>389308.94468925119</v>
      </c>
      <c r="J1287" s="299"/>
    </row>
    <row r="1288" spans="1:10" x14ac:dyDescent="0.3">
      <c r="B1288" s="197" t="s">
        <v>14187</v>
      </c>
      <c r="C1288" s="197" t="s">
        <v>13039</v>
      </c>
      <c r="D1288" s="198" t="s">
        <v>6442</v>
      </c>
      <c r="E1288" s="199" t="str">
        <f>VLOOKUP($D1288,'Preços Unitários'!$B:$G,2,FALSE)</f>
        <v>Lastro de pedra de mão ou rachão - espalhamento manual</v>
      </c>
      <c r="F1288" s="197" t="str">
        <f>VLOOKUP($D1288,'Preços Unitários'!$B:$G,3,FALSE)</f>
        <v>m³</v>
      </c>
      <c r="G1288" s="200">
        <f>+'Ficha EXTRAV'!AC23</f>
        <v>380.88000000000005</v>
      </c>
      <c r="H1288" s="200">
        <f>VLOOKUP($D1288,'Preços Unitários'!$B:$G,6,FALSE)</f>
        <v>212.144745</v>
      </c>
      <c r="I1288" s="201">
        <f t="shared" si="168"/>
        <v>80801.690475600015</v>
      </c>
      <c r="J1288" s="297"/>
    </row>
    <row r="1289" spans="1:10" s="219" customFormat="1" x14ac:dyDescent="0.3">
      <c r="B1289" s="214">
        <v>0</v>
      </c>
      <c r="C1289" s="215" t="s">
        <v>13</v>
      </c>
      <c r="D1289" s="216" t="s">
        <v>13</v>
      </c>
      <c r="E1289" s="217" t="s">
        <v>13146</v>
      </c>
      <c r="F1289" s="215" t="s">
        <v>13</v>
      </c>
      <c r="G1289" s="214">
        <v>0</v>
      </c>
      <c r="H1289" s="214">
        <v>0</v>
      </c>
      <c r="I1289" s="214">
        <f>+I1290+I1295</f>
        <v>609809.57069205947</v>
      </c>
      <c r="J1289" s="297"/>
    </row>
    <row r="1290" spans="1:10" x14ac:dyDescent="0.3">
      <c r="A1290" s="230" t="s">
        <v>14474</v>
      </c>
      <c r="B1290" s="220" t="s">
        <v>13117</v>
      </c>
      <c r="C1290" s="220" t="s">
        <v>13</v>
      </c>
      <c r="D1290" s="221" t="s">
        <v>13</v>
      </c>
      <c r="E1290" s="222" t="s">
        <v>13158</v>
      </c>
      <c r="F1290" s="220" t="s">
        <v>13</v>
      </c>
      <c r="G1290" s="223">
        <v>0</v>
      </c>
      <c r="H1290" s="223">
        <v>0</v>
      </c>
      <c r="I1290" s="223">
        <f>SUM(I1291:I1294)</f>
        <v>389271.0669622533</v>
      </c>
      <c r="J1290" s="284" t="s">
        <v>14474</v>
      </c>
    </row>
    <row r="1291" spans="1:10" ht="28.8" x14ac:dyDescent="0.3">
      <c r="B1291" s="197" t="s">
        <v>14188</v>
      </c>
      <c r="C1291" s="197" t="s">
        <v>13039</v>
      </c>
      <c r="D1291" s="198" t="s">
        <v>3113</v>
      </c>
      <c r="E1291" s="199" t="str">
        <f>VLOOKUP($D1291,'Preços Unitários'!$B:$G,2,FALSE)</f>
        <v>Concreto fck = 30 MPa - confecção em betoneira e lançamento manual - areia e brita comerciais</v>
      </c>
      <c r="F1291" s="197" t="str">
        <f>VLOOKUP($D1291,'Preços Unitários'!$B:$G,3,FALSE)</f>
        <v>m³</v>
      </c>
      <c r="G1291" s="200">
        <f>+'Ficha EXTRAV'!L24+'Ficha EXTRAV'!R24+'Ficha EXTRAV'!W24</f>
        <v>188.95644185374863</v>
      </c>
      <c r="H1291" s="200">
        <f>VLOOKUP($D1291,'Preços Unitários'!$B:$G,6,FALSE)</f>
        <v>636.73488300000008</v>
      </c>
      <c r="I1291" s="201">
        <f t="shared" ref="I1291:I1294" si="169">+G1291*H1291</f>
        <v>120315.15789584295</v>
      </c>
      <c r="J1291" s="299"/>
    </row>
    <row r="1292" spans="1:10" ht="28.8" x14ac:dyDescent="0.3">
      <c r="B1292" s="197" t="s">
        <v>14189</v>
      </c>
      <c r="C1292" s="197" t="s">
        <v>13039</v>
      </c>
      <c r="D1292" s="198" t="s">
        <v>8335</v>
      </c>
      <c r="E1292" s="199" t="str">
        <f>VLOOKUP($D1292,'Preços Unitários'!$B:$G,2,FALSE)</f>
        <v>Fôrmas de compensado plastificado 12 mm - uso geral - utilização de 1 vez - confecção, instalação e retirada</v>
      </c>
      <c r="F1292" s="197" t="str">
        <f>VLOOKUP($D1292,'Preços Unitários'!$B:$G,3,FALSE)</f>
        <v>m²</v>
      </c>
      <c r="G1292" s="200">
        <f>+'Ficha EXTRAV'!K24+'Ficha EXTRAV'!Q24+'Ficha EXTRAV'!V24</f>
        <v>425.28420926874315</v>
      </c>
      <c r="H1292" s="200">
        <f>VLOOKUP($D1292,'Preços Unitários'!$B:$G,6,FALSE)</f>
        <v>175.71622900000003</v>
      </c>
      <c r="I1292" s="201">
        <f t="shared" si="169"/>
        <v>74729.337505950403</v>
      </c>
      <c r="J1292" s="299"/>
    </row>
    <row r="1293" spans="1:10" ht="28.8" x14ac:dyDescent="0.3">
      <c r="B1293" s="197" t="s">
        <v>14190</v>
      </c>
      <c r="C1293" s="197" t="s">
        <v>13039</v>
      </c>
      <c r="D1293" s="198" t="s">
        <v>211</v>
      </c>
      <c r="E1293" s="199" t="str">
        <f>VLOOKUP($D1293,'Preços Unitários'!$B:$G,2,FALSE)</f>
        <v>Armação em aço CA-50 - fornecimento, preparo e colocação</v>
      </c>
      <c r="F1293" s="197" t="str">
        <f>VLOOKUP($D1293,'Preços Unitários'!$B:$G,3,FALSE)</f>
        <v>kg</v>
      </c>
      <c r="G1293" s="200">
        <f>+G1291*60</f>
        <v>11337.386511224919</v>
      </c>
      <c r="H1293" s="200">
        <f>VLOOKUP($D1293,'Preços Unitários'!$B:$G,6,FALSE)</f>
        <v>15.846655000000002</v>
      </c>
      <c r="I1293" s="201">
        <f t="shared" si="169"/>
        <v>179659.65264503495</v>
      </c>
      <c r="J1293" s="299"/>
    </row>
    <row r="1294" spans="1:10" x14ac:dyDescent="0.3">
      <c r="B1294" s="197" t="s">
        <v>14191</v>
      </c>
      <c r="C1294" s="197" t="s">
        <v>13039</v>
      </c>
      <c r="D1294" s="198" t="s">
        <v>6442</v>
      </c>
      <c r="E1294" s="199" t="str">
        <f>VLOOKUP($D1294,'Preços Unitários'!$B:$G,2,FALSE)</f>
        <v>Lastro de pedra de mão ou rachão - espalhamento manual</v>
      </c>
      <c r="F1294" s="197" t="str">
        <f>VLOOKUP($D1294,'Preços Unitários'!$B:$G,3,FALSE)</f>
        <v>m³</v>
      </c>
      <c r="G1294" s="200">
        <f>+'Ficha EXTRAV'!AC24</f>
        <v>68.665000000000006</v>
      </c>
      <c r="H1294" s="200">
        <f>VLOOKUP($D1294,'Preços Unitários'!$B:$G,6,FALSE)</f>
        <v>212.144745</v>
      </c>
      <c r="I1294" s="201">
        <f t="shared" si="169"/>
        <v>14566.918915425002</v>
      </c>
      <c r="J1294" s="299"/>
    </row>
    <row r="1295" spans="1:10" x14ac:dyDescent="0.3">
      <c r="A1295" s="230" t="s">
        <v>14474</v>
      </c>
      <c r="B1295" s="220" t="s">
        <v>13118</v>
      </c>
      <c r="C1295" s="220" t="s">
        <v>13</v>
      </c>
      <c r="D1295" s="221" t="s">
        <v>13</v>
      </c>
      <c r="E1295" s="222" t="s">
        <v>13159</v>
      </c>
      <c r="F1295" s="220" t="s">
        <v>13</v>
      </c>
      <c r="G1295" s="223">
        <v>0</v>
      </c>
      <c r="H1295" s="223">
        <v>0</v>
      </c>
      <c r="I1295" s="223">
        <f>SUM(I1296:I1299)</f>
        <v>220538.50372980617</v>
      </c>
      <c r="J1295" s="284" t="s">
        <v>14474</v>
      </c>
    </row>
    <row r="1296" spans="1:10" ht="28.8" x14ac:dyDescent="0.3">
      <c r="B1296" s="197" t="s">
        <v>14192</v>
      </c>
      <c r="C1296" s="197" t="s">
        <v>13039</v>
      </c>
      <c r="D1296" s="198" t="s">
        <v>3113</v>
      </c>
      <c r="E1296" s="199" t="str">
        <f>VLOOKUP($D1296,'Preços Unitários'!$B:$G,2,FALSE)</f>
        <v>Concreto fck = 30 MPa - confecção em betoneira e lançamento manual - areia e brita comerciais</v>
      </c>
      <c r="F1296" s="197" t="str">
        <f>VLOOKUP($D1296,'Preços Unitários'!$B:$G,3,FALSE)</f>
        <v>m³</v>
      </c>
      <c r="G1296" s="200">
        <f>+'Ficha EXTRAV'!L25+'Ficha EXTRAV'!R25+'Ficha EXTRAV'!W25</f>
        <v>100.25489598823069</v>
      </c>
      <c r="H1296" s="200">
        <f>VLOOKUP($D1296,'Preços Unitários'!$B:$G,6,FALSE)</f>
        <v>636.73488300000008</v>
      </c>
      <c r="I1296" s="201">
        <f t="shared" ref="I1296:I1299" si="170">+G1296*H1296</f>
        <v>63835.789467243245</v>
      </c>
      <c r="J1296" s="299"/>
    </row>
    <row r="1297" spans="1:10" ht="28.8" x14ac:dyDescent="0.3">
      <c r="B1297" s="197" t="s">
        <v>14193</v>
      </c>
      <c r="C1297" s="197" t="s">
        <v>13039</v>
      </c>
      <c r="D1297" s="198" t="s">
        <v>8335</v>
      </c>
      <c r="E1297" s="199" t="str">
        <f>VLOOKUP($D1297,'Preços Unitários'!$B:$G,2,FALSE)</f>
        <v>Fôrmas de compensado plastificado 12 mm - uso geral - utilização de 1 vez - confecção, instalação e retirada</v>
      </c>
      <c r="F1297" s="197" t="str">
        <f>VLOOKUP($D1297,'Preços Unitários'!$B:$G,3,FALSE)</f>
        <v>m²</v>
      </c>
      <c r="G1297" s="200">
        <f>+'Ficha EXTRAV'!K25+'Ficha EXTRAV'!Q25+'Ficha EXTRAV'!V25</f>
        <v>332.20347994115332</v>
      </c>
      <c r="H1297" s="200">
        <f>VLOOKUP($D1297,'Preços Unitários'!$B:$G,6,FALSE)</f>
        <v>175.71622900000003</v>
      </c>
      <c r="I1297" s="201">
        <f t="shared" si="170"/>
        <v>58373.542755936614</v>
      </c>
      <c r="J1297" s="299"/>
    </row>
    <row r="1298" spans="1:10" ht="28.8" x14ac:dyDescent="0.3">
      <c r="B1298" s="197" t="s">
        <v>14194</v>
      </c>
      <c r="C1298" s="197" t="s">
        <v>13039</v>
      </c>
      <c r="D1298" s="198" t="s">
        <v>211</v>
      </c>
      <c r="E1298" s="199" t="str">
        <f>VLOOKUP($D1298,'Preços Unitários'!$B:$G,2,FALSE)</f>
        <v>Armação em aço CA-50 - fornecimento, preparo e colocação</v>
      </c>
      <c r="F1298" s="197" t="str">
        <f>VLOOKUP($D1298,'Preços Unitários'!$B:$G,3,FALSE)</f>
        <v>kg</v>
      </c>
      <c r="G1298" s="200">
        <f>+G1296*60</f>
        <v>6015.2937592938415</v>
      </c>
      <c r="H1298" s="200">
        <f>VLOOKUP($D1298,'Preços Unitários'!$B:$G,6,FALSE)</f>
        <v>15.846655000000002</v>
      </c>
      <c r="I1298" s="201">
        <f t="shared" si="170"/>
        <v>95322.284927182554</v>
      </c>
      <c r="J1298" s="299"/>
    </row>
    <row r="1299" spans="1:10" x14ac:dyDescent="0.3">
      <c r="B1299" s="197" t="s">
        <v>14195</v>
      </c>
      <c r="C1299" s="197" t="s">
        <v>13039</v>
      </c>
      <c r="D1299" s="198" t="s">
        <v>6442</v>
      </c>
      <c r="E1299" s="199" t="str">
        <f>VLOOKUP($D1299,'Preços Unitários'!$B:$G,2,FALSE)</f>
        <v>Lastro de pedra de mão ou rachão - espalhamento manual</v>
      </c>
      <c r="F1299" s="197" t="str">
        <f>VLOOKUP($D1299,'Preços Unitários'!$B:$G,3,FALSE)</f>
        <v>m³</v>
      </c>
      <c r="G1299" s="200">
        <f>+'Ficha EXTRAV'!AC25</f>
        <v>14.173749999999998</v>
      </c>
      <c r="H1299" s="200">
        <f>VLOOKUP($D1299,'Preços Unitários'!$B:$G,6,FALSE)</f>
        <v>212.144745</v>
      </c>
      <c r="I1299" s="201">
        <f t="shared" si="170"/>
        <v>3006.8865794437497</v>
      </c>
      <c r="J1299"/>
    </row>
    <row r="1300" spans="1:10" x14ac:dyDescent="0.3">
      <c r="B1300" s="202"/>
      <c r="C1300" s="202"/>
      <c r="D1300" s="203"/>
      <c r="E1300" s="204"/>
      <c r="F1300" s="202"/>
      <c r="G1300" s="205"/>
      <c r="H1300" s="205"/>
      <c r="I1300" s="205"/>
      <c r="J1300" s="299"/>
    </row>
    <row r="1301" spans="1:10" x14ac:dyDescent="0.3">
      <c r="B1301" s="202">
        <v>4</v>
      </c>
      <c r="C1301" s="202" t="s">
        <v>13</v>
      </c>
      <c r="D1301" s="203" t="s">
        <v>13</v>
      </c>
      <c r="E1301" s="204" t="s">
        <v>13124</v>
      </c>
      <c r="F1301" s="202" t="s">
        <v>13</v>
      </c>
      <c r="G1301" s="205">
        <v>0</v>
      </c>
      <c r="H1301" s="205">
        <v>0</v>
      </c>
      <c r="I1301" s="205">
        <f>+I1302</f>
        <v>747061.96774545009</v>
      </c>
      <c r="J1301" s="299"/>
    </row>
    <row r="1302" spans="1:10" x14ac:dyDescent="0.3">
      <c r="A1302" s="230" t="s">
        <v>14474</v>
      </c>
      <c r="B1302" s="202" t="s">
        <v>13122</v>
      </c>
      <c r="C1302" s="202" t="s">
        <v>13</v>
      </c>
      <c r="D1302" s="203" t="s">
        <v>13</v>
      </c>
      <c r="E1302" s="204" t="s">
        <v>13266</v>
      </c>
      <c r="F1302" s="202"/>
      <c r="G1302" s="205"/>
      <c r="H1302" s="205"/>
      <c r="I1302" s="205">
        <f>SUM(I1303:I1308)</f>
        <v>747061.96774545009</v>
      </c>
      <c r="J1302" s="284" t="s">
        <v>14474</v>
      </c>
    </row>
    <row r="1303" spans="1:10" ht="43.2" x14ac:dyDescent="0.3">
      <c r="B1303" s="197" t="s">
        <v>13950</v>
      </c>
      <c r="C1303" s="197" t="s">
        <v>13039</v>
      </c>
      <c r="D1303" s="198" t="s">
        <v>11092</v>
      </c>
      <c r="E1303" s="199" t="str">
        <f>VLOOKUP($D1303,'Preços Unitários'!$B:$G,2,FALSE)</f>
        <v>Escavação, carga e transporte de material de 1ª categoria - DMT de 1.000 a 1.200 m - caminho de serviço em leito natural - com escavadeira e caminhão basculante de 14 m³</v>
      </c>
      <c r="F1303" s="197" t="str">
        <f>VLOOKUP($D1303,'Preços Unitários'!$B:$G,3,FALSE)</f>
        <v>m³</v>
      </c>
      <c r="G1303" s="200">
        <f>+'MC OBRAS'!E22</f>
        <v>490</v>
      </c>
      <c r="H1303" s="200">
        <f>VLOOKUP($D1303,'Preços Unitários'!$B:$G,6,FALSE)</f>
        <v>10.673003999999999</v>
      </c>
      <c r="I1303" s="201">
        <f t="shared" ref="I1303:I1308" si="171">+G1303*H1303</f>
        <v>5229.7719599999991</v>
      </c>
      <c r="J1303" s="299"/>
    </row>
    <row r="1304" spans="1:10" ht="28.8" x14ac:dyDescent="0.3">
      <c r="B1304" s="197" t="s">
        <v>13951</v>
      </c>
      <c r="C1304" s="197" t="s">
        <v>13039</v>
      </c>
      <c r="D1304" s="198" t="s">
        <v>11947</v>
      </c>
      <c r="E1304" s="199" t="str">
        <f>VLOOKUP($D1304,'Preços Unitários'!$B:$G,2,FALSE)</f>
        <v>Transporte com caminhão basculante de 14 m³ - rodovia em leito natural</v>
      </c>
      <c r="F1304" s="197" t="str">
        <f>VLOOKUP($D1304,'Preços Unitários'!$B:$G,3,FALSE)</f>
        <v>tkm</v>
      </c>
      <c r="G1304" s="200">
        <f>+'MC OBRAS'!E23</f>
        <v>490</v>
      </c>
      <c r="H1304" s="200">
        <f>VLOOKUP($D1304,'Preços Unitários'!$B:$G,6,FALSE)</f>
        <v>1.165011</v>
      </c>
      <c r="I1304" s="201">
        <f t="shared" si="171"/>
        <v>570.85539000000006</v>
      </c>
      <c r="J1304" s="299"/>
    </row>
    <row r="1305" spans="1:10" ht="28.8" x14ac:dyDescent="0.3">
      <c r="B1305" s="197" t="s">
        <v>13952</v>
      </c>
      <c r="C1305" s="197" t="s">
        <v>13039</v>
      </c>
      <c r="D1305" s="198" t="s">
        <v>3149</v>
      </c>
      <c r="E1305" s="199" t="str">
        <f>VLOOKUP($D1305,'Preços Unitários'!$B:$G,2,FALSE)</f>
        <v>Concreto para bombeamento fck = 30 MPa - confecção em central dosadora de 30 m³/h - areia e brita comerciais</v>
      </c>
      <c r="F1305" s="197" t="str">
        <f>VLOOKUP($D1305,'Preços Unitários'!$B:$G,3,FALSE)</f>
        <v>m³</v>
      </c>
      <c r="G1305" s="200">
        <f>+'MC OBRAS'!E24</f>
        <v>198.45</v>
      </c>
      <c r="H1305" s="200">
        <f>VLOOKUP($D1305,'Preços Unitários'!$B:$G,6,FALSE)</f>
        <v>575.92882499999996</v>
      </c>
      <c r="I1305" s="201">
        <f t="shared" si="171"/>
        <v>114293.07532124998</v>
      </c>
      <c r="J1305" s="299"/>
    </row>
    <row r="1306" spans="1:10" ht="43.2" x14ac:dyDescent="0.3">
      <c r="B1306" s="197" t="s">
        <v>13953</v>
      </c>
      <c r="C1306" s="197" t="s">
        <v>13039</v>
      </c>
      <c r="D1306" s="198" t="s">
        <v>3201</v>
      </c>
      <c r="E1306" s="199" t="str">
        <f>VLOOKUP($D1306,'Preços Unitários'!$B:$G,2,FALSE)</f>
        <v>Lançamento mecânico de concreto com bomba rebocável com capacidade de 30 m³/h - confecção em central dosadora de 30 m³/h</v>
      </c>
      <c r="F1306" s="197" t="str">
        <f>VLOOKUP($D1306,'Preços Unitários'!$B:$G,3,FALSE)</f>
        <v>m³</v>
      </c>
      <c r="G1306" s="200">
        <f>+'MC OBRAS'!E24</f>
        <v>198.45</v>
      </c>
      <c r="H1306" s="200">
        <f>VLOOKUP($D1306,'Preços Unitários'!$B:$G,6,FALSE)</f>
        <v>86.285976000000005</v>
      </c>
      <c r="I1306" s="201">
        <f t="shared" si="171"/>
        <v>17123.4519372</v>
      </c>
      <c r="J1306" s="299"/>
    </row>
    <row r="1307" spans="1:10" ht="28.8" x14ac:dyDescent="0.3">
      <c r="B1307" s="197" t="s">
        <v>13954</v>
      </c>
      <c r="C1307" s="197" t="s">
        <v>13039</v>
      </c>
      <c r="D1307" s="198" t="s">
        <v>8335</v>
      </c>
      <c r="E1307" s="199" t="str">
        <f>VLOOKUP($D1307,'Preços Unitários'!$B:$G,2,FALSE)</f>
        <v>Fôrmas de compensado plastificado 12 mm - uso geral - utilização de 1 vez - confecção, instalação e retirada</v>
      </c>
      <c r="F1307" s="197" t="str">
        <f>VLOOKUP($D1307,'Preços Unitários'!$B:$G,3,FALSE)</f>
        <v>m²</v>
      </c>
      <c r="G1307" s="200">
        <f>+'MC OBRAS'!E25</f>
        <v>1323</v>
      </c>
      <c r="H1307" s="200">
        <f>VLOOKUP($D1307,'Preços Unitários'!$B:$G,6,FALSE)</f>
        <v>175.71622900000003</v>
      </c>
      <c r="I1307" s="201">
        <f t="shared" si="171"/>
        <v>232472.57096700004</v>
      </c>
      <c r="J1307" s="299"/>
    </row>
    <row r="1308" spans="1:10" ht="28.8" x14ac:dyDescent="0.3">
      <c r="B1308" s="197" t="s">
        <v>13955</v>
      </c>
      <c r="C1308" s="197" t="s">
        <v>13039</v>
      </c>
      <c r="D1308" s="198" t="s">
        <v>211</v>
      </c>
      <c r="E1308" s="199" t="str">
        <f>VLOOKUP($D1308,'Preços Unitários'!$B:$G,2,FALSE)</f>
        <v>Armação em aço CA-50 - fornecimento, preparo e colocação</v>
      </c>
      <c r="F1308" s="197" t="str">
        <f>VLOOKUP($D1308,'Preços Unitários'!$B:$G,3,FALSE)</f>
        <v>kg</v>
      </c>
      <c r="G1308" s="200">
        <f>+'MC OBRAS'!E26</f>
        <v>23814</v>
      </c>
      <c r="H1308" s="200">
        <f>VLOOKUP($D1308,'Preços Unitários'!$B:$G,6,FALSE)</f>
        <v>15.846655000000002</v>
      </c>
      <c r="I1308" s="201">
        <f t="shared" si="171"/>
        <v>377372.24217000004</v>
      </c>
      <c r="J1308" s="291"/>
    </row>
    <row r="1309" spans="1:10" x14ac:dyDescent="0.3">
      <c r="B1309" s="202"/>
      <c r="C1309" s="202"/>
      <c r="D1309" s="203"/>
      <c r="E1309" s="204"/>
      <c r="F1309" s="202"/>
      <c r="G1309" s="205"/>
      <c r="H1309" s="205"/>
      <c r="I1309" s="205"/>
      <c r="J1309" s="299"/>
    </row>
    <row r="1310" spans="1:10" x14ac:dyDescent="0.3">
      <c r="B1310" s="202">
        <v>5</v>
      </c>
      <c r="C1310" s="202" t="s">
        <v>13</v>
      </c>
      <c r="D1310" s="203" t="s">
        <v>13</v>
      </c>
      <c r="E1310" s="204" t="s">
        <v>14246</v>
      </c>
      <c r="F1310" s="202" t="s">
        <v>13</v>
      </c>
      <c r="G1310" s="205">
        <v>0</v>
      </c>
      <c r="H1310" s="205">
        <v>0</v>
      </c>
      <c r="I1310" s="205">
        <f>+I1311+I1320+I1329+I1338</f>
        <v>413982.82623915345</v>
      </c>
      <c r="J1310" s="299"/>
    </row>
    <row r="1311" spans="1:10" x14ac:dyDescent="0.3">
      <c r="A1311" s="230" t="s">
        <v>14474</v>
      </c>
      <c r="B1311" s="224" t="s">
        <v>13125</v>
      </c>
      <c r="C1311" s="224" t="s">
        <v>13</v>
      </c>
      <c r="D1311" s="225" t="s">
        <v>13</v>
      </c>
      <c r="E1311" s="226" t="s">
        <v>14409</v>
      </c>
      <c r="F1311" s="224"/>
      <c r="G1311" s="227"/>
      <c r="H1311" s="227"/>
      <c r="I1311" s="227">
        <f>SUM(I1312:I1319)</f>
        <v>45080.695849119904</v>
      </c>
      <c r="J1311" s="284" t="s">
        <v>14474</v>
      </c>
    </row>
    <row r="1312" spans="1:10" ht="43.2" x14ac:dyDescent="0.3">
      <c r="B1312" s="197" t="s">
        <v>13127</v>
      </c>
      <c r="C1312" s="197" t="s">
        <v>13039</v>
      </c>
      <c r="D1312" s="198" t="s">
        <v>11092</v>
      </c>
      <c r="E1312" s="199" t="str">
        <f>VLOOKUP($D1312,'Preços Unitários'!$B:$G,2,FALSE)</f>
        <v>Escavação, carga e transporte de material de 1ª categoria - DMT de 1.000 a 1.200 m - caminho de serviço em leito natural - com escavadeira e caminhão basculante de 14 m³</v>
      </c>
      <c r="F1312" s="197" t="str">
        <f>VLOOKUP($D1312,'Preços Unitários'!$B:$G,3,FALSE)</f>
        <v>m³</v>
      </c>
      <c r="G1312" s="200">
        <f>+'MC GALERIAS'!O$16</f>
        <v>37.716250000000002</v>
      </c>
      <c r="H1312" s="200">
        <f>VLOOKUP($D1312,'Preços Unitários'!$B:$G,6,FALSE)</f>
        <v>10.673003999999999</v>
      </c>
      <c r="I1312" s="201">
        <f t="shared" ref="I1312:I1319" si="172">+G1312*H1312</f>
        <v>402.54568711499996</v>
      </c>
      <c r="J1312" s="299"/>
    </row>
    <row r="1313" spans="1:10" x14ac:dyDescent="0.3">
      <c r="B1313" s="197" t="s">
        <v>13128</v>
      </c>
      <c r="C1313" s="197" t="s">
        <v>13039</v>
      </c>
      <c r="D1313" s="198" t="s">
        <v>11046</v>
      </c>
      <c r="E1313" s="199" t="str">
        <f>VLOOKUP($D1313,'Preços Unitários'!$B:$G,2,FALSE)</f>
        <v>Compactação de aterros a 100% do Proctor normal</v>
      </c>
      <c r="F1313" s="197" t="str">
        <f>VLOOKUP($D1313,'Preços Unitários'!$B:$G,3,FALSE)</f>
        <v>m³</v>
      </c>
      <c r="G1313" s="200">
        <f>+'MC GALERIAS'!O$17</f>
        <v>19.565000000000001</v>
      </c>
      <c r="H1313" s="200">
        <f>VLOOKUP($D1313,'Preços Unitários'!$B:$G,6,FALSE)</f>
        <v>7.1028090000000006</v>
      </c>
      <c r="I1313" s="201">
        <f t="shared" si="172"/>
        <v>138.96645808500003</v>
      </c>
      <c r="J1313" s="299"/>
    </row>
    <row r="1314" spans="1:10" ht="28.8" x14ac:dyDescent="0.3">
      <c r="B1314" s="197" t="s">
        <v>13171</v>
      </c>
      <c r="C1314" s="197" t="s">
        <v>13039</v>
      </c>
      <c r="D1314" s="198" t="s">
        <v>11947</v>
      </c>
      <c r="E1314" s="199" t="str">
        <f>VLOOKUP($D1314,'Preços Unitários'!$B:$G,2,FALSE)</f>
        <v>Transporte com caminhão basculante de 14 m³ - rodovia em leito natural</v>
      </c>
      <c r="F1314" s="197" t="str">
        <f>VLOOKUP($D1314,'Preços Unitários'!$B:$G,3,FALSE)</f>
        <v>tkm</v>
      </c>
      <c r="G1314" s="200">
        <f>+'MC GALERIAS'!O$18</f>
        <v>127.05875</v>
      </c>
      <c r="H1314" s="200">
        <f>VLOOKUP($D1314,'Preços Unitários'!$B:$G,6,FALSE)</f>
        <v>1.165011</v>
      </c>
      <c r="I1314" s="201">
        <f t="shared" si="172"/>
        <v>148.02484139625</v>
      </c>
      <c r="J1314" s="299"/>
    </row>
    <row r="1315" spans="1:10" ht="28.8" x14ac:dyDescent="0.3">
      <c r="B1315" s="197" t="s">
        <v>13172</v>
      </c>
      <c r="C1315" s="197" t="s">
        <v>13039</v>
      </c>
      <c r="D1315" s="198" t="s">
        <v>3149</v>
      </c>
      <c r="E1315" s="199" t="str">
        <f>VLOOKUP($D1315,'Preços Unitários'!$B:$G,2,FALSE)</f>
        <v>Concreto para bombeamento fck = 30 MPa - confecção em central dosadora de 30 m³/h - areia e brita comerciais</v>
      </c>
      <c r="F1315" s="197" t="str">
        <f>VLOOKUP($D1315,'Preços Unitários'!$B:$G,3,FALSE)</f>
        <v>m³</v>
      </c>
      <c r="G1315" s="200">
        <f>+'MC GALERIAS'!O$19</f>
        <v>12.913649999999999</v>
      </c>
      <c r="H1315" s="200">
        <f>VLOOKUP($D1315,'Preços Unitários'!$B:$G,6,FALSE)</f>
        <v>575.92882499999996</v>
      </c>
      <c r="I1315" s="201">
        <f t="shared" si="172"/>
        <v>7437.3432709612489</v>
      </c>
      <c r="J1315" s="299"/>
    </row>
    <row r="1316" spans="1:10" ht="43.2" x14ac:dyDescent="0.3">
      <c r="B1316" s="197" t="s">
        <v>13173</v>
      </c>
      <c r="C1316" s="197" t="s">
        <v>13039</v>
      </c>
      <c r="D1316" s="198" t="s">
        <v>3201</v>
      </c>
      <c r="E1316" s="199" t="str">
        <f>VLOOKUP($D1316,'Preços Unitários'!$B:$G,2,FALSE)</f>
        <v>Lançamento mecânico de concreto com bomba rebocável com capacidade de 30 m³/h - confecção em central dosadora de 30 m³/h</v>
      </c>
      <c r="F1316" s="197" t="str">
        <f>VLOOKUP($D1316,'Preços Unitários'!$B:$G,3,FALSE)</f>
        <v>m³</v>
      </c>
      <c r="G1316" s="200">
        <f>+'MC GALERIAS'!O$20</f>
        <v>12.913649999999999</v>
      </c>
      <c r="H1316" s="200">
        <f>VLOOKUP($D1316,'Preços Unitários'!$B:$G,6,FALSE)</f>
        <v>86.285976000000005</v>
      </c>
      <c r="I1316" s="201">
        <f t="shared" si="172"/>
        <v>1114.2668939723999</v>
      </c>
      <c r="J1316" s="299"/>
    </row>
    <row r="1317" spans="1:10" ht="28.8" x14ac:dyDescent="0.3">
      <c r="B1317" s="197" t="s">
        <v>13174</v>
      </c>
      <c r="C1317" s="197" t="s">
        <v>13039</v>
      </c>
      <c r="D1317" s="198" t="s">
        <v>8335</v>
      </c>
      <c r="E1317" s="199" t="str">
        <f>VLOOKUP($D1317,'Preços Unitários'!$B:$G,2,FALSE)</f>
        <v>Fôrmas de compensado plastificado 12 mm - uso geral - utilização de 1 vez - confecção, instalação e retirada</v>
      </c>
      <c r="F1317" s="197" t="str">
        <f>VLOOKUP($D1317,'Preços Unitários'!$B:$G,3,FALSE)</f>
        <v>m²</v>
      </c>
      <c r="G1317" s="200">
        <f>+'MC GALERIAS'!O$21</f>
        <v>44.1</v>
      </c>
      <c r="H1317" s="200">
        <f>VLOOKUP($D1317,'Preços Unitários'!$B:$G,6,FALSE)</f>
        <v>175.71622900000003</v>
      </c>
      <c r="I1317" s="201">
        <f t="shared" si="172"/>
        <v>7749.0856989000013</v>
      </c>
      <c r="J1317" s="291"/>
    </row>
    <row r="1318" spans="1:10" ht="28.8" x14ac:dyDescent="0.3">
      <c r="B1318" s="197" t="s">
        <v>14247</v>
      </c>
      <c r="C1318" s="197" t="s">
        <v>13039</v>
      </c>
      <c r="D1318" s="198" t="s">
        <v>211</v>
      </c>
      <c r="E1318" s="199" t="str">
        <f>VLOOKUP($D1318,'Preços Unitários'!$B:$G,2,FALSE)</f>
        <v>Armação em aço CA-50 - fornecimento, preparo e colocação</v>
      </c>
      <c r="F1318" s="197" t="str">
        <f>VLOOKUP($D1318,'Preços Unitários'!$B:$G,3,FALSE)</f>
        <v>kg</v>
      </c>
      <c r="G1318" s="200">
        <f>+'MC GALERIAS'!O$22</f>
        <v>1549.6379999999999</v>
      </c>
      <c r="H1318" s="200">
        <f>VLOOKUP($D1318,'Preços Unitários'!$B:$G,6,FALSE)</f>
        <v>15.846655000000002</v>
      </c>
      <c r="I1318" s="201">
        <f t="shared" ref="I1318" si="173">+G1318*H1318</f>
        <v>24556.578760890003</v>
      </c>
      <c r="J1318" s="299"/>
    </row>
    <row r="1319" spans="1:10" ht="28.8" x14ac:dyDescent="0.3">
      <c r="B1319" s="197" t="s">
        <v>14326</v>
      </c>
      <c r="C1319" s="197" t="s">
        <v>13039</v>
      </c>
      <c r="D1319" s="198" t="s">
        <v>193</v>
      </c>
      <c r="E1319" s="199" t="str">
        <f>VLOOKUP($D1319,'Preços Unitários'!$B:$G,2,FALSE)</f>
        <v>Junta de dilatação em elastômero e perfil VV - L = 20 mm e H = 40 mm - fornecimento e instalação</v>
      </c>
      <c r="F1319" s="197" t="str">
        <f>VLOOKUP($D1319,'Preços Unitários'!$B:$G,3,FALSE)</f>
        <v>m</v>
      </c>
      <c r="G1319" s="200">
        <f>+'MC GALERIAS'!O$23</f>
        <v>10.199999999999999</v>
      </c>
      <c r="H1319" s="200">
        <f>VLOOKUP($D1319,'Preços Unitários'!$B:$G,6,FALSE)</f>
        <v>346.45923900000003</v>
      </c>
      <c r="I1319" s="201">
        <f t="shared" si="172"/>
        <v>3533.8842377999999</v>
      </c>
      <c r="J1319" s="299"/>
    </row>
    <row r="1320" spans="1:10" x14ac:dyDescent="0.3">
      <c r="A1320" s="230" t="s">
        <v>14472</v>
      </c>
      <c r="B1320" s="224" t="s">
        <v>14361</v>
      </c>
      <c r="C1320" s="224" t="s">
        <v>13</v>
      </c>
      <c r="D1320" s="225" t="s">
        <v>13</v>
      </c>
      <c r="E1320" s="226" t="s">
        <v>14410</v>
      </c>
      <c r="F1320" s="224"/>
      <c r="G1320" s="227"/>
      <c r="H1320" s="227"/>
      <c r="I1320" s="227">
        <f>SUM(I1321:I1328)</f>
        <v>107927.80780219201</v>
      </c>
      <c r="J1320" s="284" t="s">
        <v>14472</v>
      </c>
    </row>
    <row r="1321" spans="1:10" ht="43.2" x14ac:dyDescent="0.3">
      <c r="B1321" s="197" t="s">
        <v>14362</v>
      </c>
      <c r="C1321" s="197" t="s">
        <v>13039</v>
      </c>
      <c r="D1321" s="198" t="s">
        <v>11092</v>
      </c>
      <c r="E1321" s="199" t="str">
        <f>VLOOKUP($D1321,'Preços Unitários'!$B:$G,2,FALSE)</f>
        <v>Escavação, carga e transporte de material de 1ª categoria - DMT de 1.000 a 1.200 m - caminho de serviço em leito natural - com escavadeira e caminhão basculante de 14 m³</v>
      </c>
      <c r="F1321" s="197" t="str">
        <f>VLOOKUP($D1321,'Preços Unitários'!$B:$G,3,FALSE)</f>
        <v>m³</v>
      </c>
      <c r="G1321" s="200">
        <f>+'MC GALERIAS'!P$16</f>
        <v>184.35199999999998</v>
      </c>
      <c r="H1321" s="200">
        <f>VLOOKUP($D1321,'Preços Unitários'!$B:$G,6,FALSE)</f>
        <v>10.673003999999999</v>
      </c>
      <c r="I1321" s="201">
        <f t="shared" ref="I1321:I1328" si="174">+G1321*H1321</f>
        <v>1967.5896334079996</v>
      </c>
      <c r="J1321" s="299"/>
    </row>
    <row r="1322" spans="1:10" x14ac:dyDescent="0.3">
      <c r="B1322" s="197" t="s">
        <v>14363</v>
      </c>
      <c r="C1322" s="197" t="s">
        <v>13039</v>
      </c>
      <c r="D1322" s="198" t="s">
        <v>11046</v>
      </c>
      <c r="E1322" s="199" t="str">
        <f>VLOOKUP($D1322,'Preços Unitários'!$B:$G,2,FALSE)</f>
        <v>Compactação de aterros a 100% do Proctor normal</v>
      </c>
      <c r="F1322" s="197" t="str">
        <f>VLOOKUP($D1322,'Preços Unitários'!$B:$G,3,FALSE)</f>
        <v>m³</v>
      </c>
      <c r="G1322" s="200">
        <f>+'MC GALERIAS'!P$17</f>
        <v>49</v>
      </c>
      <c r="H1322" s="200">
        <f>VLOOKUP($D1322,'Preços Unitários'!$B:$G,6,FALSE)</f>
        <v>7.1028090000000006</v>
      </c>
      <c r="I1322" s="201">
        <f t="shared" si="174"/>
        <v>348.03764100000001</v>
      </c>
      <c r="J1322" s="299"/>
    </row>
    <row r="1323" spans="1:10" ht="28.8" x14ac:dyDescent="0.3">
      <c r="B1323" s="197" t="s">
        <v>14364</v>
      </c>
      <c r="C1323" s="197" t="s">
        <v>13039</v>
      </c>
      <c r="D1323" s="198" t="s">
        <v>11947</v>
      </c>
      <c r="E1323" s="199" t="str">
        <f>VLOOKUP($D1323,'Preços Unitários'!$B:$G,2,FALSE)</f>
        <v>Transporte com caminhão basculante de 14 m³ - rodovia em leito natural</v>
      </c>
      <c r="F1323" s="197" t="str">
        <f>VLOOKUP($D1323,'Preços Unitários'!$B:$G,3,FALSE)</f>
        <v>tkm</v>
      </c>
      <c r="G1323" s="200">
        <f>+'MC GALERIAS'!P$18</f>
        <v>947.46399999999994</v>
      </c>
      <c r="H1323" s="200">
        <f>VLOOKUP($D1323,'Preços Unitários'!$B:$G,6,FALSE)</f>
        <v>1.165011</v>
      </c>
      <c r="I1323" s="201">
        <f t="shared" si="174"/>
        <v>1103.8059821039999</v>
      </c>
      <c r="J1323" s="299"/>
    </row>
    <row r="1324" spans="1:10" ht="28.8" x14ac:dyDescent="0.3">
      <c r="B1324" s="197" t="s">
        <v>14365</v>
      </c>
      <c r="C1324" s="197" t="s">
        <v>13039</v>
      </c>
      <c r="D1324" s="198" t="s">
        <v>3149</v>
      </c>
      <c r="E1324" s="199" t="str">
        <f>VLOOKUP($D1324,'Preços Unitários'!$B:$G,2,FALSE)</f>
        <v>Concreto para bombeamento fck = 30 MPa - confecção em central dosadora de 30 m³/h - areia e brita comerciais</v>
      </c>
      <c r="F1324" s="197" t="str">
        <f>VLOOKUP($D1324,'Preços Unitários'!$B:$G,3,FALSE)</f>
        <v>m³</v>
      </c>
      <c r="G1324" s="200">
        <f>+'MC GALERIAS'!P$19</f>
        <v>31.08</v>
      </c>
      <c r="H1324" s="200">
        <f>VLOOKUP($D1324,'Preços Unitários'!$B:$G,6,FALSE)</f>
        <v>575.92882499999996</v>
      </c>
      <c r="I1324" s="201">
        <f t="shared" si="174"/>
        <v>17899.867880999998</v>
      </c>
      <c r="J1324" s="299"/>
    </row>
    <row r="1325" spans="1:10" ht="43.2" x14ac:dyDescent="0.3">
      <c r="B1325" s="197" t="s">
        <v>14366</v>
      </c>
      <c r="C1325" s="197" t="s">
        <v>13039</v>
      </c>
      <c r="D1325" s="198" t="s">
        <v>3201</v>
      </c>
      <c r="E1325" s="199" t="str">
        <f>VLOOKUP($D1325,'Preços Unitários'!$B:$G,2,FALSE)</f>
        <v>Lançamento mecânico de concreto com bomba rebocável com capacidade de 30 m³/h - confecção em central dosadora de 30 m³/h</v>
      </c>
      <c r="F1325" s="197" t="str">
        <f>VLOOKUP($D1325,'Preços Unitários'!$B:$G,3,FALSE)</f>
        <v>m³</v>
      </c>
      <c r="G1325" s="200">
        <f>+'MC GALERIAS'!P$20</f>
        <v>31.08</v>
      </c>
      <c r="H1325" s="200">
        <f>VLOOKUP($D1325,'Preços Unitários'!$B:$G,6,FALSE)</f>
        <v>86.285976000000005</v>
      </c>
      <c r="I1325" s="201">
        <f t="shared" si="174"/>
        <v>2681.76813408</v>
      </c>
      <c r="J1325" s="299"/>
    </row>
    <row r="1326" spans="1:10" ht="28.8" x14ac:dyDescent="0.3">
      <c r="B1326" s="197" t="s">
        <v>14367</v>
      </c>
      <c r="C1326" s="197" t="s">
        <v>13039</v>
      </c>
      <c r="D1326" s="198" t="s">
        <v>8335</v>
      </c>
      <c r="E1326" s="199" t="str">
        <f>VLOOKUP($D1326,'Preços Unitários'!$B:$G,2,FALSE)</f>
        <v>Fôrmas de compensado plastificado 12 mm - uso geral - utilização de 1 vez - confecção, instalação e retirada</v>
      </c>
      <c r="F1326" s="197" t="str">
        <f>VLOOKUP($D1326,'Preços Unitários'!$B:$G,3,FALSE)</f>
        <v>m²</v>
      </c>
      <c r="G1326" s="200">
        <f>+'MC GALERIAS'!P$21</f>
        <v>105</v>
      </c>
      <c r="H1326" s="200">
        <f>VLOOKUP($D1326,'Preços Unitários'!$B:$G,6,FALSE)</f>
        <v>175.71622900000003</v>
      </c>
      <c r="I1326" s="201">
        <f t="shared" si="174"/>
        <v>18450.204045000002</v>
      </c>
      <c r="J1326" s="297"/>
    </row>
    <row r="1327" spans="1:10" ht="28.8" x14ac:dyDescent="0.3">
      <c r="B1327" s="197" t="s">
        <v>14368</v>
      </c>
      <c r="C1327" s="197" t="s">
        <v>13039</v>
      </c>
      <c r="D1327" s="198" t="s">
        <v>211</v>
      </c>
      <c r="E1327" s="199" t="str">
        <f>VLOOKUP($D1327,'Preços Unitários'!$B:$G,2,FALSE)</f>
        <v>Armação em aço CA-50 - fornecimento, preparo e colocação</v>
      </c>
      <c r="F1327" s="197" t="str">
        <f>VLOOKUP($D1327,'Preços Unitários'!$B:$G,3,FALSE)</f>
        <v>kg</v>
      </c>
      <c r="G1327" s="200">
        <f>+'MC GALERIAS'!P$22</f>
        <v>3729.6</v>
      </c>
      <c r="H1327" s="200">
        <f>VLOOKUP($D1327,'Preços Unitários'!$B:$G,6,FALSE)</f>
        <v>15.846655000000002</v>
      </c>
      <c r="I1327" s="201">
        <f t="shared" si="174"/>
        <v>59101.684488000006</v>
      </c>
      <c r="J1327" s="297"/>
    </row>
    <row r="1328" spans="1:10" ht="28.8" x14ac:dyDescent="0.3">
      <c r="B1328" s="197" t="s">
        <v>14377</v>
      </c>
      <c r="C1328" s="197" t="s">
        <v>13039</v>
      </c>
      <c r="D1328" s="198" t="s">
        <v>193</v>
      </c>
      <c r="E1328" s="199" t="str">
        <f>VLOOKUP($D1328,'Preços Unitários'!$B:$G,2,FALSE)</f>
        <v>Junta de dilatação em elastômero e perfil VV - L = 20 mm e H = 40 mm - fornecimento e instalação</v>
      </c>
      <c r="F1328" s="197" t="str">
        <f>VLOOKUP($D1328,'Preços Unitários'!$B:$G,3,FALSE)</f>
        <v>m</v>
      </c>
      <c r="G1328" s="200">
        <f>+'MC GALERIAS'!P$23</f>
        <v>18.399999999999999</v>
      </c>
      <c r="H1328" s="200">
        <f>VLOOKUP($D1328,'Preços Unitários'!$B:$G,6,FALSE)</f>
        <v>346.45923900000003</v>
      </c>
      <c r="I1328" s="201">
        <f t="shared" si="174"/>
        <v>6374.8499976000003</v>
      </c>
      <c r="J1328" s="297"/>
    </row>
    <row r="1329" spans="1:10" x14ac:dyDescent="0.3">
      <c r="A1329" s="230" t="s">
        <v>14473</v>
      </c>
      <c r="B1329" s="224" t="s">
        <v>14369</v>
      </c>
      <c r="C1329" s="224" t="s">
        <v>13</v>
      </c>
      <c r="D1329" s="225" t="s">
        <v>13</v>
      </c>
      <c r="E1329" s="226" t="s">
        <v>14411</v>
      </c>
      <c r="F1329" s="224"/>
      <c r="G1329" s="227"/>
      <c r="H1329" s="227"/>
      <c r="I1329" s="227">
        <f>SUM(I1330:I1337)</f>
        <v>71579.210112178349</v>
      </c>
      <c r="J1329" s="284" t="s">
        <v>14473</v>
      </c>
    </row>
    <row r="1330" spans="1:10" ht="43.2" x14ac:dyDescent="0.3">
      <c r="B1330" s="197" t="s">
        <v>14370</v>
      </c>
      <c r="C1330" s="197" t="s">
        <v>13039</v>
      </c>
      <c r="D1330" s="198" t="s">
        <v>11092</v>
      </c>
      <c r="E1330" s="199" t="str">
        <f>VLOOKUP($D1330,'Preços Unitários'!$B:$G,2,FALSE)</f>
        <v>Escavação, carga e transporte de material de 1ª categoria - DMT de 1.000 a 1.200 m - caminho de serviço em leito natural - com escavadeira e caminhão basculante de 14 m³</v>
      </c>
      <c r="F1330" s="197" t="str">
        <f>VLOOKUP($D1330,'Preços Unitários'!$B:$G,3,FALSE)</f>
        <v>m³</v>
      </c>
      <c r="G1330" s="200">
        <f>+'MC GALERIAS'!Q$16</f>
        <v>164.76148000000001</v>
      </c>
      <c r="H1330" s="200">
        <f>VLOOKUP($D1330,'Preços Unitários'!$B:$G,6,FALSE)</f>
        <v>10.673003999999999</v>
      </c>
      <c r="I1330" s="201">
        <f t="shared" ref="I1330:I1337" si="175">+G1330*H1330</f>
        <v>1758.4999350859198</v>
      </c>
      <c r="J1330" s="291"/>
    </row>
    <row r="1331" spans="1:10" x14ac:dyDescent="0.3">
      <c r="B1331" s="197" t="s">
        <v>14371</v>
      </c>
      <c r="C1331" s="197" t="s">
        <v>13039</v>
      </c>
      <c r="D1331" s="198" t="s">
        <v>11046</v>
      </c>
      <c r="E1331" s="199" t="str">
        <f>VLOOKUP($D1331,'Preços Unitários'!$B:$G,2,FALSE)</f>
        <v>Compactação de aterros a 100% do Proctor normal</v>
      </c>
      <c r="F1331" s="197" t="str">
        <f>VLOOKUP($D1331,'Preços Unitários'!$B:$G,3,FALSE)</f>
        <v>m³</v>
      </c>
      <c r="G1331" s="200">
        <f>+'MC GALERIAS'!Q$17</f>
        <v>114.29600000000001</v>
      </c>
      <c r="H1331" s="200">
        <f>VLOOKUP($D1331,'Preços Unitários'!$B:$G,6,FALSE)</f>
        <v>7.1028090000000006</v>
      </c>
      <c r="I1331" s="201">
        <f t="shared" si="175"/>
        <v>811.82265746400014</v>
      </c>
      <c r="J1331" s="291"/>
    </row>
    <row r="1332" spans="1:10" ht="28.8" x14ac:dyDescent="0.3">
      <c r="B1332" s="197" t="s">
        <v>14372</v>
      </c>
      <c r="C1332" s="197" t="s">
        <v>13039</v>
      </c>
      <c r="D1332" s="198" t="s">
        <v>11947</v>
      </c>
      <c r="E1332" s="199" t="str">
        <f>VLOOKUP($D1332,'Preços Unitários'!$B:$G,2,FALSE)</f>
        <v>Transporte com caminhão basculante de 14 m³ - rodovia em leito natural</v>
      </c>
      <c r="F1332" s="197" t="str">
        <f>VLOOKUP($D1332,'Preços Unitários'!$B:$G,3,FALSE)</f>
        <v>tkm</v>
      </c>
      <c r="G1332" s="200">
        <f>+'MC GALERIAS'!Q$18</f>
        <v>353.25836000000004</v>
      </c>
      <c r="H1332" s="200">
        <f>VLOOKUP($D1332,'Preços Unitários'!$B:$G,6,FALSE)</f>
        <v>1.165011</v>
      </c>
      <c r="I1332" s="201">
        <f t="shared" si="175"/>
        <v>411.54987524196002</v>
      </c>
      <c r="J1332" s="291"/>
    </row>
    <row r="1333" spans="1:10" ht="28.8" x14ac:dyDescent="0.3">
      <c r="B1333" s="197" t="s">
        <v>14373</v>
      </c>
      <c r="C1333" s="197" t="s">
        <v>13039</v>
      </c>
      <c r="D1333" s="198" t="s">
        <v>3149</v>
      </c>
      <c r="E1333" s="199" t="str">
        <f>VLOOKUP($D1333,'Preços Unitários'!$B:$G,2,FALSE)</f>
        <v>Concreto para bombeamento fck = 30 MPa - confecção em central dosadora de 30 m³/h - areia e brita comerciais</v>
      </c>
      <c r="F1333" s="197" t="str">
        <f>VLOOKUP($D1333,'Preços Unitários'!$B:$G,3,FALSE)</f>
        <v>m³</v>
      </c>
      <c r="G1333" s="200">
        <f>+'MC GALERIAS'!Q$19</f>
        <v>20.574479999999998</v>
      </c>
      <c r="H1333" s="200">
        <f>VLOOKUP($D1333,'Preços Unitários'!$B:$G,6,FALSE)</f>
        <v>575.92882499999996</v>
      </c>
      <c r="I1333" s="201">
        <f t="shared" si="175"/>
        <v>11849.436091385998</v>
      </c>
      <c r="J1333" s="291"/>
    </row>
    <row r="1334" spans="1:10" ht="43.2" x14ac:dyDescent="0.3">
      <c r="B1334" s="197" t="s">
        <v>14374</v>
      </c>
      <c r="C1334" s="197" t="s">
        <v>13039</v>
      </c>
      <c r="D1334" s="198" t="s">
        <v>3201</v>
      </c>
      <c r="E1334" s="199" t="str">
        <f>VLOOKUP($D1334,'Preços Unitários'!$B:$G,2,FALSE)</f>
        <v>Lançamento mecânico de concreto com bomba rebocável com capacidade de 30 m³/h - confecção em central dosadora de 30 m³/h</v>
      </c>
      <c r="F1334" s="197" t="str">
        <f>VLOOKUP($D1334,'Preços Unitários'!$B:$G,3,FALSE)</f>
        <v>m³</v>
      </c>
      <c r="G1334" s="200">
        <f>+'MC GALERIAS'!Q$20</f>
        <v>20.574479999999998</v>
      </c>
      <c r="H1334" s="200">
        <f>VLOOKUP($D1334,'Preços Unitários'!$B:$G,6,FALSE)</f>
        <v>86.285976000000005</v>
      </c>
      <c r="I1334" s="201">
        <f t="shared" si="175"/>
        <v>1775.2890874924799</v>
      </c>
      <c r="J1334" s="291"/>
    </row>
    <row r="1335" spans="1:10" ht="28.8" x14ac:dyDescent="0.3">
      <c r="B1335" s="197" t="s">
        <v>14375</v>
      </c>
      <c r="C1335" s="197" t="s">
        <v>13039</v>
      </c>
      <c r="D1335" s="198" t="s">
        <v>8335</v>
      </c>
      <c r="E1335" s="199" t="str">
        <f>VLOOKUP($D1335,'Preços Unitários'!$B:$G,2,FALSE)</f>
        <v>Fôrmas de compensado plastificado 12 mm - uso geral - utilização de 1 vez - confecção, instalação e retirada</v>
      </c>
      <c r="F1335" s="197" t="str">
        <f>VLOOKUP($D1335,'Preços Unitários'!$B:$G,3,FALSE)</f>
        <v>m²</v>
      </c>
      <c r="G1335" s="200">
        <f>+'MC GALERIAS'!Q$21</f>
        <v>68.740000000000009</v>
      </c>
      <c r="H1335" s="200">
        <f>VLOOKUP($D1335,'Preços Unitários'!$B:$G,6,FALSE)</f>
        <v>175.71622900000003</v>
      </c>
      <c r="I1335" s="201">
        <f t="shared" si="175"/>
        <v>12078.733581460003</v>
      </c>
      <c r="J1335" s="291"/>
    </row>
    <row r="1336" spans="1:10" ht="28.8" x14ac:dyDescent="0.3">
      <c r="B1336" s="197" t="s">
        <v>14376</v>
      </c>
      <c r="C1336" s="197" t="s">
        <v>13039</v>
      </c>
      <c r="D1336" s="198" t="s">
        <v>211</v>
      </c>
      <c r="E1336" s="199" t="str">
        <f>VLOOKUP($D1336,'Preços Unitários'!$B:$G,2,FALSE)</f>
        <v>Armação em aço CA-50 - fornecimento, preparo e colocação</v>
      </c>
      <c r="F1336" s="197" t="str">
        <f>VLOOKUP($D1336,'Preços Unitários'!$B:$G,3,FALSE)</f>
        <v>kg</v>
      </c>
      <c r="G1336" s="200">
        <f>+'MC GALERIAS'!Q$22</f>
        <v>2468.9375999999997</v>
      </c>
      <c r="H1336" s="200">
        <f>VLOOKUP($D1336,'Preços Unitários'!$B:$G,6,FALSE)</f>
        <v>15.846655000000002</v>
      </c>
      <c r="I1336" s="201">
        <f t="shared" si="175"/>
        <v>39124.402363728004</v>
      </c>
      <c r="J1336" s="291"/>
    </row>
    <row r="1337" spans="1:10" ht="28.8" x14ac:dyDescent="0.3">
      <c r="B1337" s="197" t="s">
        <v>14378</v>
      </c>
      <c r="C1337" s="197" t="s">
        <v>13039</v>
      </c>
      <c r="D1337" s="198" t="s">
        <v>193</v>
      </c>
      <c r="E1337" s="199" t="str">
        <f>VLOOKUP($D1337,'Preços Unitários'!$B:$G,2,FALSE)</f>
        <v>Junta de dilatação em elastômero e perfil VV - L = 20 mm e H = 40 mm - fornecimento e instalação</v>
      </c>
      <c r="F1337" s="197" t="str">
        <f>VLOOKUP($D1337,'Preços Unitários'!$B:$G,3,FALSE)</f>
        <v>m</v>
      </c>
      <c r="G1337" s="200">
        <f>+'MC GALERIAS'!Q$23</f>
        <v>10.879999999999999</v>
      </c>
      <c r="H1337" s="200">
        <f>VLOOKUP($D1337,'Preços Unitários'!$B:$G,6,FALSE)</f>
        <v>346.45923900000003</v>
      </c>
      <c r="I1337" s="201">
        <f t="shared" si="175"/>
        <v>3769.47652032</v>
      </c>
      <c r="J1337" s="291"/>
    </row>
    <row r="1338" spans="1:10" x14ac:dyDescent="0.3">
      <c r="A1338" s="230" t="s">
        <v>14474</v>
      </c>
      <c r="B1338" s="224" t="s">
        <v>14379</v>
      </c>
      <c r="C1338" s="224" t="s">
        <v>13</v>
      </c>
      <c r="D1338" s="225" t="s">
        <v>13</v>
      </c>
      <c r="E1338" s="226" t="s">
        <v>14412</v>
      </c>
      <c r="F1338" s="224"/>
      <c r="G1338" s="227"/>
      <c r="H1338" s="227"/>
      <c r="I1338" s="227">
        <f>SUM(I1339:I1346)</f>
        <v>189395.11247566319</v>
      </c>
      <c r="J1338" s="284" t="s">
        <v>14474</v>
      </c>
    </row>
    <row r="1339" spans="1:10" ht="43.2" x14ac:dyDescent="0.3">
      <c r="B1339" s="197" t="s">
        <v>14380</v>
      </c>
      <c r="C1339" s="197" t="s">
        <v>13039</v>
      </c>
      <c r="D1339" s="198" t="s">
        <v>11092</v>
      </c>
      <c r="E1339" s="199" t="str">
        <f>VLOOKUP($D1339,'Preços Unitários'!$B:$G,2,FALSE)</f>
        <v>Escavação, carga e transporte de material de 1ª categoria - DMT de 1.000 a 1.200 m - caminho de serviço em leito natural - com escavadeira e caminhão basculante de 14 m³</v>
      </c>
      <c r="F1339" s="197" t="str">
        <f>VLOOKUP($D1339,'Preços Unitários'!$B:$G,3,FALSE)</f>
        <v>m³</v>
      </c>
      <c r="G1339" s="200">
        <f>+'MC GALERIAS'!R$16</f>
        <v>210.52719999999999</v>
      </c>
      <c r="H1339" s="200">
        <f>VLOOKUP($D1339,'Preços Unitários'!$B:$G,6,FALSE)</f>
        <v>10.673003999999999</v>
      </c>
      <c r="I1339" s="201">
        <f t="shared" ref="I1339:I1346" si="176">+G1339*H1339</f>
        <v>2246.9576477087999</v>
      </c>
      <c r="J1339" s="291"/>
    </row>
    <row r="1340" spans="1:10" x14ac:dyDescent="0.3">
      <c r="B1340" s="197" t="s">
        <v>14381</v>
      </c>
      <c r="C1340" s="197" t="s">
        <v>13039</v>
      </c>
      <c r="D1340" s="198" t="s">
        <v>11046</v>
      </c>
      <c r="E1340" s="199" t="str">
        <f>VLOOKUP($D1340,'Preços Unitários'!$B:$G,2,FALSE)</f>
        <v>Compactação de aterros a 100% do Proctor normal</v>
      </c>
      <c r="F1340" s="197" t="str">
        <f>VLOOKUP($D1340,'Preços Unitários'!$B:$G,3,FALSE)</f>
        <v>m³</v>
      </c>
      <c r="G1340" s="200">
        <f>+'MC GALERIAS'!R$17</f>
        <v>51.519999999999982</v>
      </c>
      <c r="H1340" s="200">
        <f>VLOOKUP($D1340,'Preços Unitários'!$B:$G,6,FALSE)</f>
        <v>7.1028090000000006</v>
      </c>
      <c r="I1340" s="201">
        <f t="shared" si="176"/>
        <v>365.9367196799999</v>
      </c>
      <c r="J1340" s="291"/>
    </row>
    <row r="1341" spans="1:10" ht="28.8" x14ac:dyDescent="0.3">
      <c r="B1341" s="197" t="s">
        <v>14382</v>
      </c>
      <c r="C1341" s="197" t="s">
        <v>13039</v>
      </c>
      <c r="D1341" s="198" t="s">
        <v>11947</v>
      </c>
      <c r="E1341" s="199" t="str">
        <f>VLOOKUP($D1341,'Preços Unitários'!$B:$G,2,FALSE)</f>
        <v>Transporte com caminhão basculante de 14 m³ - rodovia em leito natural</v>
      </c>
      <c r="F1341" s="197" t="str">
        <f>VLOOKUP($D1341,'Preços Unitários'!$B:$G,3,FALSE)</f>
        <v>tkm</v>
      </c>
      <c r="G1341" s="200">
        <f>+'MC GALERIAS'!R$18</f>
        <v>1113.0504000000001</v>
      </c>
      <c r="H1341" s="200">
        <f>VLOOKUP($D1341,'Preços Unitários'!$B:$G,6,FALSE)</f>
        <v>1.165011</v>
      </c>
      <c r="I1341" s="201">
        <f t="shared" si="176"/>
        <v>1296.7159595544001</v>
      </c>
      <c r="J1341" s="291"/>
    </row>
    <row r="1342" spans="1:10" ht="28.8" x14ac:dyDescent="0.3">
      <c r="B1342" s="197" t="s">
        <v>14383</v>
      </c>
      <c r="C1342" s="197" t="s">
        <v>13039</v>
      </c>
      <c r="D1342" s="198" t="s">
        <v>3149</v>
      </c>
      <c r="E1342" s="199" t="str">
        <f>VLOOKUP($D1342,'Preços Unitários'!$B:$G,2,FALSE)</f>
        <v>Concreto para bombeamento fck = 30 MPa - confecção em central dosadora de 30 m³/h - areia e brita comerciais</v>
      </c>
      <c r="F1342" s="197" t="str">
        <f>VLOOKUP($D1342,'Preços Unitários'!$B:$G,3,FALSE)</f>
        <v>m³</v>
      </c>
      <c r="G1342" s="200">
        <f>+'MC GALERIAS'!R$19</f>
        <v>60.72</v>
      </c>
      <c r="H1342" s="200">
        <f>VLOOKUP($D1342,'Preços Unitários'!$B:$G,6,FALSE)</f>
        <v>575.92882499999996</v>
      </c>
      <c r="I1342" s="201">
        <f t="shared" si="176"/>
        <v>34970.398254</v>
      </c>
      <c r="J1342" s="291"/>
    </row>
    <row r="1343" spans="1:10" ht="43.2" x14ac:dyDescent="0.3">
      <c r="B1343" s="197" t="s">
        <v>14384</v>
      </c>
      <c r="C1343" s="197" t="s">
        <v>13039</v>
      </c>
      <c r="D1343" s="198" t="s">
        <v>3201</v>
      </c>
      <c r="E1343" s="199" t="str">
        <f>VLOOKUP($D1343,'Preços Unitários'!$B:$G,2,FALSE)</f>
        <v>Lançamento mecânico de concreto com bomba rebocável com capacidade de 30 m³/h - confecção em central dosadora de 30 m³/h</v>
      </c>
      <c r="F1343" s="197" t="str">
        <f>VLOOKUP($D1343,'Preços Unitários'!$B:$G,3,FALSE)</f>
        <v>m³</v>
      </c>
      <c r="G1343" s="200">
        <f>+'MC GALERIAS'!R$20</f>
        <v>60.72</v>
      </c>
      <c r="H1343" s="200">
        <f>VLOOKUP($D1343,'Preços Unitários'!$B:$G,6,FALSE)</f>
        <v>86.285976000000005</v>
      </c>
      <c r="I1343" s="201">
        <f t="shared" si="176"/>
        <v>5239.2844627200002</v>
      </c>
      <c r="J1343" s="291"/>
    </row>
    <row r="1344" spans="1:10" ht="28.8" x14ac:dyDescent="0.3">
      <c r="B1344" s="197" t="s">
        <v>14385</v>
      </c>
      <c r="C1344" s="197" t="s">
        <v>13039</v>
      </c>
      <c r="D1344" s="198" t="s">
        <v>8335</v>
      </c>
      <c r="E1344" s="199" t="str">
        <f>VLOOKUP($D1344,'Preços Unitários'!$B:$G,2,FALSE)</f>
        <v>Fôrmas de compensado plastificado 12 mm - uso geral - utilização de 1 vez - confecção, instalação e retirada</v>
      </c>
      <c r="F1344" s="197" t="str">
        <f>VLOOKUP($D1344,'Preços Unitários'!$B:$G,3,FALSE)</f>
        <v>m²</v>
      </c>
      <c r="G1344" s="200">
        <f>+'MC GALERIAS'!R$21</f>
        <v>117.60000000000001</v>
      </c>
      <c r="H1344" s="200">
        <f>VLOOKUP($D1344,'Preços Unitários'!$B:$G,6,FALSE)</f>
        <v>175.71622900000003</v>
      </c>
      <c r="I1344" s="201">
        <f t="shared" si="176"/>
        <v>20664.228530400003</v>
      </c>
      <c r="J1344" s="291"/>
    </row>
    <row r="1345" spans="1:10" ht="28.8" x14ac:dyDescent="0.3">
      <c r="B1345" s="197" t="s">
        <v>14386</v>
      </c>
      <c r="C1345" s="197" t="s">
        <v>13039</v>
      </c>
      <c r="D1345" s="198" t="s">
        <v>211</v>
      </c>
      <c r="E1345" s="199" t="str">
        <f>VLOOKUP($D1345,'Preços Unitários'!$B:$G,2,FALSE)</f>
        <v>Armação em aço CA-50 - fornecimento, preparo e colocação</v>
      </c>
      <c r="F1345" s="197" t="str">
        <f>VLOOKUP($D1345,'Preços Unitários'!$B:$G,3,FALSE)</f>
        <v>kg</v>
      </c>
      <c r="G1345" s="200">
        <f>+'MC GALERIAS'!R$22</f>
        <v>7286.4</v>
      </c>
      <c r="H1345" s="200">
        <f>VLOOKUP($D1345,'Preços Unitários'!$B:$G,6,FALSE)</f>
        <v>15.846655000000002</v>
      </c>
      <c r="I1345" s="201">
        <f t="shared" si="176"/>
        <v>115465.06699200001</v>
      </c>
      <c r="J1345" s="291"/>
    </row>
    <row r="1346" spans="1:10" ht="28.8" x14ac:dyDescent="0.3">
      <c r="B1346" s="197" t="s">
        <v>14387</v>
      </c>
      <c r="C1346" s="197" t="s">
        <v>13039</v>
      </c>
      <c r="D1346" s="198" t="s">
        <v>193</v>
      </c>
      <c r="E1346" s="199" t="str">
        <f>VLOOKUP($D1346,'Preços Unitários'!$B:$G,2,FALSE)</f>
        <v>Junta de dilatação em elastômero e perfil VV - L = 20 mm e H = 40 mm - fornecimento e instalação</v>
      </c>
      <c r="F1346" s="197" t="str">
        <f>VLOOKUP($D1346,'Preços Unitários'!$B:$G,3,FALSE)</f>
        <v>m</v>
      </c>
      <c r="G1346" s="200">
        <f>+'MC GALERIAS'!R$23</f>
        <v>26.4</v>
      </c>
      <c r="H1346" s="200">
        <f>VLOOKUP($D1346,'Preços Unitários'!$B:$G,6,FALSE)</f>
        <v>346.45923900000003</v>
      </c>
      <c r="I1346" s="201">
        <f t="shared" si="176"/>
        <v>9146.5239096000005</v>
      </c>
      <c r="J1346" s="291"/>
    </row>
    <row r="1347" spans="1:10" x14ac:dyDescent="0.3">
      <c r="B1347" s="202"/>
      <c r="C1347" s="202"/>
      <c r="D1347" s="203"/>
      <c r="E1347" s="204"/>
      <c r="F1347" s="202"/>
      <c r="G1347" s="205"/>
      <c r="H1347" s="205"/>
      <c r="I1347" s="205"/>
      <c r="J1347" s="291"/>
    </row>
    <row r="1348" spans="1:10" x14ac:dyDescent="0.3">
      <c r="B1348" s="202">
        <v>6</v>
      </c>
      <c r="C1348" s="202" t="s">
        <v>13</v>
      </c>
      <c r="D1348" s="203" t="s">
        <v>13</v>
      </c>
      <c r="E1348" s="204" t="s">
        <v>13993</v>
      </c>
      <c r="F1348" s="202" t="s">
        <v>13</v>
      </c>
      <c r="G1348" s="205">
        <v>0</v>
      </c>
      <c r="H1348" s="205">
        <v>0</v>
      </c>
      <c r="I1348" s="205">
        <f>+I1349+I1357+I1365+I1373</f>
        <v>33367656.682625987</v>
      </c>
      <c r="J1348" s="291"/>
    </row>
    <row r="1349" spans="1:10" x14ac:dyDescent="0.3">
      <c r="A1349" s="230" t="s">
        <v>14473</v>
      </c>
      <c r="B1349" s="202" t="s">
        <v>13992</v>
      </c>
      <c r="C1349" s="202" t="s">
        <v>13</v>
      </c>
      <c r="D1349" s="203" t="s">
        <v>13</v>
      </c>
      <c r="E1349" s="204" t="s">
        <v>14037</v>
      </c>
      <c r="F1349" s="202"/>
      <c r="G1349" s="205"/>
      <c r="H1349" s="205"/>
      <c r="I1349" s="205">
        <f>SUM(I1350:I1356)</f>
        <v>15735373.823251845</v>
      </c>
      <c r="J1349" s="284" t="s">
        <v>14473</v>
      </c>
    </row>
    <row r="1350" spans="1:10" ht="43.2" x14ac:dyDescent="0.3">
      <c r="B1350" s="197" t="s">
        <v>14057</v>
      </c>
      <c r="C1350" s="197" t="s">
        <v>13039</v>
      </c>
      <c r="D1350" s="198" t="s">
        <v>11092</v>
      </c>
      <c r="E1350" s="199" t="str">
        <f>VLOOKUP($D1350,'Preços Unitários'!$B:$G,2,FALSE)</f>
        <v>Escavação, carga e transporte de material de 1ª categoria - DMT de 1.000 a 1.200 m - caminho de serviço em leito natural - com escavadeira e caminhão basculante de 14 m³</v>
      </c>
      <c r="F1350" s="197" t="str">
        <f>VLOOKUP($D1350,'Preços Unitários'!$B:$G,3,FALSE)</f>
        <v>m³</v>
      </c>
      <c r="G1350" s="200">
        <f>+'MC TUBULAÇÕES'!E15</f>
        <v>4703.9999999999991</v>
      </c>
      <c r="H1350" s="200">
        <f>VLOOKUP($D1350,'Preços Unitários'!$B:$G,6,FALSE)</f>
        <v>10.673003999999999</v>
      </c>
      <c r="I1350" s="201">
        <f t="shared" ref="I1350:I1356" si="177">+G1350*H1350</f>
        <v>50205.810815999983</v>
      </c>
      <c r="J1350" s="291"/>
    </row>
    <row r="1351" spans="1:10" x14ac:dyDescent="0.3">
      <c r="B1351" s="197" t="s">
        <v>14058</v>
      </c>
      <c r="C1351" s="197" t="s">
        <v>13039</v>
      </c>
      <c r="D1351" s="198" t="s">
        <v>11046</v>
      </c>
      <c r="E1351" s="199" t="str">
        <f>VLOOKUP($D1351,'Preços Unitários'!$B:$G,2,FALSE)</f>
        <v>Compactação de aterros a 100% do Proctor normal</v>
      </c>
      <c r="F1351" s="197" t="str">
        <f>VLOOKUP($D1351,'Preços Unitários'!$B:$G,3,FALSE)</f>
        <v>m³</v>
      </c>
      <c r="G1351" s="200">
        <f>+'MC TUBULAÇÕES'!E16</f>
        <v>11545.379999999997</v>
      </c>
      <c r="H1351" s="200">
        <f>VLOOKUP($D1351,'Preços Unitários'!$B:$G,6,FALSE)</f>
        <v>7.1028090000000006</v>
      </c>
      <c r="I1351" s="201">
        <f t="shared" si="177"/>
        <v>82004.628972419989</v>
      </c>
      <c r="J1351" s="291"/>
    </row>
    <row r="1352" spans="1:10" ht="28.8" x14ac:dyDescent="0.3">
      <c r="B1352" s="197" t="s">
        <v>14059</v>
      </c>
      <c r="C1352" s="197" t="s">
        <v>13039</v>
      </c>
      <c r="D1352" s="198" t="s">
        <v>11947</v>
      </c>
      <c r="E1352" s="199" t="str">
        <f>VLOOKUP($D1352,'Preços Unitários'!$B:$G,2,FALSE)</f>
        <v>Transporte com caminhão basculante de 14 m³ - rodovia em leito natural</v>
      </c>
      <c r="F1352" s="197" t="str">
        <f>VLOOKUP($D1352,'Preços Unitários'!$B:$G,3,FALSE)</f>
        <v>tkm</v>
      </c>
      <c r="G1352" s="200">
        <f>+'MC TUBULAÇÕES'!E17</f>
        <v>3858.029951999999</v>
      </c>
      <c r="H1352" s="200">
        <f>VLOOKUP($D1352,'Preços Unitários'!$B:$G,6,FALSE)</f>
        <v>1.165011</v>
      </c>
      <c r="I1352" s="201">
        <f t="shared" si="177"/>
        <v>4494.6473324094704</v>
      </c>
      <c r="J1352" s="291"/>
    </row>
    <row r="1353" spans="1:10" ht="57.6" x14ac:dyDescent="0.3">
      <c r="B1353" s="197" t="s">
        <v>14060</v>
      </c>
      <c r="C1353" s="197" t="s">
        <v>13039</v>
      </c>
      <c r="D1353" s="198" t="s">
        <v>6992</v>
      </c>
      <c r="E1353" s="199" t="str">
        <f>VLOOKUP($D1353,'Preços Unitários'!$B:$G,2,FALSE)</f>
        <v>Escoramento contínuo de valas com tábuas de 2,5 x 30 cm e longarinas de 6 x 16 cm - estroncas a cada metro não incluídas - profundidade de até 4 m - madeira com utilização de 3 vezes - confecção, instalação e retirada</v>
      </c>
      <c r="F1353" s="197" t="str">
        <f>VLOOKUP($D1353,'Preços Unitários'!$B:$G,3,FALSE)</f>
        <v>m²</v>
      </c>
      <c r="G1353" s="200">
        <f>+'MC TUBULAÇÕES'!E18</f>
        <v>5880</v>
      </c>
      <c r="H1353" s="200">
        <f>VLOOKUP($D1353,'Preços Unitários'!$B:$G,6,FALSE)</f>
        <v>193.692474</v>
      </c>
      <c r="I1353" s="201">
        <f t="shared" si="177"/>
        <v>1138911.74712</v>
      </c>
      <c r="J1353" s="291"/>
    </row>
    <row r="1354" spans="1:10" x14ac:dyDescent="0.3">
      <c r="B1354" s="197" t="s">
        <v>14061</v>
      </c>
      <c r="C1354" s="197" t="s">
        <v>13039</v>
      </c>
      <c r="D1354" s="198" t="s">
        <v>2937</v>
      </c>
      <c r="E1354" s="199" t="str">
        <f>VLOOKUP($D1354,'Preços Unitários'!$B:$G,2,FALSE)</f>
        <v>Lastro de brita comercial - espalhamento mecânico</v>
      </c>
      <c r="F1354" s="197" t="s">
        <v>2904</v>
      </c>
      <c r="G1354" s="200">
        <v>882</v>
      </c>
      <c r="H1354" s="200">
        <f>VLOOKUP($D1354,'Preços Unitários'!$B:$G,6,FALSE)</f>
        <v>214.762888</v>
      </c>
      <c r="I1354" s="201">
        <f t="shared" si="177"/>
        <v>189420.86721600001</v>
      </c>
      <c r="J1354" s="291"/>
    </row>
    <row r="1355" spans="1:10" ht="28.8" x14ac:dyDescent="0.3">
      <c r="B1355" s="197" t="s">
        <v>14062</v>
      </c>
      <c r="C1355" s="197" t="s">
        <v>13039</v>
      </c>
      <c r="D1355" s="198" t="s">
        <v>3137</v>
      </c>
      <c r="E1355" s="199" t="str">
        <f>VLOOKUP($D1355,'Preços Unitários'!$B:$G,2,FALSE)</f>
        <v>Concreto magro - confecção em betoneira e lançamento manual - areia e brita comerciais</v>
      </c>
      <c r="F1355" s="197" t="str">
        <f>VLOOKUP($D1355,'Preços Unitários'!$B:$G,3,FALSE)</f>
        <v>m³</v>
      </c>
      <c r="G1355" s="200">
        <f>+'MC TUBULAÇÕES'!E20</f>
        <v>294</v>
      </c>
      <c r="H1355" s="200">
        <f>VLOOKUP($D1355,'Preços Unitários'!$B:$G,6,FALSE)</f>
        <v>573.22299299999997</v>
      </c>
      <c r="I1355" s="201">
        <f t="shared" si="177"/>
        <v>168527.55994199999</v>
      </c>
      <c r="J1355" s="291"/>
    </row>
    <row r="1356" spans="1:10" x14ac:dyDescent="0.3">
      <c r="B1356" s="197" t="s">
        <v>14570</v>
      </c>
      <c r="C1356" s="204" t="s">
        <v>12</v>
      </c>
      <c r="D1356" s="197" t="s">
        <v>12</v>
      </c>
      <c r="E1356" s="204" t="s">
        <v>13169</v>
      </c>
      <c r="F1356" s="202" t="s">
        <v>195</v>
      </c>
      <c r="G1356" s="200">
        <f>+'MC TUBULAÇÕES'!E21</f>
        <v>2100</v>
      </c>
      <c r="H1356" s="200">
        <f>+'Tubulações ER'!I26</f>
        <v>6715.1469342157216</v>
      </c>
      <c r="I1356" s="201">
        <f t="shared" si="177"/>
        <v>14101808.561853016</v>
      </c>
      <c r="J1356" s="291"/>
    </row>
    <row r="1357" spans="1:10" x14ac:dyDescent="0.3">
      <c r="A1357" s="230" t="s">
        <v>14473</v>
      </c>
      <c r="B1357" s="202" t="s">
        <v>14017</v>
      </c>
      <c r="C1357" s="202" t="s">
        <v>13</v>
      </c>
      <c r="D1357" s="203" t="s">
        <v>13</v>
      </c>
      <c r="E1357" s="204" t="s">
        <v>14038</v>
      </c>
      <c r="F1357" s="202"/>
      <c r="G1357" s="205"/>
      <c r="H1357" s="205"/>
      <c r="I1357" s="205">
        <f>SUM(I1358:I1364)</f>
        <v>3705472.2102577733</v>
      </c>
      <c r="J1357" s="284" t="s">
        <v>14473</v>
      </c>
    </row>
    <row r="1358" spans="1:10" ht="43.2" x14ac:dyDescent="0.3">
      <c r="B1358" s="197" t="s">
        <v>14068</v>
      </c>
      <c r="C1358" s="197" t="s">
        <v>13039</v>
      </c>
      <c r="D1358" s="198" t="s">
        <v>11092</v>
      </c>
      <c r="E1358" s="199" t="str">
        <f>VLOOKUP($D1358,'Preços Unitários'!$B:$G,2,FALSE)</f>
        <v>Escavação, carga e transporte de material de 1ª categoria - DMT de 1.000 a 1.200 m - caminho de serviço em leito natural - com escavadeira e caminhão basculante de 14 m³</v>
      </c>
      <c r="F1358" s="197" t="str">
        <f>VLOOKUP($D1358,'Preços Unitários'!$B:$G,3,FALSE)</f>
        <v>m³</v>
      </c>
      <c r="G1358" s="200">
        <f>+'MC TUBULAÇÕES'!E25</f>
        <v>798</v>
      </c>
      <c r="H1358" s="200">
        <f>VLOOKUP($D1358,'Preços Unitários'!$B:$G,6,FALSE)</f>
        <v>10.673003999999999</v>
      </c>
      <c r="I1358" s="201">
        <f t="shared" ref="I1358:I1364" si="178">+G1358*H1358</f>
        <v>8517.0571919999984</v>
      </c>
      <c r="J1358" s="291"/>
    </row>
    <row r="1359" spans="1:10" x14ac:dyDescent="0.3">
      <c r="B1359" s="197" t="s">
        <v>14069</v>
      </c>
      <c r="C1359" s="197" t="s">
        <v>13039</v>
      </c>
      <c r="D1359" s="198" t="s">
        <v>11046</v>
      </c>
      <c r="E1359" s="199" t="str">
        <f>VLOOKUP($D1359,'Preços Unitários'!$B:$G,2,FALSE)</f>
        <v>Compactação de aterros a 100% do Proctor normal</v>
      </c>
      <c r="F1359" s="197" t="str">
        <f>VLOOKUP($D1359,'Preços Unitários'!$B:$G,3,FALSE)</f>
        <v>m³</v>
      </c>
      <c r="G1359" s="200">
        <f>+'MC TUBULAÇÕES'!E26</f>
        <v>1316.1733199999999</v>
      </c>
      <c r="H1359" s="200">
        <f>VLOOKUP($D1359,'Preços Unitários'!$B:$G,6,FALSE)</f>
        <v>7.1028090000000006</v>
      </c>
      <c r="I1359" s="201">
        <f t="shared" si="178"/>
        <v>9348.5277028558794</v>
      </c>
      <c r="J1359" s="291"/>
    </row>
    <row r="1360" spans="1:10" ht="28.8" x14ac:dyDescent="0.3">
      <c r="B1360" s="197" t="s">
        <v>14070</v>
      </c>
      <c r="C1360" s="197" t="s">
        <v>13039</v>
      </c>
      <c r="D1360" s="198" t="s">
        <v>11947</v>
      </c>
      <c r="E1360" s="199" t="str">
        <f>VLOOKUP($D1360,'Preços Unitários'!$B:$G,2,FALSE)</f>
        <v>Transporte com caminhão basculante de 14 m³ - rodovia em leito natural</v>
      </c>
      <c r="F1360" s="197" t="str">
        <f>VLOOKUP($D1360,'Preços Unitários'!$B:$G,3,FALSE)</f>
        <v>tkm</v>
      </c>
      <c r="G1360" s="200">
        <f>+'MC TUBULAÇÕES'!E27</f>
        <v>609.97523999999999</v>
      </c>
      <c r="H1360" s="200">
        <f>VLOOKUP($D1360,'Preços Unitários'!$B:$G,6,FALSE)</f>
        <v>1.165011</v>
      </c>
      <c r="I1360" s="201">
        <f t="shared" si="178"/>
        <v>710.62786432763994</v>
      </c>
      <c r="J1360" s="291"/>
    </row>
    <row r="1361" spans="1:10" ht="57.6" x14ac:dyDescent="0.3">
      <c r="B1361" s="197" t="s">
        <v>14071</v>
      </c>
      <c r="C1361" s="197" t="s">
        <v>13039</v>
      </c>
      <c r="D1361" s="198" t="s">
        <v>6992</v>
      </c>
      <c r="E1361" s="199" t="str">
        <f>VLOOKUP($D1361,'Preços Unitários'!$B:$G,2,FALSE)</f>
        <v>Escoramento contínuo de valas com tábuas de 2,5 x 30 cm e longarinas de 6 x 16 cm - estroncas a cada metro não incluídas - profundidade de até 4 m - madeira com utilização de 3 vezes - confecção, instalação e retirada</v>
      </c>
      <c r="F1361" s="197" t="str">
        <f>VLOOKUP($D1361,'Preços Unitários'!$B:$G,3,FALSE)</f>
        <v>m²</v>
      </c>
      <c r="G1361" s="200">
        <f>+'MC TUBULAÇÕES'!E28</f>
        <v>1330</v>
      </c>
      <c r="H1361" s="200">
        <f>VLOOKUP($D1361,'Preços Unitários'!$B:$G,6,FALSE)</f>
        <v>193.692474</v>
      </c>
      <c r="I1361" s="201">
        <f t="shared" si="178"/>
        <v>257610.99042000002</v>
      </c>
      <c r="J1361" s="291"/>
    </row>
    <row r="1362" spans="1:10" x14ac:dyDescent="0.3">
      <c r="B1362" s="197" t="s">
        <v>14072</v>
      </c>
      <c r="C1362" s="197" t="s">
        <v>13039</v>
      </c>
      <c r="D1362" s="198" t="s">
        <v>2937</v>
      </c>
      <c r="E1362" s="199" t="str">
        <f>VLOOKUP($D1362,'Preços Unitários'!$B:$G,2,FALSE)</f>
        <v>Lastro de brita comercial - espalhamento mecânico</v>
      </c>
      <c r="F1362" s="197" t="s">
        <v>2904</v>
      </c>
      <c r="G1362" s="200">
        <v>195.5</v>
      </c>
      <c r="H1362" s="200">
        <f>VLOOKUP($D1362,'Preços Unitários'!$B:$G,6,FALSE)</f>
        <v>214.762888</v>
      </c>
      <c r="I1362" s="201">
        <f t="shared" si="178"/>
        <v>41986.144604000001</v>
      </c>
      <c r="J1362" s="291"/>
    </row>
    <row r="1363" spans="1:10" ht="28.8" x14ac:dyDescent="0.3">
      <c r="B1363" s="197" t="s">
        <v>14073</v>
      </c>
      <c r="C1363" s="197" t="s">
        <v>13039</v>
      </c>
      <c r="D1363" s="198" t="s">
        <v>3137</v>
      </c>
      <c r="E1363" s="199" t="str">
        <f>VLOOKUP($D1363,'Preços Unitários'!$B:$G,2,FALSE)</f>
        <v>Concreto magro - confecção em betoneira e lançamento manual - areia e brita comerciais</v>
      </c>
      <c r="F1363" s="197" t="str">
        <f>VLOOKUP($D1363,'Preços Unitários'!$B:$G,3,FALSE)</f>
        <v>m³</v>
      </c>
      <c r="G1363" s="200">
        <f>+'MC TUBULAÇÕES'!E30</f>
        <v>66.5</v>
      </c>
      <c r="H1363" s="200">
        <f>VLOOKUP($D1363,'Preços Unitários'!$B:$G,6,FALSE)</f>
        <v>573.22299299999997</v>
      </c>
      <c r="I1363" s="201">
        <f t="shared" si="178"/>
        <v>38119.329034499999</v>
      </c>
      <c r="J1363" s="291"/>
    </row>
    <row r="1364" spans="1:10" x14ac:dyDescent="0.3">
      <c r="B1364" s="197" t="s">
        <v>14569</v>
      </c>
      <c r="C1364" s="204" t="s">
        <v>12</v>
      </c>
      <c r="D1364" s="197" t="s">
        <v>12</v>
      </c>
      <c r="E1364" s="204" t="s">
        <v>13167</v>
      </c>
      <c r="F1364" s="202" t="s">
        <v>195</v>
      </c>
      <c r="G1364" s="200">
        <f>+'MC TUBULAÇÕES'!E31</f>
        <v>665</v>
      </c>
      <c r="H1364" s="200">
        <f>+'Tubulações ER'!S16</f>
        <v>5036.3602006617893</v>
      </c>
      <c r="I1364" s="201">
        <f t="shared" si="178"/>
        <v>3349179.5334400898</v>
      </c>
      <c r="J1364" s="291"/>
    </row>
    <row r="1365" spans="1:10" x14ac:dyDescent="0.3">
      <c r="A1365" s="230" t="s">
        <v>14473</v>
      </c>
      <c r="B1365" s="202" t="s">
        <v>14018</v>
      </c>
      <c r="C1365" s="202" t="s">
        <v>13</v>
      </c>
      <c r="D1365" s="203" t="s">
        <v>13</v>
      </c>
      <c r="E1365" s="204" t="s">
        <v>14039</v>
      </c>
      <c r="F1365" s="202"/>
      <c r="G1365" s="205"/>
      <c r="H1365" s="205"/>
      <c r="I1365" s="205">
        <f>SUM(I1366:I1372)</f>
        <v>6547940.4850196308</v>
      </c>
      <c r="J1365" s="284" t="s">
        <v>14473</v>
      </c>
    </row>
    <row r="1366" spans="1:10" ht="43.2" x14ac:dyDescent="0.3">
      <c r="B1366" s="197" t="s">
        <v>14074</v>
      </c>
      <c r="C1366" s="197" t="s">
        <v>13039</v>
      </c>
      <c r="D1366" s="198" t="s">
        <v>11092</v>
      </c>
      <c r="E1366" s="199" t="str">
        <f>VLOOKUP($D1366,'Preços Unitários'!$B:$G,2,FALSE)</f>
        <v>Escavação, carga e transporte de material de 1ª categoria - DMT de 1.000 a 1.200 m - caminho de serviço em leito natural - com escavadeira e caminhão basculante de 14 m³</v>
      </c>
      <c r="F1366" s="197" t="str">
        <f>VLOOKUP($D1366,'Preços Unitários'!$B:$G,3,FALSE)</f>
        <v>m³</v>
      </c>
      <c r="G1366" s="200">
        <f>+'MC TUBULAÇÕES'!E35</f>
        <v>1514.7</v>
      </c>
      <c r="H1366" s="200">
        <f>VLOOKUP($D1366,'Preços Unitários'!$B:$G,6,FALSE)</f>
        <v>10.673003999999999</v>
      </c>
      <c r="I1366" s="201">
        <f t="shared" ref="I1366:I1372" si="179">+G1366*H1366</f>
        <v>16166.399158799999</v>
      </c>
      <c r="J1366" s="291"/>
    </row>
    <row r="1367" spans="1:10" x14ac:dyDescent="0.3">
      <c r="B1367" s="197" t="s">
        <v>14075</v>
      </c>
      <c r="C1367" s="197" t="s">
        <v>13039</v>
      </c>
      <c r="D1367" s="198" t="s">
        <v>11046</v>
      </c>
      <c r="E1367" s="199" t="str">
        <f>VLOOKUP($D1367,'Preços Unitários'!$B:$G,2,FALSE)</f>
        <v>Compactação de aterros a 100% do Proctor normal</v>
      </c>
      <c r="F1367" s="197" t="str">
        <f>VLOOKUP($D1367,'Preços Unitários'!$B:$G,3,FALSE)</f>
        <v>m³</v>
      </c>
      <c r="G1367" s="200">
        <f>+'MC TUBULAÇÕES'!E36</f>
        <v>1892.6176499999997</v>
      </c>
      <c r="H1367" s="200">
        <f>VLOOKUP($D1367,'Preços Unitários'!$B:$G,6,FALSE)</f>
        <v>7.1028090000000006</v>
      </c>
      <c r="I1367" s="201">
        <f t="shared" si="179"/>
        <v>13442.901677978849</v>
      </c>
      <c r="J1367" s="291"/>
    </row>
    <row r="1368" spans="1:10" ht="28.8" x14ac:dyDescent="0.3">
      <c r="B1368" s="197" t="s">
        <v>14076</v>
      </c>
      <c r="C1368" s="197" t="s">
        <v>13039</v>
      </c>
      <c r="D1368" s="198" t="s">
        <v>11947</v>
      </c>
      <c r="E1368" s="199" t="str">
        <f>VLOOKUP($D1368,'Preços Unitários'!$B:$G,2,FALSE)</f>
        <v>Transporte com caminhão basculante de 14 m³ - rodovia em leito natural</v>
      </c>
      <c r="F1368" s="197" t="str">
        <f>VLOOKUP($D1368,'Preços Unitários'!$B:$G,3,FALSE)</f>
        <v>tkm</v>
      </c>
      <c r="G1368" s="200">
        <f>+'MC TUBULAÇÕES'!E37</f>
        <v>1244.3260500000001</v>
      </c>
      <c r="H1368" s="200">
        <f>VLOOKUP($D1368,'Preços Unitários'!$B:$G,6,FALSE)</f>
        <v>1.165011</v>
      </c>
      <c r="I1368" s="201">
        <f t="shared" si="179"/>
        <v>1449.6535358365502</v>
      </c>
      <c r="J1368" s="291"/>
    </row>
    <row r="1369" spans="1:10" ht="57.6" x14ac:dyDescent="0.3">
      <c r="B1369" s="197" t="s">
        <v>14077</v>
      </c>
      <c r="C1369" s="197" t="s">
        <v>13039</v>
      </c>
      <c r="D1369" s="198" t="s">
        <v>6992</v>
      </c>
      <c r="E1369" s="199" t="str">
        <f>VLOOKUP($D1369,'Preços Unitários'!$B:$G,2,FALSE)</f>
        <v>Escoramento contínuo de valas com tábuas de 2,5 x 30 cm e longarinas de 6 x 16 cm - estroncas a cada metro não incluídas - profundidade de até 4 m - madeira com utilização de 3 vezes - confecção, instalação e retirada</v>
      </c>
      <c r="F1369" s="197" t="str">
        <f>VLOOKUP($D1369,'Preços Unitários'!$B:$G,3,FALSE)</f>
        <v>m²</v>
      </c>
      <c r="G1369" s="200">
        <f>+'MC TUBULAÇÕES'!E38</f>
        <v>3029.4</v>
      </c>
      <c r="H1369" s="200">
        <f>VLOOKUP($D1369,'Preços Unitários'!$B:$G,6,FALSE)</f>
        <v>193.692474</v>
      </c>
      <c r="I1369" s="201">
        <f t="shared" si="179"/>
        <v>586771.98073559999</v>
      </c>
      <c r="J1369" s="291"/>
    </row>
    <row r="1370" spans="1:10" x14ac:dyDescent="0.3">
      <c r="B1370" s="197" t="s">
        <v>14078</v>
      </c>
      <c r="C1370" s="197" t="s">
        <v>13039</v>
      </c>
      <c r="D1370" s="198" t="s">
        <v>2937</v>
      </c>
      <c r="E1370" s="199" t="str">
        <f>VLOOKUP($D1370,'Preços Unitários'!$B:$G,2,FALSE)</f>
        <v>Lastro de brita comercial - espalhamento mecânico</v>
      </c>
      <c r="F1370" s="197" t="s">
        <v>2904</v>
      </c>
      <c r="G1370" s="200">
        <v>371.79</v>
      </c>
      <c r="H1370" s="200">
        <f>VLOOKUP($D1370,'Preços Unitários'!$B:$G,6,FALSE)</f>
        <v>214.762888</v>
      </c>
      <c r="I1370" s="201">
        <f t="shared" si="179"/>
        <v>79846.694129520009</v>
      </c>
      <c r="J1370" s="291"/>
    </row>
    <row r="1371" spans="1:10" ht="28.8" x14ac:dyDescent="0.3">
      <c r="B1371" s="197" t="s">
        <v>14079</v>
      </c>
      <c r="C1371" s="197" t="s">
        <v>13039</v>
      </c>
      <c r="D1371" s="198" t="s">
        <v>3137</v>
      </c>
      <c r="E1371" s="199" t="str">
        <f>VLOOKUP($D1371,'Preços Unitários'!$B:$G,2,FALSE)</f>
        <v>Concreto magro - confecção em betoneira e lançamento manual - areia e brita comerciais</v>
      </c>
      <c r="F1371" s="197" t="str">
        <f>VLOOKUP($D1371,'Preços Unitários'!$B:$G,3,FALSE)</f>
        <v>m³</v>
      </c>
      <c r="G1371" s="200">
        <f>+'MC TUBULAÇÕES'!E40</f>
        <v>123.93</v>
      </c>
      <c r="H1371" s="200">
        <f>VLOOKUP($D1371,'Preços Unitários'!$B:$G,6,FALSE)</f>
        <v>573.22299299999997</v>
      </c>
      <c r="I1371" s="201">
        <f t="shared" si="179"/>
        <v>71039.525522490003</v>
      </c>
      <c r="J1371" s="291"/>
    </row>
    <row r="1372" spans="1:10" x14ac:dyDescent="0.3">
      <c r="B1372" s="197" t="s">
        <v>14571</v>
      </c>
      <c r="C1372" s="204" t="s">
        <v>12</v>
      </c>
      <c r="D1372" s="197" t="s">
        <v>12</v>
      </c>
      <c r="E1372" s="204" t="s">
        <v>14040</v>
      </c>
      <c r="F1372" s="202" t="s">
        <v>195</v>
      </c>
      <c r="G1372" s="200">
        <f>+'MC TUBULAÇÕES'!E41</f>
        <v>1377</v>
      </c>
      <c r="H1372" s="200">
        <f>+'Tubulações ER'!D36</f>
        <v>4196.966833884826</v>
      </c>
      <c r="I1372" s="201">
        <f t="shared" si="179"/>
        <v>5779223.3302594051</v>
      </c>
      <c r="J1372" s="291"/>
    </row>
    <row r="1373" spans="1:10" x14ac:dyDescent="0.3">
      <c r="A1373" s="230" t="s">
        <v>14473</v>
      </c>
      <c r="B1373" s="202" t="s">
        <v>14019</v>
      </c>
      <c r="C1373" s="202" t="s">
        <v>13</v>
      </c>
      <c r="D1373" s="203" t="s">
        <v>13</v>
      </c>
      <c r="E1373" s="204" t="s">
        <v>14042</v>
      </c>
      <c r="F1373" s="202"/>
      <c r="G1373" s="205"/>
      <c r="H1373" s="205"/>
      <c r="I1373" s="205">
        <f>SUM(I1374:I1380)</f>
        <v>7378870.1640967354</v>
      </c>
      <c r="J1373" s="284" t="s">
        <v>14473</v>
      </c>
    </row>
    <row r="1374" spans="1:10" ht="43.2" x14ac:dyDescent="0.3">
      <c r="B1374" s="197" t="s">
        <v>14080</v>
      </c>
      <c r="C1374" s="197" t="s">
        <v>13039</v>
      </c>
      <c r="D1374" s="198" t="s">
        <v>11092</v>
      </c>
      <c r="E1374" s="199" t="str">
        <f>VLOOKUP($D1374,'Preços Unitários'!$B:$G,2,FALSE)</f>
        <v>Escavação, carga e transporte de material de 1ª categoria - DMT de 1.000 a 1.200 m - caminho de serviço em leito natural - com escavadeira e caminhão basculante de 14 m³</v>
      </c>
      <c r="F1374" s="197" t="str">
        <f>VLOOKUP($D1374,'Preços Unitários'!$B:$G,3,FALSE)</f>
        <v>m³</v>
      </c>
      <c r="G1374" s="200">
        <f>+'MC TUBULAÇÕES'!E45</f>
        <v>2582.16</v>
      </c>
      <c r="H1374" s="200">
        <f>VLOOKUP($D1374,'Preços Unitários'!$B:$G,6,FALSE)</f>
        <v>10.673003999999999</v>
      </c>
      <c r="I1374" s="201">
        <f t="shared" ref="I1374:I1379" si="180">+G1374*H1374</f>
        <v>27559.404008639995</v>
      </c>
      <c r="J1374" s="291"/>
    </row>
    <row r="1375" spans="1:10" x14ac:dyDescent="0.3">
      <c r="B1375" s="197" t="s">
        <v>14081</v>
      </c>
      <c r="C1375" s="197" t="s">
        <v>13039</v>
      </c>
      <c r="D1375" s="198" t="s">
        <v>11046</v>
      </c>
      <c r="E1375" s="199" t="str">
        <f>VLOOKUP($D1375,'Preços Unitários'!$B:$G,2,FALSE)</f>
        <v>Compactação de aterros a 100% do Proctor normal</v>
      </c>
      <c r="F1375" s="197" t="str">
        <f>VLOOKUP($D1375,'Preços Unitários'!$B:$G,3,FALSE)</f>
        <v>m³</v>
      </c>
      <c r="G1375" s="200">
        <f>+'MC TUBULAÇÕES'!E46</f>
        <v>2112.5296499999995</v>
      </c>
      <c r="H1375" s="200">
        <f>VLOOKUP($D1375,'Preços Unitários'!$B:$G,6,FALSE)</f>
        <v>7.1028090000000006</v>
      </c>
      <c r="I1375" s="201">
        <f t="shared" si="180"/>
        <v>15004.894610786847</v>
      </c>
      <c r="J1375" s="291"/>
    </row>
    <row r="1376" spans="1:10" ht="28.8" x14ac:dyDescent="0.3">
      <c r="B1376" s="197" t="s">
        <v>14082</v>
      </c>
      <c r="C1376" s="197" t="s">
        <v>13039</v>
      </c>
      <c r="D1376" s="198" t="s">
        <v>11947</v>
      </c>
      <c r="E1376" s="199" t="str">
        <f>VLOOKUP($D1376,'Preços Unitários'!$B:$G,2,FALSE)</f>
        <v>Transporte com caminhão basculante de 14 m³ - rodovia em leito natural</v>
      </c>
      <c r="F1376" s="197" t="str">
        <f>VLOOKUP($D1376,'Preços Unitários'!$B:$G,3,FALSE)</f>
        <v>tkm</v>
      </c>
      <c r="G1376" s="200">
        <f>+'MC TUBULAÇÕES'!E47</f>
        <v>2280.37005</v>
      </c>
      <c r="H1376" s="200">
        <f>VLOOKUP($D1376,'Preços Unitários'!$B:$G,6,FALSE)</f>
        <v>1.165011</v>
      </c>
      <c r="I1376" s="201">
        <f t="shared" si="180"/>
        <v>2656.65619232055</v>
      </c>
      <c r="J1376"/>
    </row>
    <row r="1377" spans="1:10" ht="57.6" x14ac:dyDescent="0.3">
      <c r="B1377" s="197" t="s">
        <v>14083</v>
      </c>
      <c r="C1377" s="197" t="s">
        <v>13039</v>
      </c>
      <c r="D1377" s="198" t="s">
        <v>6992</v>
      </c>
      <c r="E1377" s="199" t="str">
        <f>VLOOKUP($D1377,'Preços Unitários'!$B:$G,2,FALSE)</f>
        <v>Escoramento contínuo de valas com tábuas de 2,5 x 30 cm e longarinas de 6 x 16 cm - estroncas a cada metro não incluídas - profundidade de até 4 m - madeira com utilização de 3 vezes - confecção, instalação e retirada</v>
      </c>
      <c r="F1377" s="197" t="str">
        <f>VLOOKUP($D1377,'Preços Unitários'!$B:$G,3,FALSE)</f>
        <v>m²</v>
      </c>
      <c r="G1377" s="200">
        <f>+'MC TUBULAÇÕES'!E48</f>
        <v>3688.7999999999997</v>
      </c>
      <c r="H1377" s="200">
        <f>VLOOKUP($D1377,'Preços Unitários'!$B:$G,6,FALSE)</f>
        <v>193.692474</v>
      </c>
      <c r="I1377" s="201">
        <f t="shared" si="180"/>
        <v>714492.79809119995</v>
      </c>
      <c r="J1377"/>
    </row>
    <row r="1378" spans="1:10" x14ac:dyDescent="0.3">
      <c r="B1378" s="197" t="s">
        <v>14084</v>
      </c>
      <c r="C1378" s="197" t="s">
        <v>13039</v>
      </c>
      <c r="D1378" s="198" t="s">
        <v>2937</v>
      </c>
      <c r="E1378" s="199" t="str">
        <f>VLOOKUP($D1378,'Preços Unitários'!$B:$G,2,FALSE)</f>
        <v>Lastro de brita comercial - espalhamento mecânico</v>
      </c>
      <c r="F1378" s="197" t="s">
        <v>2904</v>
      </c>
      <c r="G1378" s="200">
        <v>414.99</v>
      </c>
      <c r="H1378" s="200">
        <f>VLOOKUP($D1378,'Preços Unitários'!$B:$G,6,FALSE)</f>
        <v>214.762888</v>
      </c>
      <c r="I1378" s="201">
        <f t="shared" si="180"/>
        <v>89124.45089112001</v>
      </c>
      <c r="J1378"/>
    </row>
    <row r="1379" spans="1:10" ht="28.8" x14ac:dyDescent="0.3">
      <c r="B1379" s="197" t="s">
        <v>14085</v>
      </c>
      <c r="C1379" s="197" t="s">
        <v>13039</v>
      </c>
      <c r="D1379" s="198" t="s">
        <v>3137</v>
      </c>
      <c r="E1379" s="199" t="str">
        <f>VLOOKUP($D1379,'Preços Unitários'!$B:$G,2,FALSE)</f>
        <v>Concreto magro - confecção em betoneira e lançamento manual - areia e brita comerciais</v>
      </c>
      <c r="F1379" s="197" t="str">
        <f>VLOOKUP($D1379,'Preços Unitários'!$B:$G,3,FALSE)</f>
        <v>m³</v>
      </c>
      <c r="G1379" s="200">
        <f>+'MC TUBULAÇÕES'!E50</f>
        <v>138.33000000000001</v>
      </c>
      <c r="H1379" s="200">
        <f>VLOOKUP($D1379,'Preços Unitários'!$B:$G,6,FALSE)</f>
        <v>573.22299299999997</v>
      </c>
      <c r="I1379" s="201">
        <f t="shared" si="180"/>
        <v>79293.936621690009</v>
      </c>
      <c r="J1379"/>
    </row>
    <row r="1380" spans="1:10" x14ac:dyDescent="0.3">
      <c r="B1380" s="197" t="s">
        <v>14572</v>
      </c>
      <c r="C1380" s="204" t="s">
        <v>12</v>
      </c>
      <c r="D1380" s="197" t="s">
        <v>12</v>
      </c>
      <c r="E1380" s="204" t="s">
        <v>14040</v>
      </c>
      <c r="F1380" s="202" t="s">
        <v>195</v>
      </c>
      <c r="G1380" s="200">
        <f>+'MC TUBULAÇÕES'!E51</f>
        <v>1537</v>
      </c>
      <c r="H1380" s="200">
        <f>+'Tubulações ER'!D36</f>
        <v>4196.966833884826</v>
      </c>
      <c r="I1380" s="201">
        <f>+G1380*H1380</f>
        <v>6450738.0236809775</v>
      </c>
      <c r="J1380"/>
    </row>
    <row r="1381" spans="1:10" x14ac:dyDescent="0.3">
      <c r="B1381" s="202"/>
      <c r="C1381" s="202"/>
      <c r="D1381" s="203"/>
      <c r="E1381" s="204"/>
      <c r="F1381" s="202"/>
      <c r="G1381" s="205"/>
      <c r="H1381" s="205"/>
      <c r="I1381" s="205"/>
      <c r="J1381"/>
    </row>
    <row r="1382" spans="1:10" x14ac:dyDescent="0.3">
      <c r="B1382" s="202">
        <v>7</v>
      </c>
      <c r="C1382" s="202" t="s">
        <v>13</v>
      </c>
      <c r="D1382" s="203" t="s">
        <v>13</v>
      </c>
      <c r="E1382" s="204" t="s">
        <v>13380</v>
      </c>
      <c r="F1382" s="202" t="s">
        <v>13</v>
      </c>
      <c r="G1382" s="205">
        <v>0</v>
      </c>
      <c r="H1382" s="205">
        <v>0</v>
      </c>
      <c r="I1382" s="205">
        <f>+I1383+I1393+I1403+I1413</f>
        <v>2685027.3799777096</v>
      </c>
      <c r="J1382"/>
    </row>
    <row r="1383" spans="1:10" x14ac:dyDescent="0.3">
      <c r="A1383" s="230" t="s">
        <v>14473</v>
      </c>
      <c r="B1383" s="202" t="s">
        <v>14248</v>
      </c>
      <c r="C1383" s="202" t="s">
        <v>13</v>
      </c>
      <c r="D1383" s="203" t="s">
        <v>13</v>
      </c>
      <c r="E1383" s="204" t="s">
        <v>13379</v>
      </c>
      <c r="F1383" s="202"/>
      <c r="G1383" s="205"/>
      <c r="H1383" s="205"/>
      <c r="I1383" s="205">
        <f>SUM(I1384:I1392)</f>
        <v>864328.41701407405</v>
      </c>
      <c r="J1383" s="284" t="s">
        <v>14473</v>
      </c>
    </row>
    <row r="1384" spans="1:10" ht="28.8" x14ac:dyDescent="0.3">
      <c r="B1384" s="197" t="s">
        <v>14249</v>
      </c>
      <c r="C1384" s="197" t="s">
        <v>13039</v>
      </c>
      <c r="D1384" s="198" t="s">
        <v>11052</v>
      </c>
      <c r="E1384" s="199" t="str">
        <f>VLOOKUP($D1384,'Preços Unitários'!$B:$G,2,FALSE)</f>
        <v>Desmatamento, destocamento e limpeza de área com árvores de diâmetro até 0,15 m</v>
      </c>
      <c r="F1384" s="197" t="str">
        <f>VLOOKUP($D1384,'Preços Unitários'!$B:$G,3,FALSE)</f>
        <v>m²</v>
      </c>
      <c r="G1384" s="200">
        <f>+'MC ERs'!D24</f>
        <v>675.27</v>
      </c>
      <c r="H1384" s="200">
        <f>VLOOKUP($D1384,'Preços Unitários'!$B:$G,6,FALSE)</f>
        <v>0.87688999999999995</v>
      </c>
      <c r="I1384" s="201">
        <f t="shared" ref="I1384:I1392" si="181">+G1384*H1384</f>
        <v>592.13751029999992</v>
      </c>
      <c r="J1384"/>
    </row>
    <row r="1385" spans="1:10" ht="43.2" x14ac:dyDescent="0.3">
      <c r="B1385" s="197" t="s">
        <v>14250</v>
      </c>
      <c r="C1385" s="197" t="s">
        <v>13039</v>
      </c>
      <c r="D1385" s="198" t="s">
        <v>11092</v>
      </c>
      <c r="E1385" s="199" t="str">
        <f>VLOOKUP($D1385,'Preços Unitários'!$B:$G,2,FALSE)</f>
        <v>Escavação, carga e transporte de material de 1ª categoria - DMT de 1.000 a 1.200 m - caminho de serviço em leito natural - com escavadeira e caminhão basculante de 14 m³</v>
      </c>
      <c r="F1385" s="197" t="str">
        <f>VLOOKUP($D1385,'Preços Unitários'!$B:$G,3,FALSE)</f>
        <v>m³</v>
      </c>
      <c r="G1385" s="200">
        <f>+'MC ERs'!D25</f>
        <v>224.76999999999998</v>
      </c>
      <c r="H1385" s="200">
        <f>VLOOKUP($D1385,'Preços Unitários'!$B:$G,6,FALSE)</f>
        <v>10.673003999999999</v>
      </c>
      <c r="I1385" s="201">
        <f t="shared" si="181"/>
        <v>2398.9711090799997</v>
      </c>
      <c r="J1385"/>
    </row>
    <row r="1386" spans="1:10" ht="28.8" x14ac:dyDescent="0.3">
      <c r="B1386" s="197" t="s">
        <v>14251</v>
      </c>
      <c r="C1386" s="197" t="s">
        <v>13039</v>
      </c>
      <c r="D1386" s="198" t="s">
        <v>11947</v>
      </c>
      <c r="E1386" s="199" t="str">
        <f>VLOOKUP($D1386,'Preços Unitários'!$B:$G,2,FALSE)</f>
        <v>Transporte com caminhão basculante de 14 m³ - rodovia em leito natural</v>
      </c>
      <c r="F1386" s="197" t="str">
        <f>VLOOKUP($D1386,'Preços Unitários'!$B:$G,3,FALSE)</f>
        <v>tkm</v>
      </c>
      <c r="G1386" s="200">
        <f>+'MC ERs'!D26</f>
        <v>1573.3899999999996</v>
      </c>
      <c r="H1386" s="200">
        <f>VLOOKUP($D1386,'Preços Unitários'!$B:$G,6,FALSE)</f>
        <v>1.165011</v>
      </c>
      <c r="I1386" s="201">
        <f t="shared" si="181"/>
        <v>1833.0166572899996</v>
      </c>
      <c r="J1386"/>
    </row>
    <row r="1387" spans="1:10" ht="28.8" x14ac:dyDescent="0.3">
      <c r="B1387" s="197" t="s">
        <v>14252</v>
      </c>
      <c r="C1387" s="197" t="s">
        <v>13039</v>
      </c>
      <c r="D1387" s="198" t="s">
        <v>3149</v>
      </c>
      <c r="E1387" s="199" t="str">
        <f>VLOOKUP($D1387,'Preços Unitários'!$B:$G,2,FALSE)</f>
        <v>Concreto para bombeamento fck = 30 MPa - confecção em central dosadora de 30 m³/h - areia e brita comerciais</v>
      </c>
      <c r="F1387" s="197" t="str">
        <f>VLOOKUP($D1387,'Preços Unitários'!$B:$G,3,FALSE)</f>
        <v>m³</v>
      </c>
      <c r="G1387" s="200">
        <f>+'MC ERs'!H27</f>
        <v>228.27599999999998</v>
      </c>
      <c r="H1387" s="200">
        <f>VLOOKUP($D1387,'Preços Unitários'!$B:$G,6,FALSE)</f>
        <v>575.92882499999996</v>
      </c>
      <c r="I1387" s="201">
        <f t="shared" si="181"/>
        <v>131470.72845569998</v>
      </c>
      <c r="J1387"/>
    </row>
    <row r="1388" spans="1:10" ht="43.2" x14ac:dyDescent="0.3">
      <c r="B1388" s="197" t="s">
        <v>14253</v>
      </c>
      <c r="C1388" s="197" t="s">
        <v>13039</v>
      </c>
      <c r="D1388" s="198" t="s">
        <v>3201</v>
      </c>
      <c r="E1388" s="199" t="str">
        <f>VLOOKUP($D1388,'Preços Unitários'!$B:$G,2,FALSE)</f>
        <v>Lançamento mecânico de concreto com bomba rebocável com capacidade de 30 m³/h - confecção em central dosadora de 30 m³/h</v>
      </c>
      <c r="F1388" s="197" t="str">
        <f>VLOOKUP($D1388,'Preços Unitários'!$B:$G,3,FALSE)</f>
        <v>m³</v>
      </c>
      <c r="G1388" s="200">
        <f>+'MC ERs'!H27</f>
        <v>228.27599999999998</v>
      </c>
      <c r="H1388" s="200">
        <f>VLOOKUP($D1388,'Preços Unitários'!$B:$G,6,FALSE)</f>
        <v>86.285976000000005</v>
      </c>
      <c r="I1388" s="201">
        <f t="shared" si="181"/>
        <v>19697.017457376001</v>
      </c>
      <c r="J1388"/>
    </row>
    <row r="1389" spans="1:10" ht="28.8" x14ac:dyDescent="0.3">
      <c r="B1389" s="197" t="s">
        <v>14254</v>
      </c>
      <c r="C1389" s="197" t="s">
        <v>13039</v>
      </c>
      <c r="D1389" s="198" t="s">
        <v>8335</v>
      </c>
      <c r="E1389" s="199" t="str">
        <f>VLOOKUP($D1389,'Preços Unitários'!$B:$G,2,FALSE)</f>
        <v>Fôrmas de compensado plastificado 12 mm - uso geral - utilização de 1 vez - confecção, instalação e retirada</v>
      </c>
      <c r="F1389" s="197" t="str">
        <f>VLOOKUP($D1389,'Preços Unitários'!$B:$G,3,FALSE)</f>
        <v>m²</v>
      </c>
      <c r="G1389" s="200">
        <f>+'MC ERs'!H34</f>
        <v>1369.6559999999999</v>
      </c>
      <c r="H1389" s="200">
        <f>VLOOKUP($D1389,'Preços Unitários'!$B:$G,6,FALSE)</f>
        <v>175.71622900000003</v>
      </c>
      <c r="I1389" s="201">
        <f t="shared" si="181"/>
        <v>240670.78734722402</v>
      </c>
      <c r="J1389"/>
    </row>
    <row r="1390" spans="1:10" ht="57.6" x14ac:dyDescent="0.3">
      <c r="B1390" s="197" t="s">
        <v>14255</v>
      </c>
      <c r="C1390" s="197" t="s">
        <v>13039</v>
      </c>
      <c r="D1390" s="198" t="s">
        <v>6998</v>
      </c>
      <c r="E1390" s="199" t="str">
        <f>VLOOKUP($D1390,'Preços Unitários'!$B:$G,2,FALSE)</f>
        <v>Escoramento metálico tubular galvanizado para formas com capacidade de 2.100 a 750 kg por unidade - regulável de 3,0 a 4,5 m - utilização de 20 vezes - fornecimento, instalação e retirada</v>
      </c>
      <c r="F1390" s="197" t="str">
        <f>VLOOKUP($D1390,'Preços Unitários'!$B:$G,3,FALSE)</f>
        <v>un</v>
      </c>
      <c r="G1390" s="200">
        <f>+'MC ERs'!H35</f>
        <v>228.14400000000001</v>
      </c>
      <c r="H1390" s="200">
        <f>VLOOKUP($D1390,'Preços Unitários'!$B:$G,6,FALSE)</f>
        <v>24.214690999999998</v>
      </c>
      <c r="I1390" s="201">
        <f t="shared" si="181"/>
        <v>5524.4364635040001</v>
      </c>
      <c r="J1390"/>
    </row>
    <row r="1391" spans="1:10" ht="28.8" x14ac:dyDescent="0.3">
      <c r="B1391" s="197" t="s">
        <v>14256</v>
      </c>
      <c r="C1391" s="197" t="s">
        <v>13039</v>
      </c>
      <c r="D1391" s="198" t="s">
        <v>211</v>
      </c>
      <c r="E1391" s="199" t="str">
        <f>VLOOKUP($D1391,'Preços Unitários'!$B:$G,2,FALSE)</f>
        <v>Armação em aço CA-50 - fornecimento, preparo e colocação</v>
      </c>
      <c r="F1391" s="197" t="str">
        <f>VLOOKUP($D1391,'Preços Unitários'!$B:$G,3,FALSE)</f>
        <v>kg</v>
      </c>
      <c r="G1391" s="200">
        <f>+'MC ERs'!H36</f>
        <v>27393.119999999999</v>
      </c>
      <c r="H1391" s="200">
        <f>VLOOKUP($D1391,'Preços Unitários'!$B:$G,6,FALSE)</f>
        <v>15.846655000000002</v>
      </c>
      <c r="I1391" s="201">
        <f t="shared" si="181"/>
        <v>434089.32201360003</v>
      </c>
      <c r="J1391"/>
    </row>
    <row r="1392" spans="1:10" x14ac:dyDescent="0.3">
      <c r="B1392" s="197" t="s">
        <v>14560</v>
      </c>
      <c r="C1392" s="197" t="s">
        <v>12</v>
      </c>
      <c r="D1392" s="197" t="s">
        <v>12</v>
      </c>
      <c r="E1392" s="199" t="s">
        <v>14056</v>
      </c>
      <c r="F1392" s="197" t="s">
        <v>2904</v>
      </c>
      <c r="G1392" s="200">
        <f>+'MC ERs'!H37</f>
        <v>100</v>
      </c>
      <c r="H1392" s="200">
        <v>280.52</v>
      </c>
      <c r="I1392" s="201">
        <f t="shared" si="181"/>
        <v>28052</v>
      </c>
      <c r="J1392"/>
    </row>
    <row r="1393" spans="1:10" x14ac:dyDescent="0.3">
      <c r="A1393" s="230" t="s">
        <v>14473</v>
      </c>
      <c r="B1393" s="202" t="s">
        <v>14257</v>
      </c>
      <c r="C1393" s="202" t="s">
        <v>13</v>
      </c>
      <c r="D1393" s="203" t="s">
        <v>13</v>
      </c>
      <c r="E1393" s="204" t="s">
        <v>13940</v>
      </c>
      <c r="F1393" s="202"/>
      <c r="G1393" s="205"/>
      <c r="H1393" s="205"/>
      <c r="I1393" s="205">
        <f>SUM(I1394:I1402)</f>
        <v>662002.67073737516</v>
      </c>
      <c r="J1393" s="284" t="s">
        <v>14473</v>
      </c>
    </row>
    <row r="1394" spans="1:10" ht="28.8" x14ac:dyDescent="0.3">
      <c r="B1394" s="197" t="s">
        <v>14258</v>
      </c>
      <c r="C1394" s="197" t="s">
        <v>13039</v>
      </c>
      <c r="D1394" s="198" t="s">
        <v>11052</v>
      </c>
      <c r="E1394" s="199" t="str">
        <f>VLOOKUP($D1394,'Preços Unitários'!$B:$G,2,FALSE)</f>
        <v>Desmatamento, destocamento e limpeza de área com árvores de diâmetro até 0,15 m</v>
      </c>
      <c r="F1394" s="197" t="str">
        <f>VLOOKUP($D1394,'Preços Unitários'!$B:$G,3,FALSE)</f>
        <v>m²</v>
      </c>
      <c r="G1394" s="200">
        <f>+'MC ERs'!D43</f>
        <v>408</v>
      </c>
      <c r="H1394" s="200">
        <f>VLOOKUP($D1394,'Preços Unitários'!$B:$G,6,FALSE)</f>
        <v>0.87688999999999995</v>
      </c>
      <c r="I1394" s="201">
        <f t="shared" ref="I1394:I1402" si="182">+G1394*H1394</f>
        <v>357.77112</v>
      </c>
      <c r="J1394"/>
    </row>
    <row r="1395" spans="1:10" ht="43.2" x14ac:dyDescent="0.3">
      <c r="B1395" s="197" t="s">
        <v>14259</v>
      </c>
      <c r="C1395" s="197" t="s">
        <v>13039</v>
      </c>
      <c r="D1395" s="198" t="s">
        <v>11092</v>
      </c>
      <c r="E1395" s="199" t="str">
        <f>VLOOKUP($D1395,'Preços Unitários'!$B:$G,2,FALSE)</f>
        <v>Escavação, carga e transporte de material de 1ª categoria - DMT de 1.000 a 1.200 m - caminho de serviço em leito natural - com escavadeira e caminhão basculante de 14 m³</v>
      </c>
      <c r="F1395" s="197" t="str">
        <f>VLOOKUP($D1395,'Preços Unitários'!$B:$G,3,FALSE)</f>
        <v>m³</v>
      </c>
      <c r="G1395" s="200">
        <f>+'MC ERs'!D44</f>
        <v>480</v>
      </c>
      <c r="H1395" s="200">
        <f>VLOOKUP($D1395,'Preços Unitários'!$B:$G,6,FALSE)</f>
        <v>10.673003999999999</v>
      </c>
      <c r="I1395" s="201">
        <f t="shared" si="182"/>
        <v>5123.0419199999997</v>
      </c>
      <c r="J1395"/>
    </row>
    <row r="1396" spans="1:10" ht="28.8" x14ac:dyDescent="0.3">
      <c r="B1396" s="197" t="s">
        <v>14260</v>
      </c>
      <c r="C1396" s="197" t="s">
        <v>13039</v>
      </c>
      <c r="D1396" s="198" t="s">
        <v>11947</v>
      </c>
      <c r="E1396" s="199" t="str">
        <f>VLOOKUP($D1396,'Preços Unitários'!$B:$G,2,FALSE)</f>
        <v>Transporte com caminhão basculante de 14 m³ - rodovia em leito natural</v>
      </c>
      <c r="F1396" s="197" t="str">
        <f>VLOOKUP($D1396,'Preços Unitários'!$B:$G,3,FALSE)</f>
        <v>tkm</v>
      </c>
      <c r="G1396" s="200">
        <f>+'MC ERs'!D45</f>
        <v>3360</v>
      </c>
      <c r="H1396" s="200">
        <f>VLOOKUP($D1396,'Preços Unitários'!$B:$G,6,FALSE)</f>
        <v>1.165011</v>
      </c>
      <c r="I1396" s="201">
        <f t="shared" si="182"/>
        <v>3914.43696</v>
      </c>
      <c r="J1396"/>
    </row>
    <row r="1397" spans="1:10" ht="28.8" x14ac:dyDescent="0.3">
      <c r="B1397" s="197" t="s">
        <v>14261</v>
      </c>
      <c r="C1397" s="197" t="s">
        <v>13039</v>
      </c>
      <c r="D1397" s="198" t="s">
        <v>3149</v>
      </c>
      <c r="E1397" s="199" t="str">
        <f>VLOOKUP($D1397,'Preços Unitários'!$B:$G,2,FALSE)</f>
        <v>Concreto para bombeamento fck = 30 MPa - confecção em central dosadora de 30 m³/h - areia e brita comerciais</v>
      </c>
      <c r="F1397" s="197" t="str">
        <f>VLOOKUP($D1397,'Preços Unitários'!$B:$G,3,FALSE)</f>
        <v>m³</v>
      </c>
      <c r="G1397" s="200">
        <f>+'MC ERs'!H46</f>
        <v>176.28500000000003</v>
      </c>
      <c r="H1397" s="200">
        <f>VLOOKUP($D1397,'Preços Unitários'!$B:$G,6,FALSE)</f>
        <v>575.92882499999996</v>
      </c>
      <c r="I1397" s="201">
        <f t="shared" si="182"/>
        <v>101527.61291512501</v>
      </c>
      <c r="J1397"/>
    </row>
    <row r="1398" spans="1:10" ht="43.2" x14ac:dyDescent="0.3">
      <c r="B1398" s="197" t="s">
        <v>14262</v>
      </c>
      <c r="C1398" s="197" t="s">
        <v>13039</v>
      </c>
      <c r="D1398" s="198" t="s">
        <v>3201</v>
      </c>
      <c r="E1398" s="199" t="str">
        <f>VLOOKUP($D1398,'Preços Unitários'!$B:$G,2,FALSE)</f>
        <v>Lançamento mecânico de concreto com bomba rebocável com capacidade de 30 m³/h - confecção em central dosadora de 30 m³/h</v>
      </c>
      <c r="F1398" s="197" t="str">
        <f>VLOOKUP($D1398,'Preços Unitários'!$B:$G,3,FALSE)</f>
        <v>m³</v>
      </c>
      <c r="G1398" s="200">
        <f>+'MC ERs'!H46</f>
        <v>176.28500000000003</v>
      </c>
      <c r="H1398" s="200">
        <f>VLOOKUP($D1398,'Preços Unitários'!$B:$G,6,FALSE)</f>
        <v>86.285976000000005</v>
      </c>
      <c r="I1398" s="201">
        <f t="shared" si="182"/>
        <v>15210.923279160002</v>
      </c>
      <c r="J1398"/>
    </row>
    <row r="1399" spans="1:10" ht="28.8" x14ac:dyDescent="0.3">
      <c r="B1399" s="197" t="s">
        <v>14263</v>
      </c>
      <c r="C1399" s="197" t="s">
        <v>13039</v>
      </c>
      <c r="D1399" s="198" t="s">
        <v>8335</v>
      </c>
      <c r="E1399" s="199" t="str">
        <f>VLOOKUP($D1399,'Preços Unitários'!$B:$G,2,FALSE)</f>
        <v>Fôrmas de compensado plastificado 12 mm - uso geral - utilização de 1 vez - confecção, instalação e retirada</v>
      </c>
      <c r="F1399" s="197" t="str">
        <f>VLOOKUP($D1399,'Preços Unitários'!$B:$G,3,FALSE)</f>
        <v>m²</v>
      </c>
      <c r="G1399" s="200">
        <f>+'MC ERs'!H53</f>
        <v>1057.71</v>
      </c>
      <c r="H1399" s="200">
        <f>VLOOKUP($D1399,'Preços Unitários'!$B:$G,6,FALSE)</f>
        <v>175.71622900000003</v>
      </c>
      <c r="I1399" s="201">
        <f t="shared" si="182"/>
        <v>185856.81257559004</v>
      </c>
      <c r="J1399"/>
    </row>
    <row r="1400" spans="1:10" ht="57.6" x14ac:dyDescent="0.3">
      <c r="B1400" s="197" t="s">
        <v>14264</v>
      </c>
      <c r="C1400" s="197" t="s">
        <v>13039</v>
      </c>
      <c r="D1400" s="198" t="s">
        <v>6998</v>
      </c>
      <c r="E1400" s="199" t="str">
        <f>VLOOKUP($D1400,'Preços Unitários'!$B:$G,2,FALSE)</f>
        <v>Escoramento metálico tubular galvanizado para formas com capacidade de 2.100 a 750 kg por unidade - regulável de 3,0 a 4,5 m - utilização de 20 vezes - fornecimento, instalação e retirada</v>
      </c>
      <c r="F1400" s="197" t="str">
        <f>VLOOKUP($D1400,'Preços Unitários'!$B:$G,3,FALSE)</f>
        <v>un</v>
      </c>
      <c r="G1400" s="200">
        <f>+'MC ERs'!H54</f>
        <v>31.499999999999996</v>
      </c>
      <c r="H1400" s="200">
        <f>VLOOKUP($D1400,'Preços Unitários'!$B:$G,6,FALSE)</f>
        <v>24.214690999999998</v>
      </c>
      <c r="I1400" s="201">
        <f t="shared" si="182"/>
        <v>762.76276649999988</v>
      </c>
      <c r="J1400"/>
    </row>
    <row r="1401" spans="1:10" ht="28.8" x14ac:dyDescent="0.3">
      <c r="B1401" s="197" t="s">
        <v>14265</v>
      </c>
      <c r="C1401" s="197" t="s">
        <v>13039</v>
      </c>
      <c r="D1401" s="198" t="s">
        <v>211</v>
      </c>
      <c r="E1401" s="199" t="str">
        <f>VLOOKUP($D1401,'Preços Unitários'!$B:$G,2,FALSE)</f>
        <v>Armação em aço CA-50 - fornecimento, preparo e colocação</v>
      </c>
      <c r="F1401" s="197" t="str">
        <f>VLOOKUP($D1401,'Preços Unitários'!$B:$G,3,FALSE)</f>
        <v>kg</v>
      </c>
      <c r="G1401" s="200">
        <f>+'MC ERs'!H55</f>
        <v>21154.200000000004</v>
      </c>
      <c r="H1401" s="200">
        <f>VLOOKUP($D1401,'Preços Unitários'!$B:$G,6,FALSE)</f>
        <v>15.846655000000002</v>
      </c>
      <c r="I1401" s="201">
        <f t="shared" si="182"/>
        <v>335223.30920100008</v>
      </c>
      <c r="J1401"/>
    </row>
    <row r="1402" spans="1:10" x14ac:dyDescent="0.3">
      <c r="B1402" s="197" t="s">
        <v>14563</v>
      </c>
      <c r="C1402" s="197" t="s">
        <v>12</v>
      </c>
      <c r="D1402" s="197" t="s">
        <v>12</v>
      </c>
      <c r="E1402" s="199" t="s">
        <v>14056</v>
      </c>
      <c r="F1402" s="197" t="s">
        <v>2904</v>
      </c>
      <c r="G1402" s="200">
        <f>+'MC ERs'!H56</f>
        <v>50</v>
      </c>
      <c r="H1402" s="200">
        <v>280.52</v>
      </c>
      <c r="I1402" s="201">
        <f t="shared" si="182"/>
        <v>14026</v>
      </c>
      <c r="J1402"/>
    </row>
    <row r="1403" spans="1:10" x14ac:dyDescent="0.3">
      <c r="A1403" s="230" t="s">
        <v>14473</v>
      </c>
      <c r="B1403" s="202" t="s">
        <v>14266</v>
      </c>
      <c r="C1403" s="202" t="s">
        <v>13</v>
      </c>
      <c r="D1403" s="203" t="s">
        <v>13</v>
      </c>
      <c r="E1403" s="204" t="s">
        <v>13941</v>
      </c>
      <c r="F1403" s="202"/>
      <c r="G1403" s="205"/>
      <c r="H1403" s="205"/>
      <c r="I1403" s="205">
        <f>SUM(I1404:I1412)</f>
        <v>597771.34560959297</v>
      </c>
      <c r="J1403" s="284" t="s">
        <v>14473</v>
      </c>
    </row>
    <row r="1404" spans="1:10" ht="28.8" x14ac:dyDescent="0.3">
      <c r="B1404" s="197" t="s">
        <v>14267</v>
      </c>
      <c r="C1404" s="197" t="s">
        <v>13039</v>
      </c>
      <c r="D1404" s="198" t="s">
        <v>11052</v>
      </c>
      <c r="E1404" s="199" t="str">
        <f>VLOOKUP($D1404,'Preços Unitários'!$B:$G,2,FALSE)</f>
        <v>Desmatamento, destocamento e limpeza de área com árvores de diâmetro até 0,15 m</v>
      </c>
      <c r="F1404" s="197" t="str">
        <f>VLOOKUP($D1404,'Preços Unitários'!$B:$G,3,FALSE)</f>
        <v>m²</v>
      </c>
      <c r="G1404" s="200">
        <f>+'MC ERs'!D61</f>
        <v>450.80000000000007</v>
      </c>
      <c r="H1404" s="200">
        <f>VLOOKUP($D1404,'Preços Unitários'!$B:$G,6,FALSE)</f>
        <v>0.87688999999999995</v>
      </c>
      <c r="I1404" s="201">
        <f t="shared" ref="I1404:I1412" si="183">+G1404*H1404</f>
        <v>395.30201200000005</v>
      </c>
      <c r="J1404"/>
    </row>
    <row r="1405" spans="1:10" ht="43.2" x14ac:dyDescent="0.3">
      <c r="B1405" s="197" t="s">
        <v>14268</v>
      </c>
      <c r="C1405" s="197" t="s">
        <v>13039</v>
      </c>
      <c r="D1405" s="198" t="s">
        <v>11092</v>
      </c>
      <c r="E1405" s="199" t="str">
        <f>VLOOKUP($D1405,'Preços Unitários'!$B:$G,2,FALSE)</f>
        <v>Escavação, carga e transporte de material de 1ª categoria - DMT de 1.000 a 1.200 m - caminho de serviço em leito natural - com escavadeira e caminhão basculante de 14 m³</v>
      </c>
      <c r="F1405" s="197" t="str">
        <f>VLOOKUP($D1405,'Preços Unitários'!$B:$G,3,FALSE)</f>
        <v>m³</v>
      </c>
      <c r="G1405" s="200">
        <f>+'MC ERs'!D62</f>
        <v>159.84</v>
      </c>
      <c r="H1405" s="200">
        <f>VLOOKUP($D1405,'Preços Unitários'!$B:$G,6,FALSE)</f>
        <v>10.673003999999999</v>
      </c>
      <c r="I1405" s="201">
        <f t="shared" si="183"/>
        <v>1705.9729593599998</v>
      </c>
      <c r="J1405"/>
    </row>
    <row r="1406" spans="1:10" ht="28.8" x14ac:dyDescent="0.3">
      <c r="B1406" s="197" t="s">
        <v>14269</v>
      </c>
      <c r="C1406" s="197" t="s">
        <v>13039</v>
      </c>
      <c r="D1406" s="198" t="s">
        <v>11947</v>
      </c>
      <c r="E1406" s="199" t="str">
        <f>VLOOKUP($D1406,'Preços Unitários'!$B:$G,2,FALSE)</f>
        <v>Transporte com caminhão basculante de 14 m³ - rodovia em leito natural</v>
      </c>
      <c r="F1406" s="197" t="str">
        <f>VLOOKUP($D1406,'Preços Unitários'!$B:$G,3,FALSE)</f>
        <v>tkm</v>
      </c>
      <c r="G1406" s="200">
        <f>+'MC ERs'!D63</f>
        <v>1118.8799999999999</v>
      </c>
      <c r="H1406" s="200">
        <f>VLOOKUP($D1406,'Preços Unitários'!$B:$G,6,FALSE)</f>
        <v>1.165011</v>
      </c>
      <c r="I1406" s="201">
        <f t="shared" si="183"/>
        <v>1303.5075076799999</v>
      </c>
      <c r="J1406"/>
    </row>
    <row r="1407" spans="1:10" ht="28.8" x14ac:dyDescent="0.3">
      <c r="B1407" s="197" t="s">
        <v>14270</v>
      </c>
      <c r="C1407" s="197" t="s">
        <v>13039</v>
      </c>
      <c r="D1407" s="198" t="s">
        <v>3149</v>
      </c>
      <c r="E1407" s="199" t="str">
        <f>VLOOKUP($D1407,'Preços Unitários'!$B:$G,2,FALSE)</f>
        <v>Concreto para bombeamento fck = 30 MPa - confecção em central dosadora de 30 m³/h - areia e brita comerciais</v>
      </c>
      <c r="F1407" s="197" t="str">
        <f>VLOOKUP($D1407,'Preços Unitários'!$B:$G,3,FALSE)</f>
        <v>m³</v>
      </c>
      <c r="G1407" s="200">
        <f>+'MC ERs'!H64</f>
        <v>159.00299999999999</v>
      </c>
      <c r="H1407" s="200">
        <f>VLOOKUP($D1407,'Preços Unitários'!$B:$G,6,FALSE)</f>
        <v>575.92882499999996</v>
      </c>
      <c r="I1407" s="201">
        <f t="shared" si="183"/>
        <v>91574.41096147499</v>
      </c>
      <c r="J1407"/>
    </row>
    <row r="1408" spans="1:10" ht="43.2" x14ac:dyDescent="0.3">
      <c r="B1408" s="197" t="s">
        <v>14271</v>
      </c>
      <c r="C1408" s="197" t="s">
        <v>13039</v>
      </c>
      <c r="D1408" s="198" t="s">
        <v>3201</v>
      </c>
      <c r="E1408" s="199" t="str">
        <f>VLOOKUP($D1408,'Preços Unitários'!$B:$G,2,FALSE)</f>
        <v>Lançamento mecânico de concreto com bomba rebocável com capacidade de 30 m³/h - confecção em central dosadora de 30 m³/h</v>
      </c>
      <c r="F1408" s="197" t="str">
        <f>VLOOKUP($D1408,'Preços Unitários'!$B:$G,3,FALSE)</f>
        <v>m³</v>
      </c>
      <c r="G1408" s="200">
        <f>+G1407</f>
        <v>159.00299999999999</v>
      </c>
      <c r="H1408" s="200">
        <f>VLOOKUP($D1408,'Preços Unitários'!$B:$G,6,FALSE)</f>
        <v>86.285976000000005</v>
      </c>
      <c r="I1408" s="201">
        <f t="shared" si="183"/>
        <v>13719.729041928</v>
      </c>
      <c r="J1408"/>
    </row>
    <row r="1409" spans="1:10" ht="28.8" x14ac:dyDescent="0.3">
      <c r="B1409" s="197" t="s">
        <v>14272</v>
      </c>
      <c r="C1409" s="197" t="s">
        <v>13039</v>
      </c>
      <c r="D1409" s="198" t="s">
        <v>8335</v>
      </c>
      <c r="E1409" s="199" t="str">
        <f>VLOOKUP($D1409,'Preços Unitários'!$B:$G,2,FALSE)</f>
        <v>Fôrmas de compensado plastificado 12 mm - uso geral - utilização de 1 vez - confecção, instalação e retirada</v>
      </c>
      <c r="F1409" s="197" t="str">
        <f>VLOOKUP($D1409,'Preços Unitários'!$B:$G,3,FALSE)</f>
        <v>m²</v>
      </c>
      <c r="G1409" s="200">
        <f>+'MC ERs'!H71</f>
        <v>954.01799999999992</v>
      </c>
      <c r="H1409" s="200">
        <f>VLOOKUP($D1409,'Preços Unitários'!$B:$G,6,FALSE)</f>
        <v>175.71622900000003</v>
      </c>
      <c r="I1409" s="201">
        <f t="shared" si="183"/>
        <v>167636.445358122</v>
      </c>
      <c r="J1409"/>
    </row>
    <row r="1410" spans="1:10" ht="57.6" x14ac:dyDescent="0.3">
      <c r="B1410" s="197" t="s">
        <v>14273</v>
      </c>
      <c r="C1410" s="197" t="s">
        <v>13039</v>
      </c>
      <c r="D1410" s="198" t="s">
        <v>6998</v>
      </c>
      <c r="E1410" s="199" t="str">
        <f>VLOOKUP($D1410,'Preços Unitários'!$B:$G,2,FALSE)</f>
        <v>Escoramento metálico tubular galvanizado para formas com capacidade de 2.100 a 750 kg por unidade - regulável de 3,0 a 4,5 m - utilização de 20 vezes - fornecimento, instalação e retirada</v>
      </c>
      <c r="F1410" s="197" t="str">
        <f>VLOOKUP($D1410,'Preços Unitários'!$B:$G,3,FALSE)</f>
        <v>un</v>
      </c>
      <c r="G1410" s="200">
        <f>+'MC ERs'!H72</f>
        <v>92.707999999999998</v>
      </c>
      <c r="H1410" s="200">
        <f>VLOOKUP($D1410,'Preços Unitários'!$B:$G,6,FALSE)</f>
        <v>24.214690999999998</v>
      </c>
      <c r="I1410" s="201">
        <f t="shared" si="183"/>
        <v>2244.8955732279996</v>
      </c>
      <c r="J1410"/>
    </row>
    <row r="1411" spans="1:10" ht="28.8" x14ac:dyDescent="0.3">
      <c r="B1411" s="197" t="s">
        <v>14274</v>
      </c>
      <c r="C1411" s="197" t="s">
        <v>13039</v>
      </c>
      <c r="D1411" s="198" t="s">
        <v>211</v>
      </c>
      <c r="E1411" s="199" t="str">
        <f>VLOOKUP($D1411,'Preços Unitários'!$B:$G,2,FALSE)</f>
        <v>Armação em aço CA-50 - fornecimento, preparo e colocação</v>
      </c>
      <c r="F1411" s="197" t="str">
        <f>VLOOKUP($D1411,'Preços Unitários'!$B:$G,3,FALSE)</f>
        <v>kg</v>
      </c>
      <c r="G1411" s="200">
        <f>+'MC ERs'!H73</f>
        <v>19080.359999999997</v>
      </c>
      <c r="H1411" s="200">
        <f>VLOOKUP($D1411,'Preços Unitários'!$B:$G,6,FALSE)</f>
        <v>15.846655000000002</v>
      </c>
      <c r="I1411" s="201">
        <f t="shared" si="183"/>
        <v>302359.88219579996</v>
      </c>
      <c r="J1411"/>
    </row>
    <row r="1412" spans="1:10" x14ac:dyDescent="0.3">
      <c r="B1412" s="197" t="s">
        <v>14562</v>
      </c>
      <c r="C1412" s="197" t="s">
        <v>12</v>
      </c>
      <c r="D1412" s="197" t="s">
        <v>12</v>
      </c>
      <c r="E1412" s="199" t="s">
        <v>14056</v>
      </c>
      <c r="F1412" s="197" t="s">
        <v>2904</v>
      </c>
      <c r="G1412" s="200">
        <f>+'MC ERs'!H74</f>
        <v>60</v>
      </c>
      <c r="H1412" s="200">
        <v>280.52</v>
      </c>
      <c r="I1412" s="201">
        <f t="shared" si="183"/>
        <v>16831.199999999997</v>
      </c>
      <c r="J1412"/>
    </row>
    <row r="1413" spans="1:10" x14ac:dyDescent="0.3">
      <c r="A1413" s="230" t="s">
        <v>14474</v>
      </c>
      <c r="B1413" s="202" t="s">
        <v>14275</v>
      </c>
      <c r="C1413" s="202" t="s">
        <v>13</v>
      </c>
      <c r="D1413" s="203" t="s">
        <v>13</v>
      </c>
      <c r="E1413" s="204" t="s">
        <v>13942</v>
      </c>
      <c r="F1413" s="202"/>
      <c r="G1413" s="205"/>
      <c r="H1413" s="205"/>
      <c r="I1413" s="205">
        <f>SUM(I1414:I1422)</f>
        <v>560924.94661666709</v>
      </c>
      <c r="J1413" s="284" t="s">
        <v>14474</v>
      </c>
    </row>
    <row r="1414" spans="1:10" ht="28.8" x14ac:dyDescent="0.3">
      <c r="B1414" s="197" t="s">
        <v>14276</v>
      </c>
      <c r="C1414" s="197" t="s">
        <v>13039</v>
      </c>
      <c r="D1414" s="198" t="s">
        <v>11052</v>
      </c>
      <c r="E1414" s="199" t="str">
        <f>VLOOKUP($D1414,'Preços Unitários'!$B:$G,2,FALSE)</f>
        <v>Desmatamento, destocamento e limpeza de área com árvores de diâmetro até 0,15 m</v>
      </c>
      <c r="F1414" s="197" t="str">
        <f>VLOOKUP($D1414,'Preços Unitários'!$B:$G,3,FALSE)</f>
        <v>m²</v>
      </c>
      <c r="G1414" s="200">
        <f>+'MC ERs'!D80</f>
        <v>379.66500000000002</v>
      </c>
      <c r="H1414" s="200">
        <f>VLOOKUP($D1414,'Preços Unitários'!$B:$G,6,FALSE)</f>
        <v>0.87688999999999995</v>
      </c>
      <c r="I1414" s="201">
        <f t="shared" ref="I1414:I1422" si="184">+G1414*H1414</f>
        <v>332.92444184999999</v>
      </c>
      <c r="J1414" s="291"/>
    </row>
    <row r="1415" spans="1:10" ht="43.2" x14ac:dyDescent="0.3">
      <c r="B1415" s="197" t="s">
        <v>14277</v>
      </c>
      <c r="C1415" s="197" t="s">
        <v>13039</v>
      </c>
      <c r="D1415" s="198" t="s">
        <v>11092</v>
      </c>
      <c r="E1415" s="199" t="str">
        <f>VLOOKUP($D1415,'Preços Unitários'!$B:$G,2,FALSE)</f>
        <v>Escavação, carga e transporte de material de 1ª categoria - DMT de 1.000 a 1.200 m - caminho de serviço em leito natural - com escavadeira e caminhão basculante de 14 m³</v>
      </c>
      <c r="F1415" s="197" t="str">
        <f>VLOOKUP($D1415,'Preços Unitários'!$B:$G,3,FALSE)</f>
        <v>m³</v>
      </c>
      <c r="G1415" s="200">
        <f>+'MC ERs'!D81</f>
        <v>163.67949999999999</v>
      </c>
      <c r="H1415" s="200">
        <f>VLOOKUP($D1415,'Preços Unitários'!$B:$G,6,FALSE)</f>
        <v>10.673003999999999</v>
      </c>
      <c r="I1415" s="201">
        <f t="shared" si="184"/>
        <v>1746.9519582179996</v>
      </c>
      <c r="J1415" s="291"/>
    </row>
    <row r="1416" spans="1:10" ht="28.8" x14ac:dyDescent="0.3">
      <c r="B1416" s="197" t="s">
        <v>14278</v>
      </c>
      <c r="C1416" s="197" t="s">
        <v>13039</v>
      </c>
      <c r="D1416" s="198" t="s">
        <v>11947</v>
      </c>
      <c r="E1416" s="199" t="str">
        <f>VLOOKUP($D1416,'Preços Unitários'!$B:$G,2,FALSE)</f>
        <v>Transporte com caminhão basculante de 14 m³ - rodovia em leito natural</v>
      </c>
      <c r="F1416" s="197" t="str">
        <f>VLOOKUP($D1416,'Preços Unitários'!$B:$G,3,FALSE)</f>
        <v>tkm</v>
      </c>
      <c r="G1416" s="200">
        <f>+'MC ERs'!D82</f>
        <v>1145.7564999999997</v>
      </c>
      <c r="H1416" s="200">
        <f>VLOOKUP($D1416,'Preços Unitários'!$B:$G,6,FALSE)</f>
        <v>1.165011</v>
      </c>
      <c r="I1416" s="201">
        <f t="shared" si="184"/>
        <v>1334.8189258214998</v>
      </c>
      <c r="J1416" s="291"/>
    </row>
    <row r="1417" spans="1:10" ht="28.8" x14ac:dyDescent="0.3">
      <c r="B1417" s="197" t="s">
        <v>14279</v>
      </c>
      <c r="C1417" s="197" t="s">
        <v>13039</v>
      </c>
      <c r="D1417" s="198" t="s">
        <v>3149</v>
      </c>
      <c r="E1417" s="199" t="str">
        <f>VLOOKUP($D1417,'Preços Unitários'!$B:$G,2,FALSE)</f>
        <v>Concreto para bombeamento fck = 30 MPa - confecção em central dosadora de 30 m³/h - areia e brita comerciais</v>
      </c>
      <c r="F1417" s="197" t="str">
        <f>VLOOKUP($D1417,'Preços Unitários'!$B:$G,3,FALSE)</f>
        <v>m³</v>
      </c>
      <c r="G1417" s="200">
        <f>+'MC ERs'!H83</f>
        <v>148.5985</v>
      </c>
      <c r="H1417" s="200">
        <f>VLOOKUP($D1417,'Preços Unitários'!$B:$G,6,FALSE)</f>
        <v>575.92882499999996</v>
      </c>
      <c r="I1417" s="201">
        <f t="shared" si="184"/>
        <v>85582.159501762493</v>
      </c>
      <c r="J1417" s="291"/>
    </row>
    <row r="1418" spans="1:10" ht="43.2" x14ac:dyDescent="0.3">
      <c r="B1418" s="197" t="s">
        <v>14280</v>
      </c>
      <c r="C1418" s="197" t="s">
        <v>13039</v>
      </c>
      <c r="D1418" s="198" t="s">
        <v>3201</v>
      </c>
      <c r="E1418" s="199" t="str">
        <f>VLOOKUP($D1418,'Preços Unitários'!$B:$G,2,FALSE)</f>
        <v>Lançamento mecânico de concreto com bomba rebocável com capacidade de 30 m³/h - confecção em central dosadora de 30 m³/h</v>
      </c>
      <c r="F1418" s="197" t="str">
        <f>VLOOKUP($D1418,'Preços Unitários'!$B:$G,3,FALSE)</f>
        <v>m³</v>
      </c>
      <c r="G1418" s="200">
        <f>+'MC ERs'!H83</f>
        <v>148.5985</v>
      </c>
      <c r="H1418" s="200">
        <f>VLOOKUP($D1418,'Preços Unitários'!$B:$G,6,FALSE)</f>
        <v>86.285976000000005</v>
      </c>
      <c r="I1418" s="201">
        <f t="shared" si="184"/>
        <v>12821.966604636002</v>
      </c>
      <c r="J1418" s="291"/>
    </row>
    <row r="1419" spans="1:10" ht="28.8" x14ac:dyDescent="0.3">
      <c r="B1419" s="197" t="s">
        <v>14281</v>
      </c>
      <c r="C1419" s="197" t="s">
        <v>13039</v>
      </c>
      <c r="D1419" s="198" t="s">
        <v>8335</v>
      </c>
      <c r="E1419" s="199" t="str">
        <f>VLOOKUP($D1419,'Preços Unitários'!$B:$G,2,FALSE)</f>
        <v>Fôrmas de compensado plastificado 12 mm - uso geral - utilização de 1 vez - confecção, instalação e retirada</v>
      </c>
      <c r="F1419" s="197" t="str">
        <f>VLOOKUP($D1419,'Preços Unitários'!$B:$G,3,FALSE)</f>
        <v>m²</v>
      </c>
      <c r="G1419" s="200">
        <f>+'MC ERs'!H90</f>
        <v>891.59100000000001</v>
      </c>
      <c r="H1419" s="200">
        <f>VLOOKUP($D1419,'Preços Unitários'!$B:$G,6,FALSE)</f>
        <v>175.71622900000003</v>
      </c>
      <c r="I1419" s="201">
        <f t="shared" si="184"/>
        <v>156667.00833033901</v>
      </c>
      <c r="J1419" s="291"/>
    </row>
    <row r="1420" spans="1:10" ht="57.6" x14ac:dyDescent="0.3">
      <c r="B1420" s="197" t="s">
        <v>14282</v>
      </c>
      <c r="C1420" s="197" t="s">
        <v>13039</v>
      </c>
      <c r="D1420" s="198" t="s">
        <v>6998</v>
      </c>
      <c r="E1420" s="199" t="str">
        <f>VLOOKUP($D1420,'Preços Unitários'!$B:$G,2,FALSE)</f>
        <v>Escoramento metálico tubular galvanizado para formas com capacidade de 2.100 a 750 kg por unidade - regulável de 3,0 a 4,5 m - utilização de 20 vezes - fornecimento, instalação e retirada</v>
      </c>
      <c r="F1420" s="197" t="str">
        <f>VLOOKUP($D1420,'Preços Unitários'!$B:$G,3,FALSE)</f>
        <v>un</v>
      </c>
      <c r="G1420" s="200">
        <f>+'MC ERs'!H91</f>
        <v>67.34</v>
      </c>
      <c r="H1420" s="200">
        <f>VLOOKUP($D1420,'Preços Unitários'!$B:$G,6,FALSE)</f>
        <v>24.214690999999998</v>
      </c>
      <c r="I1420" s="201">
        <f t="shared" si="184"/>
        <v>1630.6172919400001</v>
      </c>
      <c r="J1420" s="291"/>
    </row>
    <row r="1421" spans="1:10" ht="28.8" x14ac:dyDescent="0.3">
      <c r="B1421" s="197" t="s">
        <v>14283</v>
      </c>
      <c r="C1421" s="197" t="s">
        <v>13039</v>
      </c>
      <c r="D1421" s="198" t="s">
        <v>211</v>
      </c>
      <c r="E1421" s="199" t="str">
        <f>VLOOKUP($D1421,'Preços Unitários'!$B:$G,2,FALSE)</f>
        <v>Armação em aço CA-50 - fornecimento, preparo e colocação</v>
      </c>
      <c r="F1421" s="197" t="str">
        <f>VLOOKUP($D1421,'Preços Unitários'!$B:$G,3,FALSE)</f>
        <v>kg</v>
      </c>
      <c r="G1421" s="200">
        <f>+'MC ERs'!H92</f>
        <v>17831.82</v>
      </c>
      <c r="H1421" s="200">
        <f>VLOOKUP($D1421,'Preços Unitários'!$B:$G,6,FALSE)</f>
        <v>15.846655000000002</v>
      </c>
      <c r="I1421" s="201">
        <f t="shared" si="184"/>
        <v>282574.69956210005</v>
      </c>
      <c r="J1421" s="291"/>
    </row>
    <row r="1422" spans="1:10" x14ac:dyDescent="0.3">
      <c r="B1422" s="197" t="s">
        <v>14561</v>
      </c>
      <c r="C1422" s="197" t="s">
        <v>12</v>
      </c>
      <c r="D1422" s="228" t="s">
        <v>12</v>
      </c>
      <c r="E1422" s="199" t="s">
        <v>14056</v>
      </c>
      <c r="F1422" s="197" t="s">
        <v>2904</v>
      </c>
      <c r="G1422" s="200">
        <f>+'MC ERs'!H93</f>
        <v>65</v>
      </c>
      <c r="H1422" s="200">
        <v>280.52</v>
      </c>
      <c r="I1422" s="201">
        <f t="shared" si="184"/>
        <v>18233.8</v>
      </c>
      <c r="J1422" s="291"/>
    </row>
    <row r="1423" spans="1:10" x14ac:dyDescent="0.3">
      <c r="B1423" s="202"/>
      <c r="C1423" s="202"/>
      <c r="D1423" s="203"/>
      <c r="E1423" s="204"/>
      <c r="F1423" s="202"/>
      <c r="G1423" s="205"/>
      <c r="H1423" s="205"/>
      <c r="I1423" s="205"/>
      <c r="J1423" s="291"/>
    </row>
    <row r="1424" spans="1:10" s="219" customFormat="1" x14ac:dyDescent="0.3">
      <c r="B1424" s="215" t="s">
        <v>14223</v>
      </c>
      <c r="C1424" s="215" t="s">
        <v>13</v>
      </c>
      <c r="D1424" s="216" t="s">
        <v>13</v>
      </c>
      <c r="E1424" s="217" t="s">
        <v>13341</v>
      </c>
      <c r="F1424" s="215" t="s">
        <v>13</v>
      </c>
      <c r="G1424" s="214">
        <v>0</v>
      </c>
      <c r="H1424" s="214">
        <v>0</v>
      </c>
      <c r="I1424" s="214">
        <f>+I1425</f>
        <v>14375248.729128927</v>
      </c>
      <c r="J1424" s="291"/>
    </row>
    <row r="1425" spans="1:11" x14ac:dyDescent="0.3">
      <c r="B1425" s="202">
        <v>1</v>
      </c>
      <c r="C1425" s="202" t="s">
        <v>13</v>
      </c>
      <c r="D1425" s="203" t="s">
        <v>13</v>
      </c>
      <c r="E1425" s="204" t="s">
        <v>13121</v>
      </c>
      <c r="F1425" s="202" t="s">
        <v>13</v>
      </c>
      <c r="G1425" s="205">
        <v>0</v>
      </c>
      <c r="H1425" s="205">
        <v>0</v>
      </c>
      <c r="I1425" s="205">
        <f>+I1426+I1433+I1440+I1444+I1448</f>
        <v>14375248.729128927</v>
      </c>
      <c r="J1425" s="291"/>
    </row>
    <row r="1426" spans="1:11" x14ac:dyDescent="0.3">
      <c r="B1426" s="202" t="s">
        <v>11</v>
      </c>
      <c r="C1426" s="202" t="s">
        <v>13</v>
      </c>
      <c r="D1426" s="203" t="s">
        <v>13</v>
      </c>
      <c r="E1426" s="204" t="s">
        <v>13123</v>
      </c>
      <c r="F1426" s="202" t="s">
        <v>13</v>
      </c>
      <c r="G1426" s="205">
        <v>0</v>
      </c>
      <c r="H1426" s="205">
        <v>0</v>
      </c>
      <c r="I1426" s="205">
        <f>SUM(I1427:I1432)</f>
        <v>11777019.889996564</v>
      </c>
      <c r="J1426" s="291"/>
    </row>
    <row r="1427" spans="1:11" x14ac:dyDescent="0.3">
      <c r="A1427" s="42" t="s">
        <v>14473</v>
      </c>
      <c r="B1427" s="202" t="s">
        <v>13202</v>
      </c>
      <c r="C1427" s="202" t="s">
        <v>12</v>
      </c>
      <c r="D1427" s="204" t="s">
        <v>12</v>
      </c>
      <c r="E1427" s="204" t="s">
        <v>13160</v>
      </c>
      <c r="F1427" s="202" t="s">
        <v>13126</v>
      </c>
      <c r="G1427" s="205">
        <v>2</v>
      </c>
      <c r="H1427" s="205">
        <f>+Bombas!I8</f>
        <v>2152051.4694954171</v>
      </c>
      <c r="I1427" s="205">
        <f>+G1427*H1427</f>
        <v>4304102.9389908342</v>
      </c>
      <c r="J1427" s="284" t="s">
        <v>14627</v>
      </c>
      <c r="K1427" s="14"/>
    </row>
    <row r="1428" spans="1:11" x14ac:dyDescent="0.3">
      <c r="A1428" s="42" t="s">
        <v>14473</v>
      </c>
      <c r="B1428" s="202" t="s">
        <v>13221</v>
      </c>
      <c r="C1428" s="202" t="s">
        <v>12</v>
      </c>
      <c r="D1428" s="204" t="s">
        <v>12</v>
      </c>
      <c r="E1428" s="204" t="s">
        <v>13161</v>
      </c>
      <c r="F1428" s="202" t="s">
        <v>13126</v>
      </c>
      <c r="G1428" s="205">
        <v>1</v>
      </c>
      <c r="H1428" s="205">
        <f>+Bombas!I9</f>
        <v>798515.45085000002</v>
      </c>
      <c r="I1428" s="205">
        <f>+G1428*H1428</f>
        <v>798515.45085000002</v>
      </c>
      <c r="J1428" s="284" t="s">
        <v>14627</v>
      </c>
      <c r="K1428" s="14"/>
    </row>
    <row r="1429" spans="1:11" x14ac:dyDescent="0.3">
      <c r="A1429" s="42" t="s">
        <v>14473</v>
      </c>
      <c r="B1429" s="202" t="s">
        <v>13227</v>
      </c>
      <c r="C1429" s="202" t="s">
        <v>12</v>
      </c>
      <c r="D1429" s="204" t="s">
        <v>12</v>
      </c>
      <c r="E1429" s="204" t="s">
        <v>13162</v>
      </c>
      <c r="F1429" s="202" t="s">
        <v>13126</v>
      </c>
      <c r="G1429" s="205">
        <v>1</v>
      </c>
      <c r="H1429" s="205">
        <f>+Bombas!I10</f>
        <v>1914324.8536790623</v>
      </c>
      <c r="I1429" s="205">
        <f t="shared" ref="I1429:I1432" si="185">+G1429*H1429</f>
        <v>1914324.8536790623</v>
      </c>
      <c r="J1429" s="284" t="s">
        <v>14627</v>
      </c>
      <c r="K1429" s="14"/>
    </row>
    <row r="1430" spans="1:11" x14ac:dyDescent="0.3">
      <c r="A1430" s="42" t="s">
        <v>14473</v>
      </c>
      <c r="B1430" s="202" t="s">
        <v>13229</v>
      </c>
      <c r="C1430" s="202" t="s">
        <v>12</v>
      </c>
      <c r="D1430" s="204" t="s">
        <v>12</v>
      </c>
      <c r="E1430" s="204" t="s">
        <v>13163</v>
      </c>
      <c r="F1430" s="202" t="s">
        <v>13126</v>
      </c>
      <c r="G1430" s="205">
        <v>1</v>
      </c>
      <c r="H1430" s="205">
        <f>+Bombas!I11</f>
        <v>1201145.0062299999</v>
      </c>
      <c r="I1430" s="205">
        <f t="shared" si="185"/>
        <v>1201145.0062299999</v>
      </c>
      <c r="J1430" s="284" t="s">
        <v>14627</v>
      </c>
      <c r="K1430" s="14"/>
    </row>
    <row r="1431" spans="1:11" x14ac:dyDescent="0.3">
      <c r="A1431" s="42" t="s">
        <v>14473</v>
      </c>
      <c r="B1431" s="202" t="s">
        <v>13241</v>
      </c>
      <c r="C1431" s="202" t="s">
        <v>12</v>
      </c>
      <c r="D1431" s="204" t="s">
        <v>12</v>
      </c>
      <c r="E1431" s="204" t="s">
        <v>13164</v>
      </c>
      <c r="F1431" s="202" t="s">
        <v>13126</v>
      </c>
      <c r="G1431" s="205">
        <v>1</v>
      </c>
      <c r="H1431" s="205">
        <f>+Bombas!I12</f>
        <v>355878.29029999999</v>
      </c>
      <c r="I1431" s="205">
        <f t="shared" si="185"/>
        <v>355878.29029999999</v>
      </c>
      <c r="J1431" s="284" t="s">
        <v>14627</v>
      </c>
      <c r="K1431" s="14"/>
    </row>
    <row r="1432" spans="1:11" x14ac:dyDescent="0.3">
      <c r="A1432" s="42" t="s">
        <v>14474</v>
      </c>
      <c r="B1432" s="202" t="s">
        <v>14288</v>
      </c>
      <c r="C1432" s="202" t="s">
        <v>12</v>
      </c>
      <c r="D1432" s="204" t="s">
        <v>12</v>
      </c>
      <c r="E1432" s="204" t="s">
        <v>13165</v>
      </c>
      <c r="F1432" s="202" t="s">
        <v>13126</v>
      </c>
      <c r="G1432" s="205">
        <v>2</v>
      </c>
      <c r="H1432" s="205">
        <f>+Bombas!I13</f>
        <v>1601526.6749733333</v>
      </c>
      <c r="I1432" s="205">
        <f t="shared" si="185"/>
        <v>3203053.3499466665</v>
      </c>
      <c r="J1432" s="284" t="s">
        <v>14628</v>
      </c>
    </row>
    <row r="1433" spans="1:11" x14ac:dyDescent="0.3">
      <c r="A1433" s="42"/>
      <c r="B1433" s="202" t="s">
        <v>13053</v>
      </c>
      <c r="C1433" s="202" t="s">
        <v>13</v>
      </c>
      <c r="D1433" s="203" t="s">
        <v>13</v>
      </c>
      <c r="E1433" s="204" t="s">
        <v>13129</v>
      </c>
      <c r="F1433" s="202" t="s">
        <v>13</v>
      </c>
      <c r="G1433" s="205">
        <v>0</v>
      </c>
      <c r="H1433" s="205">
        <v>0</v>
      </c>
      <c r="I1433" s="205">
        <f>SUM(I1434:I1439)</f>
        <v>500362.38593574893</v>
      </c>
      <c r="J1433" s="291"/>
    </row>
    <row r="1434" spans="1:11" x14ac:dyDescent="0.3">
      <c r="A1434" s="230" t="s">
        <v>14473</v>
      </c>
      <c r="B1434" s="202" t="s">
        <v>13381</v>
      </c>
      <c r="C1434" s="204" t="s">
        <v>12</v>
      </c>
      <c r="D1434" s="204" t="s">
        <v>12</v>
      </c>
      <c r="E1434" s="204" t="s">
        <v>13166</v>
      </c>
      <c r="F1434" s="202" t="s">
        <v>195</v>
      </c>
      <c r="G1434" s="205">
        <v>19.2</v>
      </c>
      <c r="H1434" s="205">
        <f>+'Tubulações ER'!N16</f>
        <v>8813.6303511581318</v>
      </c>
      <c r="I1434" s="205">
        <f>+G1434*H1434</f>
        <v>169221.70274223611</v>
      </c>
      <c r="J1434" s="284" t="s">
        <v>14627</v>
      </c>
    </row>
    <row r="1435" spans="1:11" x14ac:dyDescent="0.3">
      <c r="A1435" s="230" t="s">
        <v>14473</v>
      </c>
      <c r="B1435" s="202" t="s">
        <v>13382</v>
      </c>
      <c r="C1435" s="204" t="s">
        <v>12</v>
      </c>
      <c r="D1435" s="204" t="s">
        <v>12</v>
      </c>
      <c r="E1435" s="204" t="s">
        <v>13167</v>
      </c>
      <c r="F1435" s="202" t="s">
        <v>195</v>
      </c>
      <c r="G1435" s="205">
        <v>13.15</v>
      </c>
      <c r="H1435" s="205">
        <f>+'Tubulações ER'!S16</f>
        <v>5036.3602006617893</v>
      </c>
      <c r="I1435" s="205">
        <f t="shared" ref="I1435:I1439" si="186">+G1435*H1435</f>
        <v>66228.136638702534</v>
      </c>
      <c r="J1435" s="284" t="s">
        <v>14627</v>
      </c>
    </row>
    <row r="1436" spans="1:11" x14ac:dyDescent="0.3">
      <c r="A1436" s="230" t="s">
        <v>14473</v>
      </c>
      <c r="B1436" s="202" t="s">
        <v>13383</v>
      </c>
      <c r="C1436" s="204" t="s">
        <v>12</v>
      </c>
      <c r="D1436" s="204" t="s">
        <v>12</v>
      </c>
      <c r="E1436" s="204" t="s">
        <v>13168</v>
      </c>
      <c r="F1436" s="202" t="s">
        <v>195</v>
      </c>
      <c r="G1436" s="205">
        <v>13</v>
      </c>
      <c r="H1436" s="205">
        <f>+'Tubulações ER'!D26</f>
        <v>8393.9336677696519</v>
      </c>
      <c r="I1436" s="205">
        <f t="shared" si="186"/>
        <v>109121.13768100548</v>
      </c>
      <c r="J1436" s="284" t="s">
        <v>14627</v>
      </c>
    </row>
    <row r="1437" spans="1:11" x14ac:dyDescent="0.3">
      <c r="A1437" s="230" t="s">
        <v>14473</v>
      </c>
      <c r="B1437" s="202" t="s">
        <v>13384</v>
      </c>
      <c r="C1437" s="204" t="s">
        <v>12</v>
      </c>
      <c r="D1437" s="204" t="s">
        <v>12</v>
      </c>
      <c r="E1437" s="204" t="s">
        <v>13169</v>
      </c>
      <c r="F1437" s="202" t="s">
        <v>195</v>
      </c>
      <c r="G1437" s="205">
        <v>1</v>
      </c>
      <c r="H1437" s="205">
        <f>+'Tubulações ER'!I26</f>
        <v>6715.1469342157216</v>
      </c>
      <c r="I1437" s="205">
        <f t="shared" si="186"/>
        <v>6715.1469342157216</v>
      </c>
      <c r="J1437" s="284" t="s">
        <v>14627</v>
      </c>
    </row>
    <row r="1438" spans="1:11" x14ac:dyDescent="0.3">
      <c r="A1438" s="230" t="s">
        <v>14473</v>
      </c>
      <c r="B1438" s="202" t="s">
        <v>13385</v>
      </c>
      <c r="C1438" s="204" t="s">
        <v>12</v>
      </c>
      <c r="D1438" s="204" t="s">
        <v>12</v>
      </c>
      <c r="E1438" s="204" t="s">
        <v>13170</v>
      </c>
      <c r="F1438" s="202" t="s">
        <v>195</v>
      </c>
      <c r="G1438" s="205">
        <v>1</v>
      </c>
      <c r="H1438" s="205">
        <f>+'Tubulações ER'!N26</f>
        <v>2518.1801003308947</v>
      </c>
      <c r="I1438" s="205">
        <f t="shared" si="186"/>
        <v>2518.1801003308947</v>
      </c>
      <c r="J1438" s="284" t="s">
        <v>14627</v>
      </c>
    </row>
    <row r="1439" spans="1:11" x14ac:dyDescent="0.3">
      <c r="A1439" s="230" t="s">
        <v>14474</v>
      </c>
      <c r="B1439" s="202" t="s">
        <v>14289</v>
      </c>
      <c r="C1439" s="204" t="s">
        <v>12</v>
      </c>
      <c r="D1439" s="204" t="s">
        <v>12</v>
      </c>
      <c r="E1439" s="204" t="s">
        <v>13131</v>
      </c>
      <c r="F1439" s="202" t="s">
        <v>195</v>
      </c>
      <c r="G1439" s="205">
        <v>19.399999999999999</v>
      </c>
      <c r="H1439" s="205">
        <f>+'Tubulações ER'!S26</f>
        <v>7554.5403009926868</v>
      </c>
      <c r="I1439" s="205">
        <f t="shared" si="186"/>
        <v>146558.08183925811</v>
      </c>
      <c r="J1439" s="284" t="s">
        <v>14628</v>
      </c>
    </row>
    <row r="1440" spans="1:11" x14ac:dyDescent="0.3">
      <c r="B1440" s="202" t="s">
        <v>13054</v>
      </c>
      <c r="C1440" s="202" t="s">
        <v>13</v>
      </c>
      <c r="D1440" s="203" t="s">
        <v>13</v>
      </c>
      <c r="E1440" s="204" t="s">
        <v>13200</v>
      </c>
      <c r="F1440" s="202" t="s">
        <v>13</v>
      </c>
      <c r="G1440" s="205">
        <v>0</v>
      </c>
      <c r="H1440" s="205">
        <v>0</v>
      </c>
      <c r="I1440" s="205">
        <f>SUM(I1441:I1443)</f>
        <v>395402.228</v>
      </c>
      <c r="J1440" s="291"/>
    </row>
    <row r="1441" spans="1:10" x14ac:dyDescent="0.3">
      <c r="A1441" s="42" t="s">
        <v>14472</v>
      </c>
      <c r="B1441" s="202" t="s">
        <v>13443</v>
      </c>
      <c r="C1441" s="204" t="s">
        <v>12</v>
      </c>
      <c r="D1441" s="198" t="s">
        <v>13929</v>
      </c>
      <c r="E1441" s="204" t="s">
        <v>13933</v>
      </c>
      <c r="F1441" s="202" t="s">
        <v>13932</v>
      </c>
      <c r="G1441" s="205">
        <v>0</v>
      </c>
      <c r="H1441" s="205">
        <v>0</v>
      </c>
      <c r="I1441" s="205">
        <f>+'Ficha EC'!L17</f>
        <v>208449.28</v>
      </c>
      <c r="J1441" s="284" t="s">
        <v>14644</v>
      </c>
    </row>
    <row r="1442" spans="1:10" x14ac:dyDescent="0.3">
      <c r="A1442" s="42" t="s">
        <v>14473</v>
      </c>
      <c r="B1442" s="202" t="s">
        <v>13455</v>
      </c>
      <c r="C1442" s="204" t="s">
        <v>12</v>
      </c>
      <c r="D1442" s="198" t="s">
        <v>13930</v>
      </c>
      <c r="E1442" s="204" t="s">
        <v>13934</v>
      </c>
      <c r="F1442" s="202" t="s">
        <v>13932</v>
      </c>
      <c r="G1442" s="205">
        <v>0</v>
      </c>
      <c r="H1442" s="205">
        <v>0</v>
      </c>
      <c r="I1442" s="205">
        <f>+'Ficha EC'!L18</f>
        <v>108133.064</v>
      </c>
      <c r="J1442" s="284" t="s">
        <v>14627</v>
      </c>
    </row>
    <row r="1443" spans="1:10" x14ac:dyDescent="0.3">
      <c r="A1443" s="42" t="s">
        <v>14474</v>
      </c>
      <c r="B1443" s="202" t="s">
        <v>13463</v>
      </c>
      <c r="C1443" s="204" t="s">
        <v>12</v>
      </c>
      <c r="D1443" s="198" t="s">
        <v>13931</v>
      </c>
      <c r="E1443" s="204" t="s">
        <v>13935</v>
      </c>
      <c r="F1443" s="202" t="s">
        <v>13932</v>
      </c>
      <c r="G1443" s="205">
        <v>0</v>
      </c>
      <c r="H1443" s="205">
        <v>0</v>
      </c>
      <c r="I1443" s="205">
        <f>+'Ficha EC'!L19</f>
        <v>78819.884000000005</v>
      </c>
      <c r="J1443" s="284" t="s">
        <v>14628</v>
      </c>
    </row>
    <row r="1444" spans="1:10" x14ac:dyDescent="0.3">
      <c r="B1444" s="202" t="s">
        <v>13055</v>
      </c>
      <c r="C1444" s="202" t="s">
        <v>13</v>
      </c>
      <c r="D1444" s="203" t="s">
        <v>13</v>
      </c>
      <c r="E1444" s="204" t="s">
        <v>14457</v>
      </c>
      <c r="F1444" s="202" t="s">
        <v>13932</v>
      </c>
      <c r="G1444" s="205">
        <v>0</v>
      </c>
      <c r="H1444" s="205">
        <v>0</v>
      </c>
      <c r="I1444" s="205">
        <f>SUM(I1445:I1447)</f>
        <v>1068825</v>
      </c>
      <c r="J1444" s="297"/>
    </row>
    <row r="1445" spans="1:10" x14ac:dyDescent="0.3">
      <c r="A1445" s="42" t="s">
        <v>14473</v>
      </c>
      <c r="B1445" s="202" t="s">
        <v>13476</v>
      </c>
      <c r="C1445" s="204" t="s">
        <v>12</v>
      </c>
      <c r="D1445" s="204" t="s">
        <v>12</v>
      </c>
      <c r="E1445" s="204" t="s">
        <v>14459</v>
      </c>
      <c r="F1445" s="202" t="s">
        <v>13932</v>
      </c>
      <c r="G1445" s="205">
        <v>0</v>
      </c>
      <c r="H1445" s="205">
        <v>0</v>
      </c>
      <c r="I1445" s="205">
        <f>SUM('Equipamentos Elétricos'!H23:H27)</f>
        <v>612850</v>
      </c>
      <c r="J1445" s="284" t="s">
        <v>14473</v>
      </c>
    </row>
    <row r="1446" spans="1:10" x14ac:dyDescent="0.3">
      <c r="A1446" s="42" t="s">
        <v>14473</v>
      </c>
      <c r="B1446" s="202" t="s">
        <v>13488</v>
      </c>
      <c r="C1446" s="204" t="s">
        <v>12</v>
      </c>
      <c r="D1446" s="204" t="s">
        <v>12</v>
      </c>
      <c r="E1446" s="204" t="s">
        <v>14460</v>
      </c>
      <c r="F1446" s="202" t="s">
        <v>13932</v>
      </c>
      <c r="G1446" s="205">
        <v>0</v>
      </c>
      <c r="H1446" s="205">
        <v>0</v>
      </c>
      <c r="I1446" s="205">
        <f>SUM('Equipamentos Elétricos'!H28:H33)</f>
        <v>171525</v>
      </c>
      <c r="J1446" s="284" t="s">
        <v>14473</v>
      </c>
    </row>
    <row r="1447" spans="1:10" x14ac:dyDescent="0.3">
      <c r="A1447" s="42" t="s">
        <v>14474</v>
      </c>
      <c r="B1447" s="202" t="s">
        <v>13496</v>
      </c>
      <c r="C1447" s="204" t="s">
        <v>12</v>
      </c>
      <c r="D1447" s="204" t="s">
        <v>12</v>
      </c>
      <c r="E1447" s="204" t="s">
        <v>14461</v>
      </c>
      <c r="F1447" s="202" t="s">
        <v>13932</v>
      </c>
      <c r="G1447" s="205">
        <v>0</v>
      </c>
      <c r="H1447" s="205">
        <v>0</v>
      </c>
      <c r="I1447" s="205">
        <f>SUM('Equipamentos Elétricos'!H34:H38)</f>
        <v>284450</v>
      </c>
      <c r="J1447" s="284" t="s">
        <v>14474</v>
      </c>
    </row>
    <row r="1448" spans="1:10" x14ac:dyDescent="0.3">
      <c r="B1448" s="202" t="s">
        <v>13056</v>
      </c>
      <c r="C1448" s="204" t="s">
        <v>12</v>
      </c>
      <c r="D1448" s="204" t="s">
        <v>12</v>
      </c>
      <c r="E1448" s="204" t="s">
        <v>14043</v>
      </c>
      <c r="F1448" s="202" t="s">
        <v>13932</v>
      </c>
      <c r="G1448" s="205">
        <v>0</v>
      </c>
      <c r="H1448" s="205">
        <v>0</v>
      </c>
      <c r="I1448" s="205">
        <f>(I1426+I1433+I1440)*0.05</f>
        <v>633639.22519661568</v>
      </c>
      <c r="J1448" s="294" t="s">
        <v>14645</v>
      </c>
    </row>
    <row r="1449" spans="1:10" x14ac:dyDescent="0.3">
      <c r="B1449" s="202"/>
      <c r="C1449" s="202"/>
      <c r="D1449" s="203"/>
      <c r="E1449" s="204"/>
      <c r="F1449" s="202"/>
      <c r="G1449" s="205"/>
      <c r="H1449" s="205"/>
      <c r="I1449" s="205"/>
      <c r="J1449" s="291"/>
    </row>
    <row r="1450" spans="1:10" s="219" customFormat="1" x14ac:dyDescent="0.3">
      <c r="B1450" s="215" t="s">
        <v>13</v>
      </c>
      <c r="C1450" s="215" t="s">
        <v>13</v>
      </c>
      <c r="D1450" s="215" t="s">
        <v>13</v>
      </c>
      <c r="E1450" s="217" t="s">
        <v>14467</v>
      </c>
      <c r="F1450" s="215" t="s">
        <v>13</v>
      </c>
      <c r="G1450" s="215" t="s">
        <v>13</v>
      </c>
      <c r="H1450" s="215" t="s">
        <v>13</v>
      </c>
      <c r="I1450" s="214">
        <f>+I1424+I819</f>
        <v>143897477.72172669</v>
      </c>
      <c r="J1450" s="291"/>
    </row>
    <row r="1451" spans="1:10" s="219" customFormat="1" x14ac:dyDescent="0.3">
      <c r="B1451" s="215" t="s">
        <v>13</v>
      </c>
      <c r="C1451" s="215" t="s">
        <v>13</v>
      </c>
      <c r="D1451" s="215" t="s">
        <v>13</v>
      </c>
      <c r="E1451" s="217"/>
      <c r="F1451" s="215"/>
      <c r="G1451" s="214"/>
      <c r="H1451" s="218"/>
      <c r="I1451" s="214"/>
      <c r="J1451" s="291"/>
    </row>
    <row r="1452" spans="1:10" s="219" customFormat="1" x14ac:dyDescent="0.3">
      <c r="B1452" s="215" t="s">
        <v>13</v>
      </c>
      <c r="C1452" s="215" t="s">
        <v>13</v>
      </c>
      <c r="D1452" s="215" t="s">
        <v>13</v>
      </c>
      <c r="E1452" s="217" t="s">
        <v>14240</v>
      </c>
      <c r="F1452" s="215" t="s">
        <v>13378</v>
      </c>
      <c r="G1452" s="215" t="s">
        <v>13</v>
      </c>
      <c r="H1452" s="215" t="s">
        <v>13</v>
      </c>
      <c r="I1452" s="214">
        <f>+I815</f>
        <v>10144772.179381732</v>
      </c>
      <c r="J1452" s="291"/>
    </row>
    <row r="1453" spans="1:10" s="219" customFormat="1" x14ac:dyDescent="0.3">
      <c r="B1453" s="215" t="s">
        <v>13</v>
      </c>
      <c r="C1453" s="215" t="s">
        <v>13</v>
      </c>
      <c r="D1453" s="215" t="s">
        <v>13</v>
      </c>
      <c r="E1453" s="217" t="s">
        <v>13937</v>
      </c>
      <c r="F1453" s="215" t="s">
        <v>13</v>
      </c>
      <c r="G1453" s="215" t="s">
        <v>13</v>
      </c>
      <c r="H1453" s="215" t="s">
        <v>13</v>
      </c>
      <c r="I1453" s="214">
        <f>SUM(I1450:I1452)</f>
        <v>154042249.90110841</v>
      </c>
      <c r="J1453" s="291"/>
    </row>
    <row r="1454" spans="1:10" x14ac:dyDescent="0.3">
      <c r="B1454" s="204"/>
      <c r="C1454" s="204"/>
      <c r="D1454" s="204"/>
      <c r="E1454" s="204"/>
      <c r="F1454" s="204"/>
      <c r="G1454" s="204"/>
      <c r="H1454" s="204"/>
      <c r="I1454" s="204"/>
      <c r="J1454" s="291"/>
    </row>
    <row r="1455" spans="1:10" s="219" customFormat="1" x14ac:dyDescent="0.3">
      <c r="B1455" s="215" t="s">
        <v>13</v>
      </c>
      <c r="C1455" s="215" t="s">
        <v>13</v>
      </c>
      <c r="D1455" s="215" t="s">
        <v>13</v>
      </c>
      <c r="E1455" s="217" t="s">
        <v>13938</v>
      </c>
      <c r="F1455" s="215" t="s">
        <v>13</v>
      </c>
      <c r="G1455" s="215" t="s">
        <v>13</v>
      </c>
      <c r="H1455" s="215" t="s">
        <v>13</v>
      </c>
      <c r="I1455" s="214">
        <f>+I812+I1453</f>
        <v>339096083.58667582</v>
      </c>
      <c r="J1455" s="291"/>
    </row>
    <row r="1456" spans="1:10" s="219" customFormat="1" x14ac:dyDescent="0.3">
      <c r="B1456" s="215"/>
      <c r="C1456" s="215"/>
      <c r="D1456" s="215"/>
      <c r="E1456" s="217"/>
      <c r="F1456" s="215"/>
      <c r="G1456" s="215"/>
      <c r="H1456" s="215"/>
      <c r="I1456" s="214"/>
      <c r="J1456" s="291"/>
    </row>
    <row r="1457" spans="2:10" s="219" customFormat="1" x14ac:dyDescent="0.3">
      <c r="B1457" s="215" t="s">
        <v>14242</v>
      </c>
      <c r="C1457" s="215" t="s">
        <v>13</v>
      </c>
      <c r="D1457" s="216" t="s">
        <v>13</v>
      </c>
      <c r="E1457" s="217" t="s">
        <v>14456</v>
      </c>
      <c r="F1457" s="215" t="s">
        <v>13</v>
      </c>
      <c r="G1457" s="214">
        <v>0</v>
      </c>
      <c r="H1457" s="214">
        <v>0</v>
      </c>
      <c r="I1457" s="214">
        <f>+I1458</f>
        <v>482500</v>
      </c>
      <c r="J1457" s="294" t="s">
        <v>14646</v>
      </c>
    </row>
    <row r="1458" spans="2:10" x14ac:dyDescent="0.3">
      <c r="B1458" s="202"/>
      <c r="C1458" s="202" t="s">
        <v>13</v>
      </c>
      <c r="D1458" s="203" t="s">
        <v>13</v>
      </c>
      <c r="E1458" s="204" t="s">
        <v>14462</v>
      </c>
      <c r="F1458" s="202" t="s">
        <v>13932</v>
      </c>
      <c r="G1458" s="205">
        <v>0</v>
      </c>
      <c r="H1458" s="205">
        <v>0</v>
      </c>
      <c r="I1458" s="205">
        <f>SUM('Equipamentos Elétricos'!H3:H5)</f>
        <v>482500</v>
      </c>
      <c r="J1458" s="291"/>
    </row>
    <row r="1459" spans="2:10" x14ac:dyDescent="0.3">
      <c r="B1459" s="204"/>
      <c r="C1459" s="204"/>
      <c r="D1459" s="204"/>
      <c r="E1459" s="204"/>
      <c r="F1459" s="204"/>
      <c r="G1459" s="204"/>
      <c r="H1459" s="204"/>
      <c r="I1459" s="204"/>
      <c r="J1459" s="291"/>
    </row>
    <row r="1460" spans="2:10" s="219" customFormat="1" x14ac:dyDescent="0.3">
      <c r="B1460" s="215" t="s">
        <v>14244</v>
      </c>
      <c r="C1460" s="215" t="s">
        <v>13</v>
      </c>
      <c r="D1460" s="216" t="s">
        <v>13</v>
      </c>
      <c r="E1460" s="217" t="s">
        <v>14243</v>
      </c>
      <c r="F1460" s="215" t="s">
        <v>13</v>
      </c>
      <c r="G1460" s="214">
        <v>0</v>
      </c>
      <c r="H1460" s="214">
        <v>0</v>
      </c>
      <c r="I1460" s="214">
        <f>+I1461+I1462+I1463+I1464</f>
        <v>30495155.074999999</v>
      </c>
      <c r="J1460" s="294" t="s">
        <v>14647</v>
      </c>
    </row>
    <row r="1461" spans="2:10" x14ac:dyDescent="0.3">
      <c r="B1461" s="202"/>
      <c r="C1461" s="202" t="s">
        <v>13</v>
      </c>
      <c r="D1461" s="203" t="s">
        <v>13</v>
      </c>
      <c r="E1461" s="204" t="s">
        <v>14587</v>
      </c>
      <c r="F1461" s="202" t="s">
        <v>13126</v>
      </c>
      <c r="G1461" s="248">
        <v>1</v>
      </c>
      <c r="H1461" s="248">
        <f>Bombas!H28</f>
        <v>1573894.875</v>
      </c>
      <c r="I1461" s="248">
        <f>G1461*H1461</f>
        <v>1573894.875</v>
      </c>
      <c r="J1461" s="291"/>
    </row>
    <row r="1462" spans="2:10" x14ac:dyDescent="0.3">
      <c r="B1462" s="202"/>
      <c r="C1462" s="202" t="s">
        <v>13</v>
      </c>
      <c r="D1462" s="203" t="s">
        <v>13</v>
      </c>
      <c r="E1462" s="204" t="s">
        <v>14588</v>
      </c>
      <c r="F1462" s="202" t="s">
        <v>13126</v>
      </c>
      <c r="G1462" s="248">
        <v>3</v>
      </c>
      <c r="H1462" s="248">
        <f>Bombas!H29</f>
        <v>3144818</v>
      </c>
      <c r="I1462" s="248">
        <f t="shared" ref="I1462:I1463" si="187">G1462*H1462</f>
        <v>9434454</v>
      </c>
      <c r="J1462" s="291"/>
    </row>
    <row r="1463" spans="2:10" x14ac:dyDescent="0.3">
      <c r="B1463" s="202"/>
      <c r="C1463" s="202" t="s">
        <v>13</v>
      </c>
      <c r="D1463" s="203" t="s">
        <v>13</v>
      </c>
      <c r="E1463" s="204" t="s">
        <v>14465</v>
      </c>
      <c r="F1463" s="202" t="s">
        <v>13126</v>
      </c>
      <c r="G1463" s="248">
        <v>2</v>
      </c>
      <c r="H1463" s="248">
        <f>Bombas!H30</f>
        <v>5715490.5999999996</v>
      </c>
      <c r="I1463" s="248">
        <f t="shared" si="187"/>
        <v>11430981.199999999</v>
      </c>
      <c r="J1463" s="291"/>
    </row>
    <row r="1464" spans="2:10" x14ac:dyDescent="0.3">
      <c r="B1464" s="202"/>
      <c r="C1464" s="202" t="s">
        <v>13</v>
      </c>
      <c r="D1464" s="203" t="s">
        <v>13</v>
      </c>
      <c r="E1464" s="204" t="s">
        <v>14463</v>
      </c>
      <c r="F1464" s="202" t="s">
        <v>13932</v>
      </c>
      <c r="G1464" s="205">
        <v>0</v>
      </c>
      <c r="H1464" s="205">
        <v>0</v>
      </c>
      <c r="I1464" s="205">
        <f>SUM('Equipamentos Elétricos'!H6:H10)</f>
        <v>8055825</v>
      </c>
      <c r="J1464" s="291"/>
    </row>
    <row r="1465" spans="2:10" x14ac:dyDescent="0.3">
      <c r="B1465" s="204"/>
      <c r="C1465" s="204"/>
      <c r="D1465" s="204"/>
      <c r="E1465" s="204"/>
      <c r="F1465" s="204"/>
      <c r="G1465" s="204"/>
      <c r="H1465" s="204"/>
      <c r="I1465" s="204"/>
      <c r="J1465" s="291"/>
    </row>
    <row r="1466" spans="2:10" s="219" customFormat="1" x14ac:dyDescent="0.3">
      <c r="B1466" s="215" t="s">
        <v>14290</v>
      </c>
      <c r="C1466" s="215" t="s">
        <v>13</v>
      </c>
      <c r="D1466" s="216" t="s">
        <v>13</v>
      </c>
      <c r="E1466" s="217" t="s">
        <v>14245</v>
      </c>
      <c r="F1466" s="215" t="s">
        <v>13</v>
      </c>
      <c r="G1466" s="214">
        <v>0</v>
      </c>
      <c r="H1466" s="214">
        <v>0</v>
      </c>
      <c r="I1466" s="214">
        <f>+I1467+I1468</f>
        <v>39875606.420000002</v>
      </c>
      <c r="J1466" s="294" t="s">
        <v>14648</v>
      </c>
    </row>
    <row r="1467" spans="2:10" s="219" customFormat="1" x14ac:dyDescent="0.3">
      <c r="B1467" s="215"/>
      <c r="C1467" s="202" t="s">
        <v>13</v>
      </c>
      <c r="D1467" s="203" t="s">
        <v>13</v>
      </c>
      <c r="E1467" s="204" t="s">
        <v>14466</v>
      </c>
      <c r="F1467" s="202" t="s">
        <v>13126</v>
      </c>
      <c r="G1467" s="248">
        <v>6</v>
      </c>
      <c r="H1467" s="248">
        <f>Bombas!H32</f>
        <v>5784001.0700000003</v>
      </c>
      <c r="I1467" s="248">
        <f>+G1467*H1467</f>
        <v>34704006.420000002</v>
      </c>
      <c r="J1467" s="291"/>
    </row>
    <row r="1468" spans="2:10" x14ac:dyDescent="0.3">
      <c r="B1468" s="202"/>
      <c r="C1468" s="202" t="s">
        <v>13</v>
      </c>
      <c r="D1468" s="203" t="s">
        <v>13</v>
      </c>
      <c r="E1468" s="204" t="s">
        <v>14464</v>
      </c>
      <c r="F1468" s="202" t="s">
        <v>13932</v>
      </c>
      <c r="G1468" s="205">
        <v>0</v>
      </c>
      <c r="H1468" s="205">
        <v>0</v>
      </c>
      <c r="I1468" s="205">
        <f>SUM('Equipamentos Elétricos'!H11:H15)</f>
        <v>5171600</v>
      </c>
      <c r="J1468" s="291"/>
    </row>
    <row r="1469" spans="2:10" x14ac:dyDescent="0.3">
      <c r="B1469" s="202"/>
      <c r="C1469" s="202"/>
      <c r="D1469" s="203"/>
      <c r="E1469" s="204"/>
      <c r="F1469" s="202"/>
      <c r="G1469" s="205"/>
      <c r="H1469" s="205"/>
      <c r="I1469" s="205"/>
      <c r="J1469" s="291"/>
    </row>
    <row r="1470" spans="2:10" x14ac:dyDescent="0.3">
      <c r="B1470" s="215" t="s">
        <v>14589</v>
      </c>
      <c r="C1470" s="215" t="s">
        <v>13</v>
      </c>
      <c r="D1470" s="216" t="s">
        <v>13</v>
      </c>
      <c r="E1470" s="217" t="s">
        <v>14604</v>
      </c>
      <c r="F1470" s="215" t="s">
        <v>13</v>
      </c>
      <c r="G1470" s="214">
        <v>0</v>
      </c>
      <c r="H1470" s="214">
        <v>0</v>
      </c>
      <c r="I1470" s="214">
        <f>+I1471+I1472</f>
        <v>15845019.850000001</v>
      </c>
      <c r="J1470" s="294" t="s">
        <v>14649</v>
      </c>
    </row>
    <row r="1471" spans="2:10" ht="28.8" x14ac:dyDescent="0.3">
      <c r="B1471" s="215"/>
      <c r="C1471" s="202" t="s">
        <v>13</v>
      </c>
      <c r="D1471" s="203" t="s">
        <v>13</v>
      </c>
      <c r="E1471" s="249" t="s">
        <v>14603</v>
      </c>
      <c r="F1471" s="202" t="s">
        <v>13126</v>
      </c>
      <c r="G1471" s="205">
        <v>0</v>
      </c>
      <c r="H1471" s="248">
        <f>Bombas!H35</f>
        <v>0</v>
      </c>
      <c r="I1471" s="248">
        <f>'Conexão - CEMIG'!G4</f>
        <v>2122667.56</v>
      </c>
      <c r="J1471" s="291"/>
    </row>
    <row r="1472" spans="2:10" ht="43.2" x14ac:dyDescent="0.3">
      <c r="B1472" s="202"/>
      <c r="C1472" s="202" t="s">
        <v>13</v>
      </c>
      <c r="D1472" s="203" t="s">
        <v>13</v>
      </c>
      <c r="E1472" s="249" t="s">
        <v>14599</v>
      </c>
      <c r="F1472" s="202" t="s">
        <v>13126</v>
      </c>
      <c r="G1472" s="205">
        <v>0</v>
      </c>
      <c r="H1472" s="205">
        <v>0</v>
      </c>
      <c r="I1472" s="205">
        <f>'Conexão - CEMIG'!G5</f>
        <v>13722352.290000001</v>
      </c>
      <c r="J1472" s="291"/>
    </row>
    <row r="1473" spans="2:10" x14ac:dyDescent="0.3">
      <c r="B1473" s="215" t="s">
        <v>14605</v>
      </c>
      <c r="C1473" s="215" t="s">
        <v>13</v>
      </c>
      <c r="D1473" s="216" t="s">
        <v>13</v>
      </c>
      <c r="E1473" s="217" t="s">
        <v>14606</v>
      </c>
      <c r="F1473" s="215" t="s">
        <v>13</v>
      </c>
      <c r="G1473" s="214">
        <v>0</v>
      </c>
      <c r="H1473" s="214">
        <v>0</v>
      </c>
      <c r="I1473" s="214">
        <f>+I1474+I1475+I1476</f>
        <v>11415162.879999999</v>
      </c>
      <c r="J1473" s="294" t="s">
        <v>14649</v>
      </c>
    </row>
    <row r="1474" spans="2:10" ht="28.8" x14ac:dyDescent="0.3">
      <c r="B1474" s="215"/>
      <c r="C1474" s="202" t="s">
        <v>13</v>
      </c>
      <c r="D1474" s="203" t="s">
        <v>13</v>
      </c>
      <c r="E1474" s="249" t="s">
        <v>14609</v>
      </c>
      <c r="F1474" s="202" t="s">
        <v>13126</v>
      </c>
      <c r="G1474" s="205">
        <v>0</v>
      </c>
      <c r="H1474" s="248">
        <f>Bombas!H38</f>
        <v>0</v>
      </c>
      <c r="I1474" s="248">
        <f>'Conexão - CEMIG'!G14</f>
        <v>9560229.5700000003</v>
      </c>
    </row>
    <row r="1475" spans="2:10" ht="57.6" x14ac:dyDescent="0.3">
      <c r="B1475" s="202"/>
      <c r="C1475" s="202" t="s">
        <v>13</v>
      </c>
      <c r="D1475" s="203" t="s">
        <v>13</v>
      </c>
      <c r="E1475" s="249" t="s">
        <v>14611</v>
      </c>
      <c r="F1475" s="202" t="s">
        <v>13126</v>
      </c>
      <c r="G1475" s="205">
        <v>0</v>
      </c>
      <c r="H1475" s="205">
        <v>0</v>
      </c>
      <c r="I1475" s="248">
        <f>'Conexão - CEMIG'!G15</f>
        <v>954294.19</v>
      </c>
    </row>
    <row r="1476" spans="2:10" ht="43.2" x14ac:dyDescent="0.3">
      <c r="B1476" s="215"/>
      <c r="C1476" s="202" t="s">
        <v>13</v>
      </c>
      <c r="D1476" s="203" t="s">
        <v>13</v>
      </c>
      <c r="E1476" s="249" t="s">
        <v>14616</v>
      </c>
      <c r="F1476" s="202" t="s">
        <v>13126</v>
      </c>
      <c r="G1476" s="205">
        <v>0</v>
      </c>
      <c r="H1476" s="248">
        <f>Bombas!H40</f>
        <v>0</v>
      </c>
      <c r="I1476" s="248">
        <f>'Conexão - CEMIG'!G16</f>
        <v>900639.12</v>
      </c>
    </row>
  </sheetData>
  <mergeCells count="2">
    <mergeCell ref="B5:I5"/>
    <mergeCell ref="B7:I7"/>
  </mergeCells>
  <phoneticPr fontId="7" type="noConversion"/>
  <printOptions horizontalCentered="1"/>
  <pageMargins left="0.39370078740157483" right="0.39370078740157483" top="0.78740157480314965" bottom="0.39370078740157483" header="0.31496062992125984" footer="0.31496062992125984"/>
  <pageSetup paperSize="9" scale="9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238F6-421E-49B4-A413-48061A50F371}">
  <dimension ref="B1:V52"/>
  <sheetViews>
    <sheetView zoomScale="85" zoomScaleNormal="85" workbookViewId="0">
      <selection activeCell="E37" sqref="E37"/>
    </sheetView>
  </sheetViews>
  <sheetFormatPr defaultRowHeight="14.4" x14ac:dyDescent="0.3"/>
  <cols>
    <col min="1" max="1" width="1.109375" customWidth="1"/>
    <col min="2" max="2" width="32.33203125" customWidth="1"/>
    <col min="3" max="3" width="16.5546875" customWidth="1"/>
    <col min="4" max="4" width="19.33203125" bestFit="1" customWidth="1"/>
    <col min="5" max="5" width="14.6640625" customWidth="1"/>
    <col min="6" max="11" width="17.5546875" customWidth="1"/>
    <col min="12" max="12" width="19.44140625" customWidth="1"/>
    <col min="13" max="13" width="8.109375" customWidth="1"/>
    <col min="14" max="15" width="16.6640625" hidden="1" customWidth="1"/>
    <col min="16" max="22" width="0" hidden="1" customWidth="1"/>
  </cols>
  <sheetData>
    <row r="1" spans="2:22" ht="18" x14ac:dyDescent="0.35">
      <c r="B1" s="180" t="s">
        <v>14469</v>
      </c>
      <c r="C1" s="180"/>
    </row>
    <row r="2" spans="2:22" ht="43.2" x14ac:dyDescent="0.3">
      <c r="B2" s="181" t="s">
        <v>14470</v>
      </c>
      <c r="C2" s="115" t="s">
        <v>14471</v>
      </c>
      <c r="D2" s="115" t="s">
        <v>14618</v>
      </c>
      <c r="E2" s="42" t="s">
        <v>14472</v>
      </c>
      <c r="F2" s="42" t="s">
        <v>14473</v>
      </c>
      <c r="G2" s="42" t="s">
        <v>14474</v>
      </c>
      <c r="H2" s="42" t="s">
        <v>14475</v>
      </c>
      <c r="I2" s="42" t="s">
        <v>14476</v>
      </c>
      <c r="J2" s="42" t="s">
        <v>14477</v>
      </c>
      <c r="K2" s="42" t="s">
        <v>14478</v>
      </c>
      <c r="L2" s="42" t="s">
        <v>13973</v>
      </c>
      <c r="N2" s="115" t="s">
        <v>14471</v>
      </c>
      <c r="O2" s="115" t="s">
        <v>14618</v>
      </c>
      <c r="P2" s="42" t="s">
        <v>14472</v>
      </c>
      <c r="Q2" s="42" t="s">
        <v>14473</v>
      </c>
      <c r="R2" s="42" t="s">
        <v>14474</v>
      </c>
      <c r="S2" s="42" t="s">
        <v>14475</v>
      </c>
      <c r="T2" s="42" t="s">
        <v>14476</v>
      </c>
      <c r="U2" s="42" t="s">
        <v>14477</v>
      </c>
      <c r="V2" s="42" t="s">
        <v>14478</v>
      </c>
    </row>
    <row r="3" spans="2:22" x14ac:dyDescent="0.3">
      <c r="B3" s="9">
        <v>1</v>
      </c>
      <c r="C3" s="115"/>
      <c r="D3" s="115"/>
      <c r="E3" s="42"/>
      <c r="F3" s="42"/>
      <c r="G3" s="42"/>
      <c r="H3" s="42"/>
      <c r="I3" s="42"/>
      <c r="J3" s="42"/>
      <c r="K3" s="42"/>
      <c r="L3" s="182">
        <f>SUM(C3:K3)</f>
        <v>0</v>
      </c>
      <c r="N3" s="115"/>
      <c r="O3" s="115"/>
      <c r="P3" s="42"/>
      <c r="Q3" s="42"/>
      <c r="R3" s="42"/>
      <c r="S3" s="42"/>
      <c r="T3" s="42"/>
      <c r="U3" s="42"/>
      <c r="V3" s="42"/>
    </row>
    <row r="4" spans="2:22" x14ac:dyDescent="0.3">
      <c r="B4" s="9">
        <v>2</v>
      </c>
      <c r="C4" s="182">
        <f>Planilha!I816</f>
        <v>5755899.1088690674</v>
      </c>
      <c r="D4" s="8"/>
      <c r="E4" s="8"/>
      <c r="F4" s="8"/>
      <c r="G4" s="8"/>
      <c r="H4" s="8"/>
      <c r="I4" s="8"/>
      <c r="J4" s="8"/>
      <c r="K4" s="8"/>
      <c r="L4" s="182">
        <f t="shared" ref="L4:L13" si="0">SUM(C4:K4)</f>
        <v>5755899.1088690674</v>
      </c>
      <c r="N4" s="255" t="e">
        <f>C4/$K$26</f>
        <v>#DIV/0!</v>
      </c>
      <c r="O4" s="8"/>
      <c r="P4" s="8"/>
      <c r="Q4" s="8"/>
      <c r="R4" s="8"/>
      <c r="S4" s="8"/>
      <c r="T4" s="8"/>
      <c r="U4" s="8"/>
      <c r="V4" s="8"/>
    </row>
    <row r="5" spans="2:22" x14ac:dyDescent="0.3">
      <c r="B5" s="9">
        <v>3</v>
      </c>
      <c r="C5" s="8"/>
      <c r="D5" s="182">
        <f>Resumo!I167+Resumo!I169+Resumo!I171+Resumo!I163+Resumo!I165</f>
        <v>98113444.225000009</v>
      </c>
      <c r="E5" s="182">
        <f ca="1">((SUMIF(Planilha!$A$11:$A$1447,Cronograma!E$2,Planilha!$I$11:$I$1447)/2)+(SUMIF(Planilha!$J$11:$J$1447,"E4-L1i",Planilha!$I$11:$I$1447)/2)*$C$15)+(Planilha!$I$817+Planilha!$I$818)*$D$23+(Planilha!$I$13*$D$21)</f>
        <v>23675180.770843338</v>
      </c>
      <c r="F5" s="8"/>
      <c r="G5" s="8"/>
      <c r="H5" s="8"/>
      <c r="I5" s="8"/>
      <c r="J5" s="8"/>
      <c r="K5" s="8"/>
      <c r="L5" s="182">
        <f t="shared" ca="1" si="0"/>
        <v>121788624.99584335</v>
      </c>
      <c r="N5" s="8"/>
      <c r="O5" s="255" t="e">
        <f>$D$5/$K$26/2</f>
        <v>#DIV/0!</v>
      </c>
      <c r="P5" s="255" t="e">
        <f>#REF!/$K$26</f>
        <v>#REF!</v>
      </c>
      <c r="Q5" s="8"/>
      <c r="R5" s="8"/>
      <c r="S5" s="8"/>
      <c r="T5" s="8"/>
      <c r="U5" s="8"/>
      <c r="V5" s="8"/>
    </row>
    <row r="6" spans="2:22" x14ac:dyDescent="0.3">
      <c r="B6" s="9">
        <v>4</v>
      </c>
      <c r="C6" s="8"/>
      <c r="D6" s="8"/>
      <c r="E6" s="182">
        <f ca="1">((SUMIF(Planilha!$A$11:$A$1447,Cronograma!E$2,Planilha!$I$11:$I$1447)/2)+(SUMIF(Planilha!$J$11:$J$1447,"E4-L1i",Planilha!$I$11:$I$1447)/2)*$C$15)+(Planilha!$I$817+Planilha!$I$818)*$E$23+(Planilha!$I$13*$E$21)</f>
        <v>23675180.770843338</v>
      </c>
      <c r="F6" s="8"/>
      <c r="G6" s="8"/>
      <c r="H6" s="8"/>
      <c r="I6" s="8"/>
      <c r="J6" s="8"/>
      <c r="K6" s="8"/>
      <c r="L6" s="182">
        <f t="shared" ca="1" si="0"/>
        <v>23675180.770843338</v>
      </c>
      <c r="N6" s="8"/>
      <c r="O6" s="255" t="e">
        <f>$D$5/$K$26/2</f>
        <v>#DIV/0!</v>
      </c>
      <c r="P6" s="255" t="e">
        <f ca="1">E6/$K$26</f>
        <v>#DIV/0!</v>
      </c>
      <c r="Q6" s="8"/>
      <c r="R6" s="8"/>
      <c r="S6" s="8"/>
      <c r="T6" s="8"/>
      <c r="U6" s="8"/>
      <c r="V6" s="8"/>
    </row>
    <row r="7" spans="2:22" x14ac:dyDescent="0.3">
      <c r="B7" s="9">
        <v>5</v>
      </c>
      <c r="C7" s="8"/>
      <c r="E7" s="8"/>
      <c r="F7" s="182">
        <f ca="1">(SUMIF(Planilha!$A$11:$A$1447,Cronograma!F$2,Planilha!$I$11:$I$1447)/2)+((SUMIF(Planilha!$J$11:$J$1447,"E4-L2i",Planilha!$I$11:$I$1447)/2)*$C$15)+(Planilha!$I$817+Planilha!$I$818)*$F$23+(Planilha!$I$13*$F$21)</f>
        <v>40136310.598965481</v>
      </c>
      <c r="G7" s="8"/>
      <c r="H7" s="8"/>
      <c r="I7" s="8"/>
      <c r="J7" s="8"/>
      <c r="K7" s="8"/>
      <c r="L7" s="182">
        <f t="shared" ca="1" si="0"/>
        <v>40136310.598965481</v>
      </c>
      <c r="N7" s="8"/>
      <c r="P7" s="8"/>
      <c r="Q7" s="255" t="e">
        <f ca="1">F7/$K$26</f>
        <v>#DIV/0!</v>
      </c>
      <c r="R7" s="8"/>
      <c r="S7" s="8"/>
      <c r="T7" s="8"/>
      <c r="U7" s="8"/>
      <c r="V7" s="8"/>
    </row>
    <row r="8" spans="2:22" x14ac:dyDescent="0.3">
      <c r="B8" s="9">
        <v>6</v>
      </c>
      <c r="C8" s="182">
        <f>Planilha!I21</f>
        <v>6914669.1708759423</v>
      </c>
      <c r="D8" s="8"/>
      <c r="E8" s="8"/>
      <c r="F8" s="182">
        <f>(SUMIF(Planilha!$A$11:$A$1447,Cronograma!F$2,Planilha!$I$11:$I$1447)/2)+((SUMIF(Planilha!$J$11:$J$1447,"E4-L2i",Planilha!$I$11:$I$1447)/2)*$C$15)</f>
        <v>36915970.127501555</v>
      </c>
      <c r="G8" s="182">
        <f ca="1">(SUMIF(Planilha!$A$11:$A$1447,Cronograma!G$2,Planilha!$I$11:$I$1447)/2)+((SUMIF(Planilha!$J$11:$J$1447,"E4-L3i",Planilha!$I$11:$I$1447)/2)*$C$15)+(Planilha!$I$817+Planilha!$I$818)*$G$23+(Planilha!$I$13*$G$21)</f>
        <v>21018609.376910239</v>
      </c>
      <c r="H8" s="256"/>
      <c r="I8" s="256"/>
      <c r="J8" s="256"/>
      <c r="K8" s="256"/>
      <c r="L8" s="182">
        <f t="shared" ca="1" si="0"/>
        <v>64849248.675287738</v>
      </c>
      <c r="N8" s="8"/>
      <c r="O8" s="8"/>
      <c r="P8" s="8"/>
      <c r="Q8" s="255" t="e">
        <f>F8/$K$26</f>
        <v>#DIV/0!</v>
      </c>
      <c r="R8" s="255" t="e">
        <f ca="1">G8/$K$26</f>
        <v>#DIV/0!</v>
      </c>
      <c r="S8" s="8"/>
      <c r="T8" s="8"/>
      <c r="U8" s="8"/>
      <c r="V8" s="8"/>
    </row>
    <row r="9" spans="2:22" x14ac:dyDescent="0.3">
      <c r="B9" s="9">
        <v>7</v>
      </c>
      <c r="D9" s="8"/>
      <c r="E9" s="8"/>
      <c r="F9" s="8"/>
      <c r="G9" s="182">
        <f ca="1">(SUMIF(Planilha!$A$11:$A$1447,Cronograma!G$2,Planilha!$I$11:$I$1447)/2)+((SUMIF(Planilha!$J$11:$J$1447,"E4-L3i",Planilha!$I$11:$I$1447)/2)*$C$15)+(Planilha!$I$817+Planilha!$I$818)*$H$23+(Planilha!$I$13*$H$21)</f>
        <v>17798268.90544631</v>
      </c>
      <c r="H9" s="182">
        <f ca="1">(SUMIF(Planilha!$J$11:$J$1447,Cronograma!H$2,Planilha!$I$11:$I$1447)/2)+(SUMIF(Planilha!$J$11:$J$1447,"E3-L1I",Planilha!$I$11:$I$1447)/2)++((SUMIF(Planilha!$J$11:$J$1447,"E3-L1i",Planilha!$I$11:$I$1447)/2)*$C$15)+(Planilha!$I$22+Planilha!$I$23)*$H$24+(Planilha!$I$13*$H$22)</f>
        <v>26603582.991520841</v>
      </c>
      <c r="I9" s="256"/>
      <c r="J9" s="256"/>
      <c r="K9" s="256"/>
      <c r="L9" s="182">
        <f t="shared" ca="1" si="0"/>
        <v>44401851.89696715</v>
      </c>
      <c r="N9" s="255" t="e">
        <f>C8/$K$26</f>
        <v>#DIV/0!</v>
      </c>
      <c r="O9" s="8"/>
      <c r="P9" s="8"/>
      <c r="Q9" s="8"/>
      <c r="R9" s="255" t="e">
        <f ca="1">G9/$K$26</f>
        <v>#DIV/0!</v>
      </c>
      <c r="S9" s="8"/>
      <c r="T9" s="8"/>
      <c r="U9" s="8"/>
      <c r="V9" s="8"/>
    </row>
    <row r="10" spans="2:22" x14ac:dyDescent="0.3">
      <c r="B10" s="9">
        <v>8</v>
      </c>
      <c r="C10" s="8"/>
      <c r="D10" s="8"/>
      <c r="E10" s="8"/>
      <c r="F10" s="8"/>
      <c r="G10" s="8"/>
      <c r="H10" s="182">
        <f>(SUMIF(Planilha!$J$11:$J$1447,Cronograma!H$2,Planilha!$I$11:$I$1447)/2)+(SUMIF(Planilha!$J$11:$J$1447,"E3-L1I",Planilha!$I$11:$I$1447)/2)+((SUMIF(Planilha!$J$11:$J$1447,"E3-L1i",Planilha!$I$11:$I$1447)/2)*$C$15)</f>
        <v>23455666.959793244</v>
      </c>
      <c r="I10" s="182">
        <f ca="1">(SUMIF(Planilha!$J$11:$J$1447,Cronograma!I$2,Planilha!$I$11:$I$1447)/2)+(SUMIF(Planilha!$J$11:$J$1447,"E3-L2I",Planilha!$I$11:$I$1447)/2)+((SUMIF(Planilha!$J$11:$J$1447,"E3-L2i",Planilha!$I$11:$I$1447)/2)*$C$15)+(Planilha!$I$22+Planilha!$I$23)*$I$24+(Planilha!$I$13*$I$22)</f>
        <v>32123416.560935743</v>
      </c>
      <c r="J10" s="256"/>
      <c r="K10" s="256"/>
      <c r="L10" s="182">
        <f t="shared" ca="1" si="0"/>
        <v>55579083.52072899</v>
      </c>
      <c r="N10" s="8"/>
      <c r="O10" s="8"/>
      <c r="P10" s="8"/>
      <c r="Q10" s="8"/>
      <c r="R10" s="8"/>
      <c r="S10" s="255" t="e">
        <f ca="1">H9/$K$26</f>
        <v>#DIV/0!</v>
      </c>
      <c r="T10" s="8"/>
      <c r="U10" s="8"/>
      <c r="V10" s="8"/>
    </row>
    <row r="11" spans="2:22" x14ac:dyDescent="0.3">
      <c r="B11" s="9">
        <v>9</v>
      </c>
      <c r="C11" s="8"/>
      <c r="D11" s="8"/>
      <c r="E11" s="8"/>
      <c r="F11" s="289"/>
      <c r="G11" s="8"/>
      <c r="H11" s="256"/>
      <c r="I11" s="182">
        <f>(SUMIF(Planilha!$J$11:$J$1447,Cronograma!I$2,Planilha!$I$11:$I$1447)/2)+(SUMIF(Planilha!$J$11:$J$1447,"E3-L2I",Planilha!$I$11:$I$1447)/2)+((SUMIF(Planilha!$J$11:$J$1447,"E3-L2i",Planilha!$I$11:$I$1447)/2)*$C$15)</f>
        <v>25827584.497480549</v>
      </c>
      <c r="J11" s="182">
        <f ca="1">(SUMIF(Planilha!$J$11:$J$1447,Cronograma!J$2,Planilha!$I$11:$I$1447)/2)+(SUMIF(Planilha!$J$11:$J$1447,"E3-L3I",Planilha!$I$11:$I$1447)/2)+((SUMIF(Planilha!$J$11:$J$1447,"E3-L3i",Planilha!$I$11:$I$1447)/2)*$C$15)+(Planilha!$I$22+Planilha!$I$23)*$J$24+(Planilha!$I$13*$J$22)</f>
        <v>27994744.406318922</v>
      </c>
      <c r="K11" s="256"/>
      <c r="L11" s="182">
        <f t="shared" ca="1" si="0"/>
        <v>53822328.903799474</v>
      </c>
      <c r="N11" s="8"/>
      <c r="O11" s="8"/>
      <c r="P11" s="8"/>
      <c r="Q11" s="8"/>
      <c r="R11" s="8"/>
      <c r="S11" s="255" t="e">
        <f>H10/$K$26</f>
        <v>#DIV/0!</v>
      </c>
      <c r="T11" s="255" t="e">
        <f ca="1">I10/$K$26</f>
        <v>#DIV/0!</v>
      </c>
      <c r="U11" s="8"/>
      <c r="V11" s="8"/>
    </row>
    <row r="12" spans="2:22" x14ac:dyDescent="0.3">
      <c r="B12" s="9">
        <v>10</v>
      </c>
      <c r="C12" s="8"/>
      <c r="D12" s="8"/>
      <c r="E12" s="8"/>
      <c r="F12" s="289"/>
      <c r="G12" s="288"/>
      <c r="H12" s="290"/>
      <c r="I12" s="256"/>
      <c r="J12" s="182">
        <f>(SUMIF(Planilha!$J$11:$J$1447,Cronograma!J$2,Planilha!$I$11:$I$1447)/2)+(SUMIF(Planilha!$J$11:$J$1447,"E3-L3I",Planilha!$I$11:$I$1447)/2)+((SUMIF(Planilha!$J$11:$J$1447,"E3-L3i",Planilha!$I$11:$I$1447)/2)*$C$15)</f>
        <v>21698912.342863727</v>
      </c>
      <c r="K12" s="182">
        <f ca="1">(SUMIF(Planilha!$J$11:$J$1447,Cronograma!K$2,Planilha!$I$11:$I$1447)/2)+(SUMIF(Planilha!$J$11:$J$1447,"E3-L4I",Planilha!$I$11:$I$1447)/2)++((SUMIF(Planilha!$J$11:$J$1447,"E3-L4i",Planilha!$I$11:$I$1447)/2)*$C$15)+(Planilha!$I$22+Planilha!$I$23)*$K$24+(Planilha!$I$13*$K$22)</f>
        <v>21747032.899266981</v>
      </c>
      <c r="L12" s="182">
        <f t="shared" ca="1" si="0"/>
        <v>43445945.242130712</v>
      </c>
      <c r="N12" s="8"/>
      <c r="O12" s="8"/>
      <c r="P12" s="8"/>
      <c r="Q12" s="8"/>
      <c r="R12" s="8"/>
      <c r="S12" s="8"/>
      <c r="T12" s="255" t="e">
        <f>I11/$K$26</f>
        <v>#DIV/0!</v>
      </c>
      <c r="U12" s="255" t="e">
        <f ca="1">J11/$K$26</f>
        <v>#DIV/0!</v>
      </c>
      <c r="V12" s="8"/>
    </row>
    <row r="13" spans="2:22" x14ac:dyDescent="0.3">
      <c r="B13" s="9">
        <v>11</v>
      </c>
      <c r="C13" s="8"/>
      <c r="D13" s="8"/>
      <c r="E13" s="8"/>
      <c r="F13" s="8"/>
      <c r="G13" s="8"/>
      <c r="H13" s="300"/>
      <c r="I13" s="256"/>
      <c r="J13" s="256"/>
      <c r="K13" s="182">
        <f ca="1">(SUMIF(Planilha!$J$11:$J$1447,Cronograma!K$2,Planilha!$I$11:$I$1447)/2)++(SUMIF(Planilha!$J$11:$J$1447,"E3-L4I",Planilha!$I$11:$I$1447)/2)++((SUMIF(Planilha!$J$11:$J$1447,"E3-L4i",Planilha!$I$11:$I$1447)/2)*$C$15)++(Planilha!$I$22+Planilha!$I$23)*$L$24+(Planilha!$I$13*$L$22)</f>
        <v>18599116.867539383</v>
      </c>
      <c r="L13" s="182">
        <f t="shared" ca="1" si="0"/>
        <v>18599116.867539383</v>
      </c>
      <c r="N13" s="8"/>
      <c r="O13" s="8"/>
      <c r="P13" s="8"/>
      <c r="Q13" s="8"/>
      <c r="R13" s="8"/>
      <c r="S13" s="8"/>
      <c r="T13" s="8"/>
      <c r="U13" s="255" t="e">
        <f>J12/$K$26</f>
        <v>#DIV/0!</v>
      </c>
      <c r="V13" s="255" t="e">
        <f ca="1">K12/$K$26</f>
        <v>#DIV/0!</v>
      </c>
    </row>
    <row r="14" spans="2:22" x14ac:dyDescent="0.3">
      <c r="B14" s="1"/>
      <c r="F14" s="47"/>
      <c r="G14" s="47"/>
      <c r="J14" s="47"/>
      <c r="K14" s="47"/>
      <c r="L14" s="47"/>
      <c r="V14" s="280"/>
    </row>
    <row r="15" spans="2:22" x14ac:dyDescent="0.3">
      <c r="B15" s="305" t="s">
        <v>14626</v>
      </c>
      <c r="C15" s="306">
        <v>0.05</v>
      </c>
      <c r="F15" s="47"/>
      <c r="G15" s="47"/>
      <c r="I15" s="3"/>
      <c r="J15" s="47"/>
      <c r="K15" s="47"/>
      <c r="L15" s="302">
        <f ca="1">SUM(L3:L13)</f>
        <v>472053590.5809747</v>
      </c>
      <c r="V15" s="280"/>
    </row>
    <row r="16" spans="2:22" x14ac:dyDescent="0.3">
      <c r="B16" s="305" t="s">
        <v>14651</v>
      </c>
      <c r="C16" s="288">
        <f ca="1">SUM(C17:C18)</f>
        <v>14</v>
      </c>
      <c r="D16" s="282"/>
      <c r="F16" s="282"/>
      <c r="G16" s="282"/>
      <c r="H16" s="282"/>
      <c r="I16" s="282"/>
      <c r="J16" s="47"/>
      <c r="K16" s="47"/>
      <c r="L16" s="301" t="b">
        <f ca="1">L15=Planilha!I11</f>
        <v>1</v>
      </c>
      <c r="V16" s="280"/>
    </row>
    <row r="17" spans="2:22" x14ac:dyDescent="0.3">
      <c r="B17" s="305" t="s">
        <v>14652</v>
      </c>
      <c r="C17" s="288">
        <f ca="1">COUNT($H$3:$K$13)</f>
        <v>8</v>
      </c>
      <c r="D17" s="282"/>
      <c r="F17" s="282"/>
      <c r="G17" s="282"/>
      <c r="H17" s="282"/>
      <c r="I17" s="282"/>
      <c r="J17" s="47"/>
      <c r="K17" s="47"/>
      <c r="L17" s="47"/>
      <c r="V17" s="280"/>
    </row>
    <row r="18" spans="2:22" x14ac:dyDescent="0.3">
      <c r="B18" s="305" t="s">
        <v>14653</v>
      </c>
      <c r="C18" s="288">
        <f ca="1">COUNT($E$3:$G$13)</f>
        <v>6</v>
      </c>
      <c r="D18" s="282"/>
      <c r="F18" s="282"/>
      <c r="G18" s="282"/>
      <c r="H18" s="282"/>
      <c r="I18" s="282"/>
      <c r="J18" s="47"/>
      <c r="K18" s="47"/>
      <c r="L18" s="47"/>
      <c r="V18" s="280"/>
    </row>
    <row r="19" spans="2:22" x14ac:dyDescent="0.3">
      <c r="B19" s="281"/>
      <c r="C19" s="283"/>
      <c r="D19" s="282"/>
      <c r="E19" s="282"/>
      <c r="F19" s="282"/>
      <c r="G19" s="282"/>
      <c r="H19" s="282"/>
      <c r="I19" s="282"/>
      <c r="J19" s="47"/>
      <c r="K19" s="47"/>
      <c r="L19" s="47"/>
      <c r="V19" s="280"/>
    </row>
    <row r="20" spans="2:22" ht="15.6" x14ac:dyDescent="0.3">
      <c r="B20" s="303" t="s">
        <v>14650</v>
      </c>
      <c r="C20" s="304">
        <v>2</v>
      </c>
      <c r="D20" s="304">
        <v>3</v>
      </c>
      <c r="E20" s="304">
        <v>4</v>
      </c>
      <c r="F20" s="304">
        <v>5</v>
      </c>
      <c r="G20" s="304">
        <v>6</v>
      </c>
      <c r="H20" s="304">
        <v>7</v>
      </c>
      <c r="I20" s="304">
        <v>8</v>
      </c>
      <c r="J20" s="304">
        <v>9</v>
      </c>
      <c r="K20" s="304">
        <v>10</v>
      </c>
      <c r="L20" s="304">
        <v>11</v>
      </c>
      <c r="V20" s="280"/>
    </row>
    <row r="21" spans="2:22" x14ac:dyDescent="0.3">
      <c r="B21" s="305" t="s">
        <v>14631</v>
      </c>
      <c r="C21" s="8"/>
      <c r="D21" s="306">
        <f ca="1">1/$C$16</f>
        <v>7.1428571428571425E-2</v>
      </c>
      <c r="E21" s="306">
        <f t="shared" ref="E21:H21" ca="1" si="1">1/$C$16</f>
        <v>7.1428571428571425E-2</v>
      </c>
      <c r="F21" s="306">
        <f t="shared" ca="1" si="1"/>
        <v>7.1428571428571425E-2</v>
      </c>
      <c r="G21" s="306">
        <f ca="1">1/$C$16*2</f>
        <v>0.14285714285714285</v>
      </c>
      <c r="H21" s="306">
        <f t="shared" ca="1" si="1"/>
        <v>7.1428571428571425E-2</v>
      </c>
      <c r="I21" s="289"/>
      <c r="J21" s="289"/>
      <c r="K21" s="8"/>
      <c r="L21" s="8"/>
      <c r="V21" s="280"/>
    </row>
    <row r="22" spans="2:22" x14ac:dyDescent="0.3">
      <c r="B22" s="305" t="s">
        <v>14629</v>
      </c>
      <c r="C22" s="8"/>
      <c r="D22" s="8"/>
      <c r="E22" s="8"/>
      <c r="F22" s="8"/>
      <c r="G22" s="8"/>
      <c r="H22" s="306">
        <f ca="1">1/$C$16</f>
        <v>7.1428571428571425E-2</v>
      </c>
      <c r="I22" s="306">
        <f t="shared" ref="I22:K22" ca="1" si="2">1/$C$16*2</f>
        <v>0.14285714285714285</v>
      </c>
      <c r="J22" s="306">
        <f t="shared" ca="1" si="2"/>
        <v>0.14285714285714285</v>
      </c>
      <c r="K22" s="306">
        <f t="shared" ca="1" si="2"/>
        <v>0.14285714285714285</v>
      </c>
      <c r="L22" s="306">
        <f ca="1">1/$C$16</f>
        <v>7.1428571428571425E-2</v>
      </c>
      <c r="V22" s="280"/>
    </row>
    <row r="23" spans="2:22" x14ac:dyDescent="0.3">
      <c r="B23" s="305" t="s">
        <v>14632</v>
      </c>
      <c r="C23" s="8"/>
      <c r="D23" s="306">
        <f ca="1">1/$C$18</f>
        <v>0.16666666666666666</v>
      </c>
      <c r="E23" s="306">
        <f t="shared" ref="E23:H23" ca="1" si="3">1/$C$18</f>
        <v>0.16666666666666666</v>
      </c>
      <c r="F23" s="306">
        <f t="shared" ca="1" si="3"/>
        <v>0.16666666666666666</v>
      </c>
      <c r="G23" s="306">
        <f ca="1">1/$C$18*2</f>
        <v>0.33333333333333331</v>
      </c>
      <c r="H23" s="306">
        <f t="shared" ca="1" si="3"/>
        <v>0.16666666666666666</v>
      </c>
      <c r="I23" s="306"/>
      <c r="J23" s="306"/>
      <c r="K23" s="306"/>
      <c r="L23" s="306"/>
      <c r="V23" s="280"/>
    </row>
    <row r="24" spans="2:22" x14ac:dyDescent="0.3">
      <c r="B24" s="305" t="s">
        <v>14630</v>
      </c>
      <c r="C24" s="8"/>
      <c r="D24" s="8"/>
      <c r="E24" s="8"/>
      <c r="F24" s="8"/>
      <c r="G24" s="8"/>
      <c r="H24" s="306">
        <f ca="1">1/$C$17</f>
        <v>0.125</v>
      </c>
      <c r="I24" s="306">
        <f ca="1">1/$C$17*2</f>
        <v>0.25</v>
      </c>
      <c r="J24" s="306">
        <f t="shared" ref="J24:K24" ca="1" si="4">1/$C$17*2</f>
        <v>0.25</v>
      </c>
      <c r="K24" s="306">
        <f t="shared" ca="1" si="4"/>
        <v>0.25</v>
      </c>
      <c r="L24" s="306">
        <f t="shared" ref="L24" ca="1" si="5">1/$C$17</f>
        <v>0.125</v>
      </c>
      <c r="V24" s="280"/>
    </row>
    <row r="25" spans="2:22" x14ac:dyDescent="0.3">
      <c r="B25" s="1"/>
      <c r="F25" s="47"/>
      <c r="G25" s="47"/>
      <c r="J25" s="47"/>
      <c r="K25" s="47"/>
      <c r="L25" s="47"/>
      <c r="V25" s="280"/>
    </row>
    <row r="26" spans="2:22" x14ac:dyDescent="0.3">
      <c r="B26" s="1"/>
      <c r="E26" s="282"/>
      <c r="F26" s="282"/>
      <c r="G26" s="282"/>
      <c r="H26" s="282"/>
      <c r="I26" s="282"/>
      <c r="J26" s="47"/>
      <c r="K26" s="47"/>
      <c r="L26" s="47"/>
      <c r="V26" s="280"/>
    </row>
    <row r="27" spans="2:22" ht="18" x14ac:dyDescent="0.35">
      <c r="B27" s="180" t="s">
        <v>14479</v>
      </c>
      <c r="G27" s="47"/>
      <c r="I27" s="47"/>
      <c r="J27" s="47"/>
      <c r="K27" s="47"/>
      <c r="L27" s="47"/>
    </row>
    <row r="28" spans="2:22" x14ac:dyDescent="0.3">
      <c r="B28" s="42" t="s">
        <v>14480</v>
      </c>
      <c r="C28" s="183" t="s">
        <v>14481</v>
      </c>
      <c r="D28" s="42" t="s">
        <v>14482</v>
      </c>
      <c r="E28" s="42" t="s">
        <v>14483</v>
      </c>
      <c r="F28" s="42" t="s">
        <v>14484</v>
      </c>
      <c r="G28" s="42" t="s">
        <v>14485</v>
      </c>
      <c r="H28" s="42" t="s">
        <v>14486</v>
      </c>
      <c r="I28" s="47"/>
      <c r="J28" s="47"/>
      <c r="K28" s="1"/>
    </row>
    <row r="29" spans="2:22" x14ac:dyDescent="0.3">
      <c r="B29" s="311">
        <v>3</v>
      </c>
      <c r="C29" s="314">
        <v>1</v>
      </c>
      <c r="D29" s="9" t="s">
        <v>14487</v>
      </c>
      <c r="E29" s="184">
        <v>10.1</v>
      </c>
      <c r="F29" s="9">
        <v>7</v>
      </c>
      <c r="G29" s="185">
        <v>2386.6735458399999</v>
      </c>
      <c r="H29" s="8"/>
      <c r="I29" s="47"/>
      <c r="J29" s="47"/>
      <c r="L29" s="47"/>
    </row>
    <row r="30" spans="2:22" x14ac:dyDescent="0.3">
      <c r="B30" s="312"/>
      <c r="C30" s="314"/>
      <c r="D30" s="9" t="s">
        <v>14488</v>
      </c>
      <c r="E30" s="274">
        <v>5.35</v>
      </c>
      <c r="F30" s="202">
        <v>3</v>
      </c>
      <c r="G30" s="185">
        <v>822.54714334999994</v>
      </c>
      <c r="H30" s="8"/>
    </row>
    <row r="31" spans="2:22" x14ac:dyDescent="0.3">
      <c r="B31" s="312"/>
      <c r="C31" s="314"/>
      <c r="D31" s="57" t="s">
        <v>13973</v>
      </c>
      <c r="E31" s="186">
        <f>SUM(E29:E30)</f>
        <v>15.45</v>
      </c>
      <c r="F31" s="57">
        <f>SUM(F29:F30)</f>
        <v>10</v>
      </c>
      <c r="G31" s="187">
        <f>SUM(G29:G30)</f>
        <v>3209.2206891899996</v>
      </c>
      <c r="H31" s="8"/>
    </row>
    <row r="32" spans="2:22" x14ac:dyDescent="0.3">
      <c r="B32" s="312"/>
      <c r="C32" s="314">
        <v>3</v>
      </c>
      <c r="D32" s="9" t="s">
        <v>14489</v>
      </c>
      <c r="E32" s="184">
        <f>22.18-E29</f>
        <v>12.08</v>
      </c>
      <c r="F32" s="9">
        <v>7</v>
      </c>
      <c r="G32" s="185">
        <v>1949.3664591000002</v>
      </c>
      <c r="H32" s="8"/>
    </row>
    <row r="33" spans="2:10" x14ac:dyDescent="0.3">
      <c r="B33" s="312"/>
      <c r="C33" s="314"/>
      <c r="D33" s="57" t="s">
        <v>13973</v>
      </c>
      <c r="E33" s="186">
        <f>E32</f>
        <v>12.08</v>
      </c>
      <c r="F33" s="57">
        <f>F32</f>
        <v>7</v>
      </c>
      <c r="G33" s="187">
        <f>G32</f>
        <v>1949.3664591000002</v>
      </c>
      <c r="H33" s="8"/>
    </row>
    <row r="34" spans="2:10" x14ac:dyDescent="0.3">
      <c r="B34" s="312"/>
      <c r="C34" s="315">
        <v>2</v>
      </c>
      <c r="D34" s="9" t="s">
        <v>14490</v>
      </c>
      <c r="E34" s="184">
        <v>8</v>
      </c>
      <c r="F34" s="9">
        <v>7</v>
      </c>
      <c r="G34" s="185">
        <v>2217.8546676199999</v>
      </c>
      <c r="H34" s="8"/>
    </row>
    <row r="35" spans="2:10" x14ac:dyDescent="0.3">
      <c r="B35" s="312"/>
      <c r="C35" s="315"/>
      <c r="D35" s="9" t="s">
        <v>14145</v>
      </c>
      <c r="E35" s="184">
        <v>2.6</v>
      </c>
      <c r="F35" s="9">
        <v>4</v>
      </c>
      <c r="G35" s="185">
        <v>1367.01250934</v>
      </c>
      <c r="H35" s="8"/>
    </row>
    <row r="36" spans="2:10" x14ac:dyDescent="0.3">
      <c r="B36" s="312"/>
      <c r="C36" s="315"/>
      <c r="D36" s="57" t="s">
        <v>13973</v>
      </c>
      <c r="E36" s="186">
        <f>SUM(E34:E35)</f>
        <v>10.6</v>
      </c>
      <c r="F36" s="57">
        <f>F34+F35</f>
        <v>11</v>
      </c>
      <c r="G36" s="187">
        <f>G34+G35</f>
        <v>3584.8671769599996</v>
      </c>
      <c r="H36" s="8"/>
    </row>
    <row r="37" spans="2:10" x14ac:dyDescent="0.3">
      <c r="B37" s="312"/>
      <c r="C37" s="315">
        <v>4</v>
      </c>
      <c r="D37" s="202" t="s">
        <v>14491</v>
      </c>
      <c r="E37" s="274">
        <f>19.2-E34</f>
        <v>11.2</v>
      </c>
      <c r="F37" s="202">
        <v>8</v>
      </c>
      <c r="G37" s="275">
        <v>1973.6512042199997</v>
      </c>
      <c r="H37" s="8"/>
    </row>
    <row r="38" spans="2:10" x14ac:dyDescent="0.3">
      <c r="B38" s="313"/>
      <c r="C38" s="315"/>
      <c r="D38" s="57" t="s">
        <v>13973</v>
      </c>
      <c r="E38" s="186">
        <f>E37</f>
        <v>11.2</v>
      </c>
      <c r="F38" s="57">
        <f>F37</f>
        <v>8</v>
      </c>
      <c r="G38" s="187">
        <f>G37</f>
        <v>1973.6512042199997</v>
      </c>
      <c r="H38" s="8"/>
      <c r="I38" s="277">
        <f>G31+G33+G36+G38</f>
        <v>10717.10552947</v>
      </c>
    </row>
    <row r="39" spans="2:10" x14ac:dyDescent="0.3">
      <c r="B39" s="307">
        <v>4</v>
      </c>
      <c r="C39" s="310">
        <v>1</v>
      </c>
      <c r="D39" s="9" t="s">
        <v>14492</v>
      </c>
      <c r="E39" s="184">
        <v>10</v>
      </c>
      <c r="F39" s="9">
        <v>10</v>
      </c>
      <c r="G39" s="185">
        <v>2764</v>
      </c>
      <c r="H39" s="8"/>
      <c r="I39" s="47"/>
    </row>
    <row r="40" spans="2:10" x14ac:dyDescent="0.3">
      <c r="B40" s="308"/>
      <c r="C40" s="310"/>
      <c r="D40" s="9" t="s">
        <v>14151</v>
      </c>
      <c r="E40" s="184">
        <v>2.6</v>
      </c>
      <c r="F40" s="9">
        <v>1</v>
      </c>
      <c r="G40" s="185">
        <v>269</v>
      </c>
      <c r="H40" s="8"/>
      <c r="I40" s="47"/>
    </row>
    <row r="41" spans="2:10" x14ac:dyDescent="0.3">
      <c r="B41" s="308"/>
      <c r="C41" s="310"/>
      <c r="D41" s="188" t="s">
        <v>13973</v>
      </c>
      <c r="E41" s="189">
        <f>E39+E40</f>
        <v>12.6</v>
      </c>
      <c r="F41" s="188">
        <f>F39+F40</f>
        <v>11</v>
      </c>
      <c r="G41" s="190">
        <f>G39+G40</f>
        <v>3033</v>
      </c>
      <c r="H41" s="8"/>
      <c r="I41" s="47"/>
      <c r="J41" s="47"/>
    </row>
    <row r="42" spans="2:10" x14ac:dyDescent="0.3">
      <c r="B42" s="308"/>
      <c r="C42" s="307">
        <v>2</v>
      </c>
      <c r="D42" s="9" t="s">
        <v>14493</v>
      </c>
      <c r="E42" s="184">
        <v>9.9</v>
      </c>
      <c r="F42" s="9">
        <v>9</v>
      </c>
      <c r="G42" s="185">
        <v>2501</v>
      </c>
      <c r="H42" s="8"/>
    </row>
    <row r="43" spans="2:10" x14ac:dyDescent="0.3">
      <c r="B43" s="308"/>
      <c r="C43" s="308"/>
      <c r="D43" s="9" t="s">
        <v>14494</v>
      </c>
      <c r="E43" s="184">
        <v>4</v>
      </c>
      <c r="F43" s="9">
        <v>6</v>
      </c>
      <c r="G43" s="185">
        <v>1016</v>
      </c>
      <c r="H43" s="8"/>
    </row>
    <row r="44" spans="2:10" x14ac:dyDescent="0.3">
      <c r="B44" s="308"/>
      <c r="C44" s="308"/>
      <c r="D44" s="9" t="s">
        <v>14015</v>
      </c>
      <c r="E44" s="184">
        <v>1.6</v>
      </c>
      <c r="F44" s="9">
        <v>1</v>
      </c>
      <c r="G44" s="185">
        <v>127</v>
      </c>
      <c r="H44" s="8"/>
    </row>
    <row r="45" spans="2:10" x14ac:dyDescent="0.3">
      <c r="B45" s="308"/>
      <c r="C45" s="309"/>
      <c r="D45" s="188" t="s">
        <v>13973</v>
      </c>
      <c r="E45" s="189">
        <f>E42+E43+E44</f>
        <v>15.5</v>
      </c>
      <c r="F45" s="188">
        <f>F42+F43+F44</f>
        <v>16</v>
      </c>
      <c r="G45" s="190">
        <f>G42+G43+G44</f>
        <v>3644</v>
      </c>
      <c r="H45" s="8"/>
    </row>
    <row r="46" spans="2:10" x14ac:dyDescent="0.3">
      <c r="B46" s="308"/>
      <c r="C46" s="307">
        <v>3</v>
      </c>
      <c r="D46" s="9" t="s">
        <v>14495</v>
      </c>
      <c r="E46" s="184">
        <v>7.7</v>
      </c>
      <c r="F46" s="9">
        <v>8</v>
      </c>
      <c r="G46" s="185">
        <v>2850</v>
      </c>
      <c r="H46" s="8"/>
    </row>
    <row r="47" spans="2:10" x14ac:dyDescent="0.3">
      <c r="B47" s="308"/>
      <c r="C47" s="308"/>
      <c r="D47" s="9" t="s">
        <v>14157</v>
      </c>
      <c r="E47" s="184">
        <v>3.2</v>
      </c>
      <c r="F47" s="9">
        <v>2</v>
      </c>
      <c r="G47" s="9">
        <v>544</v>
      </c>
      <c r="H47" s="8"/>
    </row>
    <row r="48" spans="2:10" x14ac:dyDescent="0.3">
      <c r="B48" s="309"/>
      <c r="C48" s="309"/>
      <c r="D48" s="188" t="s">
        <v>13973</v>
      </c>
      <c r="E48" s="189">
        <f>E46+E47</f>
        <v>10.9</v>
      </c>
      <c r="F48" s="188">
        <f>F46+F47</f>
        <v>10</v>
      </c>
      <c r="G48" s="190">
        <f>G46+G47</f>
        <v>3394</v>
      </c>
      <c r="H48" s="8"/>
      <c r="I48" s="277">
        <f>G41+G45+G48</f>
        <v>10071</v>
      </c>
    </row>
    <row r="50" spans="5:7" x14ac:dyDescent="0.3">
      <c r="E50" s="276"/>
      <c r="F50" s="277"/>
      <c r="G50" s="277"/>
    </row>
    <row r="51" spans="5:7" x14ac:dyDescent="0.3">
      <c r="E51" s="276"/>
      <c r="F51" s="277"/>
      <c r="G51" s="277"/>
    </row>
    <row r="52" spans="5:7" x14ac:dyDescent="0.3">
      <c r="E52" s="278"/>
      <c r="F52" s="279"/>
      <c r="G52" s="279"/>
    </row>
  </sheetData>
  <mergeCells count="9">
    <mergeCell ref="B39:B48"/>
    <mergeCell ref="C39:C41"/>
    <mergeCell ref="C42:C45"/>
    <mergeCell ref="C46:C48"/>
    <mergeCell ref="B29:B38"/>
    <mergeCell ref="C29:C31"/>
    <mergeCell ref="C32:C33"/>
    <mergeCell ref="C34:C36"/>
    <mergeCell ref="C37:C38"/>
  </mergeCells>
  <pageMargins left="0.511811024" right="0.511811024" top="0.78740157499999996" bottom="0.78740157499999996" header="0.31496062000000002" footer="0.31496062000000002"/>
  <pageSetup paperSize="9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99AF4-DE84-4C8C-9C9D-4EA4B36DF494}">
  <dimension ref="A4:G6499"/>
  <sheetViews>
    <sheetView workbookViewId="0"/>
  </sheetViews>
  <sheetFormatPr defaultRowHeight="14.4" x14ac:dyDescent="0.3"/>
  <cols>
    <col min="3" max="3" width="104" customWidth="1"/>
    <col min="4" max="4" width="9.109375" style="1"/>
    <col min="5" max="5" width="17.44140625" style="3" bestFit="1" customWidth="1"/>
    <col min="6" max="6" width="12" bestFit="1" customWidth="1"/>
    <col min="7" max="7" width="25.6640625" bestFit="1" customWidth="1"/>
  </cols>
  <sheetData>
    <row r="4" spans="1:7" x14ac:dyDescent="0.3">
      <c r="F4" s="16">
        <f>+BDI!C16</f>
        <v>0.25270000000000004</v>
      </c>
    </row>
    <row r="5" spans="1:7" x14ac:dyDescent="0.3">
      <c r="A5" t="s">
        <v>13038</v>
      </c>
      <c r="B5" t="s">
        <v>27</v>
      </c>
      <c r="C5" t="s">
        <v>28</v>
      </c>
      <c r="D5" s="1" t="s">
        <v>29</v>
      </c>
      <c r="E5" s="3" t="s">
        <v>30</v>
      </c>
      <c r="F5" s="1" t="s">
        <v>13050</v>
      </c>
      <c r="G5" t="s">
        <v>13040</v>
      </c>
    </row>
    <row r="6" spans="1:7" x14ac:dyDescent="0.3">
      <c r="A6" t="s">
        <v>13039</v>
      </c>
      <c r="B6" t="s">
        <v>31</v>
      </c>
      <c r="C6" t="s">
        <v>32</v>
      </c>
      <c r="D6" s="1" t="s">
        <v>33</v>
      </c>
      <c r="E6" s="3">
        <v>150.12</v>
      </c>
      <c r="F6" s="3">
        <f>+E6*$F$4</f>
        <v>37.935324000000008</v>
      </c>
      <c r="G6" s="3">
        <f>+E6+F6</f>
        <v>188.05532400000001</v>
      </c>
    </row>
    <row r="7" spans="1:7" x14ac:dyDescent="0.3">
      <c r="A7" t="s">
        <v>13039</v>
      </c>
      <c r="B7" t="s">
        <v>34</v>
      </c>
      <c r="C7" t="s">
        <v>35</v>
      </c>
      <c r="D7" s="1" t="s">
        <v>33</v>
      </c>
      <c r="E7" s="3">
        <v>124.93</v>
      </c>
      <c r="F7" s="3">
        <f t="shared" ref="F7:F70" si="0">+E7*$F$4</f>
        <v>31.569811000000005</v>
      </c>
      <c r="G7" s="3">
        <f t="shared" ref="G7:G70" si="1">+E7+F7</f>
        <v>156.49981100000002</v>
      </c>
    </row>
    <row r="8" spans="1:7" x14ac:dyDescent="0.3">
      <c r="A8" t="s">
        <v>13039</v>
      </c>
      <c r="B8" t="s">
        <v>36</v>
      </c>
      <c r="C8" t="s">
        <v>37</v>
      </c>
      <c r="D8" s="1" t="s">
        <v>38</v>
      </c>
      <c r="E8" s="3">
        <v>5208.9399999999996</v>
      </c>
      <c r="F8" s="3">
        <f t="shared" si="0"/>
        <v>1316.2991380000001</v>
      </c>
      <c r="G8" s="3">
        <f t="shared" si="1"/>
        <v>6525.2391379999999</v>
      </c>
    </row>
    <row r="9" spans="1:7" x14ac:dyDescent="0.3">
      <c r="A9" t="s">
        <v>13039</v>
      </c>
      <c r="B9" t="s">
        <v>39</v>
      </c>
      <c r="C9" t="s">
        <v>40</v>
      </c>
      <c r="D9" s="1" t="s">
        <v>38</v>
      </c>
      <c r="E9" s="3">
        <v>32060.18</v>
      </c>
      <c r="F9" s="3">
        <f t="shared" si="0"/>
        <v>8101.6074860000008</v>
      </c>
      <c r="G9" s="3">
        <f t="shared" si="1"/>
        <v>40161.787486000001</v>
      </c>
    </row>
    <row r="10" spans="1:7" x14ac:dyDescent="0.3">
      <c r="A10" t="s">
        <v>13039</v>
      </c>
      <c r="B10" t="s">
        <v>41</v>
      </c>
      <c r="C10" t="s">
        <v>42</v>
      </c>
      <c r="D10" s="1" t="s">
        <v>38</v>
      </c>
      <c r="E10" s="3">
        <v>8634.0499999999993</v>
      </c>
      <c r="F10" s="3">
        <f t="shared" si="0"/>
        <v>2181.824435</v>
      </c>
      <c r="G10" s="3">
        <f t="shared" si="1"/>
        <v>10815.874435</v>
      </c>
    </row>
    <row r="11" spans="1:7" x14ac:dyDescent="0.3">
      <c r="A11" t="s">
        <v>13039</v>
      </c>
      <c r="B11" t="s">
        <v>43</v>
      </c>
      <c r="C11" t="s">
        <v>44</v>
      </c>
      <c r="D11" s="1" t="s">
        <v>38</v>
      </c>
      <c r="E11" s="3">
        <v>11540.09</v>
      </c>
      <c r="F11" s="3">
        <f t="shared" si="0"/>
        <v>2916.1807430000003</v>
      </c>
      <c r="G11" s="3">
        <f t="shared" si="1"/>
        <v>14456.270743000001</v>
      </c>
    </row>
    <row r="12" spans="1:7" x14ac:dyDescent="0.3">
      <c r="A12" t="s">
        <v>13039</v>
      </c>
      <c r="B12" t="s">
        <v>45</v>
      </c>
      <c r="C12" t="s">
        <v>46</v>
      </c>
      <c r="D12" s="1" t="s">
        <v>38</v>
      </c>
      <c r="E12" s="3">
        <v>16369.55</v>
      </c>
      <c r="F12" s="3">
        <f t="shared" si="0"/>
        <v>4136.5852850000001</v>
      </c>
      <c r="G12" s="3">
        <f t="shared" si="1"/>
        <v>20506.135285</v>
      </c>
    </row>
    <row r="13" spans="1:7" x14ac:dyDescent="0.3">
      <c r="A13" t="s">
        <v>13039</v>
      </c>
      <c r="B13" t="s">
        <v>47</v>
      </c>
      <c r="C13" t="s">
        <v>48</v>
      </c>
      <c r="D13" s="1" t="s">
        <v>38</v>
      </c>
      <c r="E13" s="3">
        <v>22859.75</v>
      </c>
      <c r="F13" s="3">
        <f t="shared" si="0"/>
        <v>5776.6588250000004</v>
      </c>
      <c r="G13" s="3">
        <f t="shared" si="1"/>
        <v>28636.408824999999</v>
      </c>
    </row>
    <row r="14" spans="1:7" x14ac:dyDescent="0.3">
      <c r="A14" t="s">
        <v>13039</v>
      </c>
      <c r="B14" t="s">
        <v>49</v>
      </c>
      <c r="C14" t="s">
        <v>50</v>
      </c>
      <c r="D14" s="1" t="s">
        <v>38</v>
      </c>
      <c r="E14" s="3">
        <v>3103.37</v>
      </c>
      <c r="F14" s="3">
        <f t="shared" si="0"/>
        <v>784.22159900000008</v>
      </c>
      <c r="G14" s="3">
        <f t="shared" si="1"/>
        <v>3887.5915989999999</v>
      </c>
    </row>
    <row r="15" spans="1:7" x14ac:dyDescent="0.3">
      <c r="A15" t="s">
        <v>13039</v>
      </c>
      <c r="B15" t="s">
        <v>51</v>
      </c>
      <c r="C15" t="s">
        <v>52</v>
      </c>
      <c r="D15" s="1" t="s">
        <v>38</v>
      </c>
      <c r="E15" s="3">
        <v>4910.8599999999997</v>
      </c>
      <c r="F15" s="3">
        <f t="shared" si="0"/>
        <v>1240.974322</v>
      </c>
      <c r="G15" s="3">
        <f t="shared" si="1"/>
        <v>6151.8343219999997</v>
      </c>
    </row>
    <row r="16" spans="1:7" x14ac:dyDescent="0.3">
      <c r="A16" t="s">
        <v>13039</v>
      </c>
      <c r="B16" t="s">
        <v>53</v>
      </c>
      <c r="C16" t="s">
        <v>54</v>
      </c>
      <c r="D16" s="1" t="s">
        <v>38</v>
      </c>
      <c r="E16" s="3">
        <v>29569.3</v>
      </c>
      <c r="F16" s="3">
        <f t="shared" si="0"/>
        <v>7472.1621100000011</v>
      </c>
      <c r="G16" s="3">
        <f t="shared" si="1"/>
        <v>37041.46211</v>
      </c>
    </row>
    <row r="17" spans="1:7" x14ac:dyDescent="0.3">
      <c r="A17" t="s">
        <v>13039</v>
      </c>
      <c r="B17" t="s">
        <v>55</v>
      </c>
      <c r="C17" t="s">
        <v>56</v>
      </c>
      <c r="D17" s="1" t="s">
        <v>38</v>
      </c>
      <c r="E17" s="3">
        <v>7724.89</v>
      </c>
      <c r="F17" s="3">
        <f t="shared" si="0"/>
        <v>1952.0797030000003</v>
      </c>
      <c r="G17" s="3">
        <f t="shared" si="1"/>
        <v>9676.9697030000007</v>
      </c>
    </row>
    <row r="18" spans="1:7" x14ac:dyDescent="0.3">
      <c r="A18" t="s">
        <v>13039</v>
      </c>
      <c r="B18" t="s">
        <v>57</v>
      </c>
      <c r="C18" t="s">
        <v>58</v>
      </c>
      <c r="D18" s="1" t="s">
        <v>38</v>
      </c>
      <c r="E18" s="3">
        <v>11297.87</v>
      </c>
      <c r="F18" s="3">
        <f t="shared" si="0"/>
        <v>2854.9717490000007</v>
      </c>
      <c r="G18" s="3">
        <f t="shared" si="1"/>
        <v>14152.841749000001</v>
      </c>
    </row>
    <row r="19" spans="1:7" x14ac:dyDescent="0.3">
      <c r="A19" t="s">
        <v>13039</v>
      </c>
      <c r="B19" t="s">
        <v>59</v>
      </c>
      <c r="C19" t="s">
        <v>60</v>
      </c>
      <c r="D19" s="1" t="s">
        <v>38</v>
      </c>
      <c r="E19" s="3">
        <v>15910.69</v>
      </c>
      <c r="F19" s="3">
        <f t="shared" si="0"/>
        <v>4020.6313630000009</v>
      </c>
      <c r="G19" s="3">
        <f t="shared" si="1"/>
        <v>19931.321363000003</v>
      </c>
    </row>
    <row r="20" spans="1:7" x14ac:dyDescent="0.3">
      <c r="A20" t="s">
        <v>13039</v>
      </c>
      <c r="B20" t="s">
        <v>61</v>
      </c>
      <c r="C20" t="s">
        <v>62</v>
      </c>
      <c r="D20" s="1" t="s">
        <v>38</v>
      </c>
      <c r="E20" s="3">
        <v>22009.46</v>
      </c>
      <c r="F20" s="3">
        <f t="shared" si="0"/>
        <v>5561.7905420000006</v>
      </c>
      <c r="G20" s="3">
        <f t="shared" si="1"/>
        <v>27571.250542000002</v>
      </c>
    </row>
    <row r="21" spans="1:7" x14ac:dyDescent="0.3">
      <c r="A21" t="s">
        <v>13039</v>
      </c>
      <c r="B21" t="s">
        <v>63</v>
      </c>
      <c r="C21" t="s">
        <v>64</v>
      </c>
      <c r="D21" s="1" t="s">
        <v>38</v>
      </c>
      <c r="E21" s="3">
        <v>4807.95</v>
      </c>
      <c r="F21" s="3">
        <f t="shared" si="0"/>
        <v>1214.968965</v>
      </c>
      <c r="G21" s="3">
        <f t="shared" si="1"/>
        <v>6022.9189649999998</v>
      </c>
    </row>
    <row r="22" spans="1:7" x14ac:dyDescent="0.3">
      <c r="A22" t="s">
        <v>13039</v>
      </c>
      <c r="B22" t="s">
        <v>65</v>
      </c>
      <c r="C22" t="s">
        <v>66</v>
      </c>
      <c r="D22" s="1" t="s">
        <v>38</v>
      </c>
      <c r="E22" s="3">
        <v>6406.1</v>
      </c>
      <c r="F22" s="3">
        <f t="shared" si="0"/>
        <v>1618.8214700000003</v>
      </c>
      <c r="G22" s="3">
        <f t="shared" si="1"/>
        <v>8024.9214700000011</v>
      </c>
    </row>
    <row r="23" spans="1:7" x14ac:dyDescent="0.3">
      <c r="A23" t="s">
        <v>13039</v>
      </c>
      <c r="B23" t="s">
        <v>67</v>
      </c>
      <c r="C23" t="s">
        <v>68</v>
      </c>
      <c r="D23" s="1" t="s">
        <v>38</v>
      </c>
      <c r="E23" s="3">
        <v>46941.440000000002</v>
      </c>
      <c r="F23" s="3">
        <f t="shared" si="0"/>
        <v>11862.101888000003</v>
      </c>
      <c r="G23" s="3">
        <f t="shared" si="1"/>
        <v>58803.541888000007</v>
      </c>
    </row>
    <row r="24" spans="1:7" x14ac:dyDescent="0.3">
      <c r="A24" t="s">
        <v>13039</v>
      </c>
      <c r="B24" t="s">
        <v>69</v>
      </c>
      <c r="C24" t="s">
        <v>70</v>
      </c>
      <c r="D24" s="1" t="s">
        <v>38</v>
      </c>
      <c r="E24" s="3">
        <v>9209.6200000000008</v>
      </c>
      <c r="F24" s="3">
        <f t="shared" si="0"/>
        <v>2327.2709740000005</v>
      </c>
      <c r="G24" s="3">
        <f t="shared" si="1"/>
        <v>11536.890974000002</v>
      </c>
    </row>
    <row r="25" spans="1:7" x14ac:dyDescent="0.3">
      <c r="A25" t="s">
        <v>13039</v>
      </c>
      <c r="B25" t="s">
        <v>71</v>
      </c>
      <c r="C25" t="s">
        <v>72</v>
      </c>
      <c r="D25" s="1" t="s">
        <v>38</v>
      </c>
      <c r="E25" s="3">
        <v>18283.64</v>
      </c>
      <c r="F25" s="3">
        <f t="shared" si="0"/>
        <v>4620.2758280000007</v>
      </c>
      <c r="G25" s="3">
        <f t="shared" si="1"/>
        <v>22903.915828000001</v>
      </c>
    </row>
    <row r="26" spans="1:7" x14ac:dyDescent="0.3">
      <c r="A26" t="s">
        <v>13039</v>
      </c>
      <c r="B26" t="s">
        <v>73</v>
      </c>
      <c r="C26" t="s">
        <v>74</v>
      </c>
      <c r="D26" s="1" t="s">
        <v>38</v>
      </c>
      <c r="E26" s="3">
        <v>24125.62</v>
      </c>
      <c r="F26" s="3">
        <f t="shared" si="0"/>
        <v>6096.5441740000006</v>
      </c>
      <c r="G26" s="3">
        <f t="shared" si="1"/>
        <v>30222.164173999998</v>
      </c>
    </row>
    <row r="27" spans="1:7" x14ac:dyDescent="0.3">
      <c r="A27" t="s">
        <v>13039</v>
      </c>
      <c r="B27" t="s">
        <v>75</v>
      </c>
      <c r="C27" t="s">
        <v>76</v>
      </c>
      <c r="D27" s="1" t="s">
        <v>38</v>
      </c>
      <c r="E27" s="3">
        <v>25632.69</v>
      </c>
      <c r="F27" s="3">
        <f t="shared" si="0"/>
        <v>6477.380763000001</v>
      </c>
      <c r="G27" s="3">
        <f t="shared" si="1"/>
        <v>32110.070763</v>
      </c>
    </row>
    <row r="28" spans="1:7" x14ac:dyDescent="0.3">
      <c r="A28" t="s">
        <v>13039</v>
      </c>
      <c r="B28" t="s">
        <v>77</v>
      </c>
      <c r="C28" t="s">
        <v>78</v>
      </c>
      <c r="D28" s="1" t="s">
        <v>38</v>
      </c>
      <c r="E28" s="3">
        <v>4836.96</v>
      </c>
      <c r="F28" s="3">
        <f t="shared" si="0"/>
        <v>1222.2997920000003</v>
      </c>
      <c r="G28" s="3">
        <f t="shared" si="1"/>
        <v>6059.2597920000007</v>
      </c>
    </row>
    <row r="29" spans="1:7" x14ac:dyDescent="0.3">
      <c r="A29" t="s">
        <v>13039</v>
      </c>
      <c r="B29" t="s">
        <v>79</v>
      </c>
      <c r="C29" t="s">
        <v>80</v>
      </c>
      <c r="D29" s="1" t="s">
        <v>38</v>
      </c>
      <c r="E29" s="3">
        <v>7653.04</v>
      </c>
      <c r="F29" s="3">
        <f t="shared" si="0"/>
        <v>1933.9232080000002</v>
      </c>
      <c r="G29" s="3">
        <f t="shared" si="1"/>
        <v>9586.963208000001</v>
      </c>
    </row>
    <row r="30" spans="1:7" x14ac:dyDescent="0.3">
      <c r="A30" t="s">
        <v>13039</v>
      </c>
      <c r="B30" t="s">
        <v>81</v>
      </c>
      <c r="C30" t="s">
        <v>82</v>
      </c>
      <c r="D30" s="1" t="s">
        <v>38</v>
      </c>
      <c r="E30" s="3">
        <v>11965.37</v>
      </c>
      <c r="F30" s="3">
        <f t="shared" si="0"/>
        <v>3023.6489990000005</v>
      </c>
      <c r="G30" s="3">
        <f t="shared" si="1"/>
        <v>14989.018999000002</v>
      </c>
    </row>
    <row r="31" spans="1:7" x14ac:dyDescent="0.3">
      <c r="A31" t="s">
        <v>13039</v>
      </c>
      <c r="B31" t="s">
        <v>83</v>
      </c>
      <c r="C31" t="s">
        <v>84</v>
      </c>
      <c r="D31" s="1" t="s">
        <v>38</v>
      </c>
      <c r="E31" s="3">
        <v>77967.179999999993</v>
      </c>
      <c r="F31" s="3">
        <f t="shared" si="0"/>
        <v>19702.306386</v>
      </c>
      <c r="G31" s="3">
        <f t="shared" si="1"/>
        <v>97669.48638599999</v>
      </c>
    </row>
    <row r="32" spans="1:7" x14ac:dyDescent="0.3">
      <c r="A32" t="s">
        <v>13039</v>
      </c>
      <c r="B32" t="s">
        <v>85</v>
      </c>
      <c r="C32" t="s">
        <v>86</v>
      </c>
      <c r="D32" s="1" t="s">
        <v>38</v>
      </c>
      <c r="E32" s="3">
        <v>13801.54</v>
      </c>
      <c r="F32" s="3">
        <f t="shared" si="0"/>
        <v>3487.6491580000006</v>
      </c>
      <c r="G32" s="3">
        <f t="shared" si="1"/>
        <v>17289.189158000001</v>
      </c>
    </row>
    <row r="33" spans="1:7" x14ac:dyDescent="0.3">
      <c r="A33" t="s">
        <v>13039</v>
      </c>
      <c r="B33" t="s">
        <v>87</v>
      </c>
      <c r="C33" t="s">
        <v>88</v>
      </c>
      <c r="D33" s="1" t="s">
        <v>38</v>
      </c>
      <c r="E33" s="3">
        <v>16669.599999999999</v>
      </c>
      <c r="F33" s="3">
        <f t="shared" si="0"/>
        <v>4212.4079200000006</v>
      </c>
      <c r="G33" s="3">
        <f t="shared" si="1"/>
        <v>20882.00792</v>
      </c>
    </row>
    <row r="34" spans="1:7" x14ac:dyDescent="0.3">
      <c r="A34" t="s">
        <v>13039</v>
      </c>
      <c r="B34" t="s">
        <v>89</v>
      </c>
      <c r="C34" t="s">
        <v>90</v>
      </c>
      <c r="D34" s="1" t="s">
        <v>38</v>
      </c>
      <c r="E34" s="3">
        <v>19894.05</v>
      </c>
      <c r="F34" s="3">
        <f t="shared" si="0"/>
        <v>5027.2264350000005</v>
      </c>
      <c r="G34" s="3">
        <f t="shared" si="1"/>
        <v>24921.276435</v>
      </c>
    </row>
    <row r="35" spans="1:7" x14ac:dyDescent="0.3">
      <c r="A35" t="s">
        <v>13039</v>
      </c>
      <c r="B35" t="s">
        <v>91</v>
      </c>
      <c r="C35" t="s">
        <v>92</v>
      </c>
      <c r="D35" s="1" t="s">
        <v>38</v>
      </c>
      <c r="E35" s="3">
        <v>22986.33</v>
      </c>
      <c r="F35" s="3">
        <f t="shared" si="0"/>
        <v>5808.6455910000013</v>
      </c>
      <c r="G35" s="3">
        <f t="shared" si="1"/>
        <v>28794.975591000002</v>
      </c>
    </row>
    <row r="36" spans="1:7" x14ac:dyDescent="0.3">
      <c r="A36" t="s">
        <v>13039</v>
      </c>
      <c r="B36" t="s">
        <v>93</v>
      </c>
      <c r="C36" t="s">
        <v>94</v>
      </c>
      <c r="D36" s="1" t="s">
        <v>38</v>
      </c>
      <c r="E36" s="3">
        <v>31096.31</v>
      </c>
      <c r="F36" s="3">
        <f t="shared" si="0"/>
        <v>7858.0375370000011</v>
      </c>
      <c r="G36" s="3">
        <f t="shared" si="1"/>
        <v>38954.347537000001</v>
      </c>
    </row>
    <row r="37" spans="1:7" x14ac:dyDescent="0.3">
      <c r="A37" t="s">
        <v>13039</v>
      </c>
      <c r="B37" t="s">
        <v>95</v>
      </c>
      <c r="C37" t="s">
        <v>96</v>
      </c>
      <c r="D37" s="1" t="s">
        <v>38</v>
      </c>
      <c r="E37" s="3">
        <v>33157.31</v>
      </c>
      <c r="F37" s="3">
        <f t="shared" si="0"/>
        <v>8378.852237000001</v>
      </c>
      <c r="G37" s="3">
        <f t="shared" si="1"/>
        <v>41536.162236999997</v>
      </c>
    </row>
    <row r="38" spans="1:7" x14ac:dyDescent="0.3">
      <c r="A38" t="s">
        <v>13039</v>
      </c>
      <c r="B38" t="s">
        <v>97</v>
      </c>
      <c r="C38" t="s">
        <v>98</v>
      </c>
      <c r="D38" s="1" t="s">
        <v>38</v>
      </c>
      <c r="E38" s="3">
        <v>36961.18</v>
      </c>
      <c r="F38" s="3">
        <f t="shared" si="0"/>
        <v>9340.0901860000013</v>
      </c>
      <c r="G38" s="3">
        <f t="shared" si="1"/>
        <v>46301.270186000002</v>
      </c>
    </row>
    <row r="39" spans="1:7" x14ac:dyDescent="0.3">
      <c r="A39" t="s">
        <v>13039</v>
      </c>
      <c r="B39" t="s">
        <v>99</v>
      </c>
      <c r="C39" t="s">
        <v>100</v>
      </c>
      <c r="D39" s="1" t="s">
        <v>38</v>
      </c>
      <c r="E39" s="3">
        <v>39391.58</v>
      </c>
      <c r="F39" s="3">
        <f t="shared" si="0"/>
        <v>9954.2522660000013</v>
      </c>
      <c r="G39" s="3">
        <f t="shared" si="1"/>
        <v>49345.832266000005</v>
      </c>
    </row>
    <row r="40" spans="1:7" x14ac:dyDescent="0.3">
      <c r="A40" t="s">
        <v>13039</v>
      </c>
      <c r="B40" t="s">
        <v>101</v>
      </c>
      <c r="C40" t="s">
        <v>102</v>
      </c>
      <c r="D40" s="1" t="s">
        <v>38</v>
      </c>
      <c r="E40" s="3">
        <v>44367.63</v>
      </c>
      <c r="F40" s="3">
        <f t="shared" si="0"/>
        <v>11211.700101</v>
      </c>
      <c r="G40" s="3">
        <f t="shared" si="1"/>
        <v>55579.330101</v>
      </c>
    </row>
    <row r="41" spans="1:7" x14ac:dyDescent="0.3">
      <c r="A41" t="s">
        <v>13039</v>
      </c>
      <c r="B41" t="s">
        <v>103</v>
      </c>
      <c r="C41" t="s">
        <v>104</v>
      </c>
      <c r="D41" s="1" t="s">
        <v>38</v>
      </c>
      <c r="E41" s="3">
        <v>47909.63</v>
      </c>
      <c r="F41" s="3">
        <f t="shared" si="0"/>
        <v>12106.763501000001</v>
      </c>
      <c r="G41" s="3">
        <f t="shared" si="1"/>
        <v>60016.393500999999</v>
      </c>
    </row>
    <row r="42" spans="1:7" x14ac:dyDescent="0.3">
      <c r="A42" t="s">
        <v>13039</v>
      </c>
      <c r="B42" t="s">
        <v>105</v>
      </c>
      <c r="C42" t="s">
        <v>106</v>
      </c>
      <c r="D42" s="1" t="s">
        <v>38</v>
      </c>
      <c r="E42" s="3">
        <v>56818.080000000002</v>
      </c>
      <c r="F42" s="3">
        <f t="shared" si="0"/>
        <v>14357.928816000003</v>
      </c>
      <c r="G42" s="3">
        <f t="shared" si="1"/>
        <v>71176.008816000001</v>
      </c>
    </row>
    <row r="43" spans="1:7" x14ac:dyDescent="0.3">
      <c r="A43" t="s">
        <v>13039</v>
      </c>
      <c r="B43" t="s">
        <v>107</v>
      </c>
      <c r="C43" t="s">
        <v>108</v>
      </c>
      <c r="D43" s="1" t="s">
        <v>38</v>
      </c>
      <c r="E43" s="3">
        <v>56341.51</v>
      </c>
      <c r="F43" s="3">
        <f t="shared" si="0"/>
        <v>14237.499577000002</v>
      </c>
      <c r="G43" s="3">
        <f t="shared" si="1"/>
        <v>70579.009577000004</v>
      </c>
    </row>
    <row r="44" spans="1:7" x14ac:dyDescent="0.3">
      <c r="A44" t="s">
        <v>13039</v>
      </c>
      <c r="B44" t="s">
        <v>109</v>
      </c>
      <c r="C44" t="s">
        <v>110</v>
      </c>
      <c r="D44" s="1" t="s">
        <v>38</v>
      </c>
      <c r="E44" s="3">
        <v>57758.47</v>
      </c>
      <c r="F44" s="3">
        <f t="shared" si="0"/>
        <v>14595.565369000002</v>
      </c>
      <c r="G44" s="3">
        <f t="shared" si="1"/>
        <v>72354.035369000005</v>
      </c>
    </row>
    <row r="45" spans="1:7" x14ac:dyDescent="0.3">
      <c r="A45" t="s">
        <v>13039</v>
      </c>
      <c r="B45" t="s">
        <v>111</v>
      </c>
      <c r="C45" t="s">
        <v>112</v>
      </c>
      <c r="D45" s="1" t="s">
        <v>38</v>
      </c>
      <c r="E45" s="3">
        <v>59478.68</v>
      </c>
      <c r="F45" s="3">
        <f t="shared" si="0"/>
        <v>15030.262436000003</v>
      </c>
      <c r="G45" s="3">
        <f t="shared" si="1"/>
        <v>74508.942435999998</v>
      </c>
    </row>
    <row r="46" spans="1:7" x14ac:dyDescent="0.3">
      <c r="A46" t="s">
        <v>13039</v>
      </c>
      <c r="B46" t="s">
        <v>113</v>
      </c>
      <c r="C46" t="s">
        <v>114</v>
      </c>
      <c r="D46" s="1" t="s">
        <v>38</v>
      </c>
      <c r="E46" s="3">
        <v>69981.31</v>
      </c>
      <c r="F46" s="3">
        <f t="shared" si="0"/>
        <v>17684.277037000003</v>
      </c>
      <c r="G46" s="3">
        <f t="shared" si="1"/>
        <v>87665.587037000005</v>
      </c>
    </row>
    <row r="47" spans="1:7" x14ac:dyDescent="0.3">
      <c r="A47" t="s">
        <v>13039</v>
      </c>
      <c r="B47" t="s">
        <v>115</v>
      </c>
      <c r="C47" t="s">
        <v>116</v>
      </c>
      <c r="D47" s="1" t="s">
        <v>38</v>
      </c>
      <c r="E47" s="3">
        <v>74245.69</v>
      </c>
      <c r="F47" s="3">
        <f t="shared" si="0"/>
        <v>18761.885863000003</v>
      </c>
      <c r="G47" s="3">
        <f t="shared" si="1"/>
        <v>93007.575863000005</v>
      </c>
    </row>
    <row r="48" spans="1:7" x14ac:dyDescent="0.3">
      <c r="A48" t="s">
        <v>13039</v>
      </c>
      <c r="B48" t="s">
        <v>117</v>
      </c>
      <c r="C48" t="s">
        <v>118</v>
      </c>
      <c r="D48" s="1" t="s">
        <v>38</v>
      </c>
      <c r="E48" s="3">
        <v>8576.2000000000007</v>
      </c>
      <c r="F48" s="3">
        <f t="shared" si="0"/>
        <v>2167.2057400000003</v>
      </c>
      <c r="G48" s="3">
        <f t="shared" si="1"/>
        <v>10743.405740000002</v>
      </c>
    </row>
    <row r="49" spans="1:7" x14ac:dyDescent="0.3">
      <c r="A49" t="s">
        <v>13039</v>
      </c>
      <c r="B49" t="s">
        <v>119</v>
      </c>
      <c r="C49" t="s">
        <v>120</v>
      </c>
      <c r="D49" s="1" t="s">
        <v>38</v>
      </c>
      <c r="E49" s="3">
        <v>11899.72</v>
      </c>
      <c r="F49" s="3">
        <f t="shared" si="0"/>
        <v>3007.059244</v>
      </c>
      <c r="G49" s="3">
        <f t="shared" si="1"/>
        <v>14906.779243999999</v>
      </c>
    </row>
    <row r="50" spans="1:7" x14ac:dyDescent="0.3">
      <c r="A50" t="s">
        <v>13039</v>
      </c>
      <c r="B50" t="s">
        <v>121</v>
      </c>
      <c r="C50" t="s">
        <v>122</v>
      </c>
      <c r="D50" s="1" t="s">
        <v>38</v>
      </c>
      <c r="E50" s="3">
        <v>74250.600000000006</v>
      </c>
      <c r="F50" s="3">
        <f t="shared" si="0"/>
        <v>18763.126620000003</v>
      </c>
      <c r="G50" s="3">
        <f t="shared" si="1"/>
        <v>93013.726620000001</v>
      </c>
    </row>
    <row r="51" spans="1:7" x14ac:dyDescent="0.3">
      <c r="A51" t="s">
        <v>13039</v>
      </c>
      <c r="B51" t="s">
        <v>123</v>
      </c>
      <c r="C51" t="s">
        <v>124</v>
      </c>
      <c r="D51" s="1" t="s">
        <v>38</v>
      </c>
      <c r="E51" s="3">
        <v>15602.21</v>
      </c>
      <c r="F51" s="3">
        <f t="shared" si="0"/>
        <v>3942.6784670000002</v>
      </c>
      <c r="G51" s="3">
        <f t="shared" si="1"/>
        <v>19544.888467000001</v>
      </c>
    </row>
    <row r="52" spans="1:7" x14ac:dyDescent="0.3">
      <c r="A52" t="s">
        <v>13039</v>
      </c>
      <c r="B52" t="s">
        <v>125</v>
      </c>
      <c r="C52" t="s">
        <v>126</v>
      </c>
      <c r="D52" s="1" t="s">
        <v>38</v>
      </c>
      <c r="E52" s="3">
        <v>18651.18</v>
      </c>
      <c r="F52" s="3">
        <f t="shared" si="0"/>
        <v>4713.1531860000005</v>
      </c>
      <c r="G52" s="3">
        <f t="shared" si="1"/>
        <v>23364.333186</v>
      </c>
    </row>
    <row r="53" spans="1:7" x14ac:dyDescent="0.3">
      <c r="A53" t="s">
        <v>13039</v>
      </c>
      <c r="B53" t="s">
        <v>127</v>
      </c>
      <c r="C53" t="s">
        <v>128</v>
      </c>
      <c r="D53" s="1" t="s">
        <v>38</v>
      </c>
      <c r="E53" s="3">
        <v>21532.07</v>
      </c>
      <c r="F53" s="3">
        <f t="shared" si="0"/>
        <v>5441.1540890000006</v>
      </c>
      <c r="G53" s="3">
        <f t="shared" si="1"/>
        <v>26973.224088999999</v>
      </c>
    </row>
    <row r="54" spans="1:7" x14ac:dyDescent="0.3">
      <c r="A54" t="s">
        <v>13039</v>
      </c>
      <c r="B54" t="s">
        <v>129</v>
      </c>
      <c r="C54" t="s">
        <v>130</v>
      </c>
      <c r="D54" s="1" t="s">
        <v>38</v>
      </c>
      <c r="E54" s="3">
        <v>24343.91</v>
      </c>
      <c r="F54" s="3">
        <f t="shared" si="0"/>
        <v>6151.7060570000012</v>
      </c>
      <c r="G54" s="3">
        <f t="shared" si="1"/>
        <v>30495.616056999999</v>
      </c>
    </row>
    <row r="55" spans="1:7" x14ac:dyDescent="0.3">
      <c r="A55" t="s">
        <v>13039</v>
      </c>
      <c r="B55" t="s">
        <v>131</v>
      </c>
      <c r="C55" t="s">
        <v>132</v>
      </c>
      <c r="D55" s="1" t="s">
        <v>38</v>
      </c>
      <c r="E55" s="3">
        <v>27600.58</v>
      </c>
      <c r="F55" s="3">
        <f t="shared" si="0"/>
        <v>6974.6665660000017</v>
      </c>
      <c r="G55" s="3">
        <f t="shared" si="1"/>
        <v>34575.246566000002</v>
      </c>
    </row>
    <row r="56" spans="1:7" x14ac:dyDescent="0.3">
      <c r="A56" t="s">
        <v>13039</v>
      </c>
      <c r="B56" t="s">
        <v>133</v>
      </c>
      <c r="C56" t="s">
        <v>134</v>
      </c>
      <c r="D56" s="1" t="s">
        <v>38</v>
      </c>
      <c r="E56" s="3">
        <v>31853.73</v>
      </c>
      <c r="F56" s="3">
        <f t="shared" si="0"/>
        <v>8049.4375710000013</v>
      </c>
      <c r="G56" s="3">
        <f t="shared" si="1"/>
        <v>39903.167570999998</v>
      </c>
    </row>
    <row r="57" spans="1:7" x14ac:dyDescent="0.3">
      <c r="A57" t="s">
        <v>13039</v>
      </c>
      <c r="B57" t="s">
        <v>135</v>
      </c>
      <c r="C57" t="s">
        <v>136</v>
      </c>
      <c r="D57" s="1" t="s">
        <v>38</v>
      </c>
      <c r="E57" s="3">
        <v>35453.480000000003</v>
      </c>
      <c r="F57" s="3">
        <f t="shared" si="0"/>
        <v>8959.0943960000022</v>
      </c>
      <c r="G57" s="3">
        <f t="shared" si="1"/>
        <v>44412.574396000004</v>
      </c>
    </row>
    <row r="58" spans="1:7" x14ac:dyDescent="0.3">
      <c r="A58" t="s">
        <v>13039</v>
      </c>
      <c r="B58" t="s">
        <v>137</v>
      </c>
      <c r="C58" t="s">
        <v>138</v>
      </c>
      <c r="D58" s="1" t="s">
        <v>38</v>
      </c>
      <c r="E58" s="3">
        <v>38332.239999999998</v>
      </c>
      <c r="F58" s="3">
        <f t="shared" si="0"/>
        <v>9686.5570480000006</v>
      </c>
      <c r="G58" s="3">
        <f t="shared" si="1"/>
        <v>48018.797048</v>
      </c>
    </row>
    <row r="59" spans="1:7" x14ac:dyDescent="0.3">
      <c r="A59" t="s">
        <v>13039</v>
      </c>
      <c r="B59" t="s">
        <v>139</v>
      </c>
      <c r="C59" t="s">
        <v>140</v>
      </c>
      <c r="D59" s="1" t="s">
        <v>38</v>
      </c>
      <c r="E59" s="3">
        <v>43427</v>
      </c>
      <c r="F59" s="3">
        <f t="shared" si="0"/>
        <v>10974.002900000001</v>
      </c>
      <c r="G59" s="3">
        <f t="shared" si="1"/>
        <v>54401.002899999999</v>
      </c>
    </row>
    <row r="60" spans="1:7" x14ac:dyDescent="0.3">
      <c r="A60" t="s">
        <v>13039</v>
      </c>
      <c r="B60" t="s">
        <v>141</v>
      </c>
      <c r="C60" t="s">
        <v>142</v>
      </c>
      <c r="D60" s="1" t="s">
        <v>38</v>
      </c>
      <c r="E60" s="3">
        <v>46923.81</v>
      </c>
      <c r="F60" s="3">
        <f t="shared" si="0"/>
        <v>11857.646787000001</v>
      </c>
      <c r="G60" s="3">
        <f t="shared" si="1"/>
        <v>58781.456787000003</v>
      </c>
    </row>
    <row r="61" spans="1:7" x14ac:dyDescent="0.3">
      <c r="A61" t="s">
        <v>13039</v>
      </c>
      <c r="B61" t="s">
        <v>143</v>
      </c>
      <c r="C61" t="s">
        <v>144</v>
      </c>
      <c r="D61" s="1" t="s">
        <v>38</v>
      </c>
      <c r="E61" s="3">
        <v>50510.35</v>
      </c>
      <c r="F61" s="3">
        <f t="shared" si="0"/>
        <v>12763.965445000002</v>
      </c>
      <c r="G61" s="3">
        <f t="shared" si="1"/>
        <v>63274.315445</v>
      </c>
    </row>
    <row r="62" spans="1:7" x14ac:dyDescent="0.3">
      <c r="A62" t="s">
        <v>13039</v>
      </c>
      <c r="B62" t="s">
        <v>145</v>
      </c>
      <c r="C62" t="s">
        <v>146</v>
      </c>
      <c r="D62" s="1" t="s">
        <v>38</v>
      </c>
      <c r="E62" s="3">
        <v>54467.57</v>
      </c>
      <c r="F62" s="3">
        <f t="shared" si="0"/>
        <v>13763.954939000001</v>
      </c>
      <c r="G62" s="3">
        <f t="shared" si="1"/>
        <v>68231.524938999995</v>
      </c>
    </row>
    <row r="63" spans="1:7" x14ac:dyDescent="0.3">
      <c r="A63" t="s">
        <v>13039</v>
      </c>
      <c r="B63" t="s">
        <v>147</v>
      </c>
      <c r="C63" t="s">
        <v>148</v>
      </c>
      <c r="D63" s="1" t="s">
        <v>38</v>
      </c>
      <c r="E63" s="3">
        <v>57933.66</v>
      </c>
      <c r="F63" s="3">
        <f t="shared" si="0"/>
        <v>14639.835882000003</v>
      </c>
      <c r="G63" s="3">
        <f t="shared" si="1"/>
        <v>72573.495882000003</v>
      </c>
    </row>
    <row r="64" spans="1:7" x14ac:dyDescent="0.3">
      <c r="A64" t="s">
        <v>13039</v>
      </c>
      <c r="B64" t="s">
        <v>149</v>
      </c>
      <c r="C64" t="s">
        <v>150</v>
      </c>
      <c r="D64" s="1" t="s">
        <v>38</v>
      </c>
      <c r="E64" s="3">
        <v>63087.46</v>
      </c>
      <c r="F64" s="3">
        <f t="shared" si="0"/>
        <v>15942.201142000002</v>
      </c>
      <c r="G64" s="3">
        <f t="shared" si="1"/>
        <v>79029.661141999997</v>
      </c>
    </row>
    <row r="65" spans="1:7" x14ac:dyDescent="0.3">
      <c r="A65" t="s">
        <v>13039</v>
      </c>
      <c r="B65" t="s">
        <v>151</v>
      </c>
      <c r="C65" t="s">
        <v>152</v>
      </c>
      <c r="D65" s="1" t="s">
        <v>38</v>
      </c>
      <c r="E65" s="3">
        <v>66680.679999999993</v>
      </c>
      <c r="F65" s="3">
        <f t="shared" si="0"/>
        <v>16850.207836000001</v>
      </c>
      <c r="G65" s="3">
        <f t="shared" si="1"/>
        <v>83530.887835999994</v>
      </c>
    </row>
    <row r="66" spans="1:7" x14ac:dyDescent="0.3">
      <c r="A66" t="s">
        <v>13039</v>
      </c>
      <c r="B66" t="s">
        <v>153</v>
      </c>
      <c r="C66" t="s">
        <v>154</v>
      </c>
      <c r="D66" s="1" t="s">
        <v>38</v>
      </c>
      <c r="E66" s="3">
        <v>70730.34</v>
      </c>
      <c r="F66" s="3">
        <f t="shared" si="0"/>
        <v>17873.556918000002</v>
      </c>
      <c r="G66" s="3">
        <f t="shared" si="1"/>
        <v>88603.896917999999</v>
      </c>
    </row>
    <row r="67" spans="1:7" x14ac:dyDescent="0.3">
      <c r="A67" t="s">
        <v>13039</v>
      </c>
      <c r="B67" t="s">
        <v>155</v>
      </c>
      <c r="C67" t="s">
        <v>156</v>
      </c>
      <c r="D67" s="1" t="s">
        <v>38</v>
      </c>
      <c r="E67" s="3">
        <v>11404.89</v>
      </c>
      <c r="F67" s="3">
        <f t="shared" si="0"/>
        <v>2882.0157030000005</v>
      </c>
      <c r="G67" s="3">
        <f t="shared" si="1"/>
        <v>14286.905703</v>
      </c>
    </row>
    <row r="68" spans="1:7" x14ac:dyDescent="0.3">
      <c r="A68" t="s">
        <v>13039</v>
      </c>
      <c r="B68" t="s">
        <v>157</v>
      </c>
      <c r="C68" t="s">
        <v>158</v>
      </c>
      <c r="D68" s="1" t="s">
        <v>38</v>
      </c>
      <c r="E68" s="3">
        <v>15499.75</v>
      </c>
      <c r="F68" s="3">
        <f t="shared" si="0"/>
        <v>3916.7868250000006</v>
      </c>
      <c r="G68" s="3">
        <f t="shared" si="1"/>
        <v>19416.536824999999</v>
      </c>
    </row>
    <row r="69" spans="1:7" x14ac:dyDescent="0.3">
      <c r="A69" t="s">
        <v>13039</v>
      </c>
      <c r="B69" t="s">
        <v>159</v>
      </c>
      <c r="C69" t="s">
        <v>160</v>
      </c>
      <c r="D69" s="1" t="s">
        <v>38</v>
      </c>
      <c r="E69" s="3">
        <v>84819.13</v>
      </c>
      <c r="F69" s="3">
        <f t="shared" si="0"/>
        <v>21433.794151000006</v>
      </c>
      <c r="G69" s="3">
        <f t="shared" si="1"/>
        <v>106252.92415100001</v>
      </c>
    </row>
    <row r="70" spans="1:7" x14ac:dyDescent="0.3">
      <c r="A70" t="s">
        <v>13039</v>
      </c>
      <c r="B70" t="s">
        <v>161</v>
      </c>
      <c r="C70" t="s">
        <v>162</v>
      </c>
      <c r="D70" s="1" t="s">
        <v>38</v>
      </c>
      <c r="E70" s="3">
        <v>18869.71</v>
      </c>
      <c r="F70" s="3">
        <f t="shared" si="0"/>
        <v>4768.3757170000008</v>
      </c>
      <c r="G70" s="3">
        <f t="shared" si="1"/>
        <v>23638.085717000002</v>
      </c>
    </row>
    <row r="71" spans="1:7" x14ac:dyDescent="0.3">
      <c r="A71" t="s">
        <v>13039</v>
      </c>
      <c r="B71" t="s">
        <v>163</v>
      </c>
      <c r="C71" t="s">
        <v>164</v>
      </c>
      <c r="D71" s="1" t="s">
        <v>38</v>
      </c>
      <c r="E71" s="3">
        <v>22386.46</v>
      </c>
      <c r="F71" s="3">
        <f t="shared" ref="F71:F134" si="2">+E71*$F$4</f>
        <v>5657.0584420000005</v>
      </c>
      <c r="G71" s="3">
        <f t="shared" ref="G71:G134" si="3">+E71+F71</f>
        <v>28043.518442000001</v>
      </c>
    </row>
    <row r="72" spans="1:7" x14ac:dyDescent="0.3">
      <c r="A72" t="s">
        <v>13039</v>
      </c>
      <c r="B72" t="s">
        <v>165</v>
      </c>
      <c r="C72" t="s">
        <v>166</v>
      </c>
      <c r="D72" s="1" t="s">
        <v>38</v>
      </c>
      <c r="E72" s="3">
        <v>25600.04</v>
      </c>
      <c r="F72" s="3">
        <f t="shared" si="2"/>
        <v>6469.1301080000012</v>
      </c>
      <c r="G72" s="3">
        <f t="shared" si="3"/>
        <v>32069.170108000002</v>
      </c>
    </row>
    <row r="73" spans="1:7" x14ac:dyDescent="0.3">
      <c r="A73" t="s">
        <v>13039</v>
      </c>
      <c r="B73" t="s">
        <v>167</v>
      </c>
      <c r="C73" t="s">
        <v>168</v>
      </c>
      <c r="D73" s="1" t="s">
        <v>38</v>
      </c>
      <c r="E73" s="3">
        <v>29668.78</v>
      </c>
      <c r="F73" s="3">
        <f t="shared" si="2"/>
        <v>7497.3007060000009</v>
      </c>
      <c r="G73" s="3">
        <f t="shared" si="3"/>
        <v>37166.080706000001</v>
      </c>
    </row>
    <row r="74" spans="1:7" x14ac:dyDescent="0.3">
      <c r="A74" t="s">
        <v>13039</v>
      </c>
      <c r="B74" t="s">
        <v>169</v>
      </c>
      <c r="C74" t="s">
        <v>170</v>
      </c>
      <c r="D74" s="1" t="s">
        <v>38</v>
      </c>
      <c r="E74" s="3">
        <v>33212.769999999997</v>
      </c>
      <c r="F74" s="3">
        <f t="shared" si="2"/>
        <v>8392.8669790000004</v>
      </c>
      <c r="G74" s="3">
        <f t="shared" si="3"/>
        <v>41605.636978999995</v>
      </c>
    </row>
    <row r="75" spans="1:7" x14ac:dyDescent="0.3">
      <c r="A75" t="s">
        <v>13039</v>
      </c>
      <c r="B75" t="s">
        <v>171</v>
      </c>
      <c r="C75" t="s">
        <v>172</v>
      </c>
      <c r="D75" s="1" t="s">
        <v>38</v>
      </c>
      <c r="E75" s="3">
        <v>38041.279999999999</v>
      </c>
      <c r="F75" s="3">
        <f t="shared" si="2"/>
        <v>9613.0314560000006</v>
      </c>
      <c r="G75" s="3">
        <f t="shared" si="3"/>
        <v>47654.311455999996</v>
      </c>
    </row>
    <row r="76" spans="1:7" x14ac:dyDescent="0.3">
      <c r="A76" t="s">
        <v>13039</v>
      </c>
      <c r="B76" t="s">
        <v>173</v>
      </c>
      <c r="C76" t="s">
        <v>174</v>
      </c>
      <c r="D76" s="1" t="s">
        <v>38</v>
      </c>
      <c r="E76" s="3">
        <v>43437.279999999999</v>
      </c>
      <c r="F76" s="3">
        <f t="shared" si="2"/>
        <v>10976.600656000001</v>
      </c>
      <c r="G76" s="3">
        <f t="shared" si="3"/>
        <v>54413.880656000001</v>
      </c>
    </row>
    <row r="77" spans="1:7" x14ac:dyDescent="0.3">
      <c r="A77" t="s">
        <v>13039</v>
      </c>
      <c r="B77" t="s">
        <v>175</v>
      </c>
      <c r="C77" t="s">
        <v>176</v>
      </c>
      <c r="D77" s="1" t="s">
        <v>38</v>
      </c>
      <c r="E77" s="3">
        <v>45557.37</v>
      </c>
      <c r="F77" s="3">
        <f t="shared" si="2"/>
        <v>11512.347399000002</v>
      </c>
      <c r="G77" s="3">
        <f t="shared" si="3"/>
        <v>57069.717399000001</v>
      </c>
    </row>
    <row r="78" spans="1:7" x14ac:dyDescent="0.3">
      <c r="A78" t="s">
        <v>13039</v>
      </c>
      <c r="B78" t="s">
        <v>177</v>
      </c>
      <c r="C78" t="s">
        <v>178</v>
      </c>
      <c r="D78" s="1" t="s">
        <v>38</v>
      </c>
      <c r="E78" s="3">
        <v>50900.5</v>
      </c>
      <c r="F78" s="3">
        <f t="shared" si="2"/>
        <v>12862.556350000003</v>
      </c>
      <c r="G78" s="3">
        <f t="shared" si="3"/>
        <v>63763.056349999999</v>
      </c>
    </row>
    <row r="79" spans="1:7" x14ac:dyDescent="0.3">
      <c r="A79" t="s">
        <v>13039</v>
      </c>
      <c r="B79" t="s">
        <v>179</v>
      </c>
      <c r="C79" t="s">
        <v>180</v>
      </c>
      <c r="D79" s="1" t="s">
        <v>38</v>
      </c>
      <c r="E79" s="3">
        <v>54554.99</v>
      </c>
      <c r="F79" s="3">
        <f t="shared" si="2"/>
        <v>13786.045973000002</v>
      </c>
      <c r="G79" s="3">
        <f t="shared" si="3"/>
        <v>68341.035973000005</v>
      </c>
    </row>
    <row r="80" spans="1:7" x14ac:dyDescent="0.3">
      <c r="A80" t="s">
        <v>13039</v>
      </c>
      <c r="B80" t="s">
        <v>181</v>
      </c>
      <c r="C80" t="s">
        <v>182</v>
      </c>
      <c r="D80" s="1" t="s">
        <v>38</v>
      </c>
      <c r="E80" s="3">
        <v>58578.66</v>
      </c>
      <c r="F80" s="3">
        <f t="shared" si="2"/>
        <v>14802.827382000003</v>
      </c>
      <c r="G80" s="3">
        <f t="shared" si="3"/>
        <v>73381.487382000007</v>
      </c>
    </row>
    <row r="81" spans="1:7" x14ac:dyDescent="0.3">
      <c r="A81" t="s">
        <v>13039</v>
      </c>
      <c r="B81" t="s">
        <v>183</v>
      </c>
      <c r="C81" t="s">
        <v>184</v>
      </c>
      <c r="D81" s="1" t="s">
        <v>38</v>
      </c>
      <c r="E81" s="3">
        <v>62874.22</v>
      </c>
      <c r="F81" s="3">
        <f t="shared" si="2"/>
        <v>15888.315394000003</v>
      </c>
      <c r="G81" s="3">
        <f t="shared" si="3"/>
        <v>78762.535394000006</v>
      </c>
    </row>
    <row r="82" spans="1:7" x14ac:dyDescent="0.3">
      <c r="A82" t="s">
        <v>13039</v>
      </c>
      <c r="B82" t="s">
        <v>185</v>
      </c>
      <c r="C82" t="s">
        <v>186</v>
      </c>
      <c r="D82" s="1" t="s">
        <v>38</v>
      </c>
      <c r="E82" s="3">
        <v>66785.45</v>
      </c>
      <c r="F82" s="3">
        <f t="shared" si="2"/>
        <v>16876.683215000001</v>
      </c>
      <c r="G82" s="3">
        <f t="shared" si="3"/>
        <v>83662.133214999994</v>
      </c>
    </row>
    <row r="83" spans="1:7" x14ac:dyDescent="0.3">
      <c r="A83" t="s">
        <v>13039</v>
      </c>
      <c r="B83" t="s">
        <v>187</v>
      </c>
      <c r="C83" t="s">
        <v>188</v>
      </c>
      <c r="D83" s="1" t="s">
        <v>38</v>
      </c>
      <c r="E83" s="3">
        <v>71970.19</v>
      </c>
      <c r="F83" s="3">
        <f t="shared" si="2"/>
        <v>18186.867013000003</v>
      </c>
      <c r="G83" s="3">
        <f t="shared" si="3"/>
        <v>90157.057013000012</v>
      </c>
    </row>
    <row r="84" spans="1:7" x14ac:dyDescent="0.3">
      <c r="A84" t="s">
        <v>13039</v>
      </c>
      <c r="B84" t="s">
        <v>189</v>
      </c>
      <c r="C84" t="s">
        <v>190</v>
      </c>
      <c r="D84" s="1" t="s">
        <v>38</v>
      </c>
      <c r="E84" s="3">
        <v>76178.94</v>
      </c>
      <c r="F84" s="3">
        <f t="shared" si="2"/>
        <v>19250.418138000005</v>
      </c>
      <c r="G84" s="3">
        <f t="shared" si="3"/>
        <v>95429.358138000011</v>
      </c>
    </row>
    <row r="85" spans="1:7" x14ac:dyDescent="0.3">
      <c r="A85" t="s">
        <v>13039</v>
      </c>
      <c r="B85" t="s">
        <v>191</v>
      </c>
      <c r="C85" t="s">
        <v>192</v>
      </c>
      <c r="D85" s="1" t="s">
        <v>38</v>
      </c>
      <c r="E85" s="3">
        <v>80547.48</v>
      </c>
      <c r="F85" s="3">
        <f t="shared" si="2"/>
        <v>20354.348196000003</v>
      </c>
      <c r="G85" s="3">
        <f t="shared" si="3"/>
        <v>100901.828196</v>
      </c>
    </row>
    <row r="86" spans="1:7" x14ac:dyDescent="0.3">
      <c r="A86" t="s">
        <v>13039</v>
      </c>
      <c r="B86" t="s">
        <v>193</v>
      </c>
      <c r="C86" t="s">
        <v>194</v>
      </c>
      <c r="D86" s="1" t="s">
        <v>195</v>
      </c>
      <c r="E86" s="3">
        <v>276.57</v>
      </c>
      <c r="F86" s="3">
        <f t="shared" si="2"/>
        <v>69.889239000000003</v>
      </c>
      <c r="G86" s="3">
        <f t="shared" si="3"/>
        <v>346.45923900000003</v>
      </c>
    </row>
    <row r="87" spans="1:7" x14ac:dyDescent="0.3">
      <c r="A87" t="s">
        <v>13039</v>
      </c>
      <c r="B87" t="s">
        <v>196</v>
      </c>
      <c r="C87" t="s">
        <v>197</v>
      </c>
      <c r="D87" s="1" t="s">
        <v>195</v>
      </c>
      <c r="E87" s="3">
        <v>318.66000000000003</v>
      </c>
      <c r="F87" s="3">
        <f t="shared" si="2"/>
        <v>80.525382000000022</v>
      </c>
      <c r="G87" s="3">
        <f t="shared" si="3"/>
        <v>399.18538200000006</v>
      </c>
    </row>
    <row r="88" spans="1:7" x14ac:dyDescent="0.3">
      <c r="A88" t="s">
        <v>13039</v>
      </c>
      <c r="B88" t="s">
        <v>198</v>
      </c>
      <c r="C88" t="s">
        <v>199</v>
      </c>
      <c r="D88" s="1" t="s">
        <v>195</v>
      </c>
      <c r="E88" s="3">
        <v>418.11</v>
      </c>
      <c r="F88" s="3">
        <f t="shared" si="2"/>
        <v>105.65639700000001</v>
      </c>
      <c r="G88" s="3">
        <f t="shared" si="3"/>
        <v>523.76639699999998</v>
      </c>
    </row>
    <row r="89" spans="1:7" x14ac:dyDescent="0.3">
      <c r="A89" t="s">
        <v>13039</v>
      </c>
      <c r="B89" t="s">
        <v>200</v>
      </c>
      <c r="C89" t="s">
        <v>201</v>
      </c>
      <c r="D89" s="1" t="s">
        <v>195</v>
      </c>
      <c r="E89" s="3">
        <v>557.86</v>
      </c>
      <c r="F89" s="3">
        <f t="shared" si="2"/>
        <v>140.97122200000001</v>
      </c>
      <c r="G89" s="3">
        <f t="shared" si="3"/>
        <v>698.83122200000003</v>
      </c>
    </row>
    <row r="90" spans="1:7" x14ac:dyDescent="0.3">
      <c r="A90" t="s">
        <v>13039</v>
      </c>
      <c r="B90" t="s">
        <v>202</v>
      </c>
      <c r="C90" t="s">
        <v>203</v>
      </c>
      <c r="D90" s="1" t="s">
        <v>195</v>
      </c>
      <c r="E90" s="3">
        <v>587.83000000000004</v>
      </c>
      <c r="F90" s="3">
        <f t="shared" si="2"/>
        <v>148.54464100000004</v>
      </c>
      <c r="G90" s="3">
        <f t="shared" si="3"/>
        <v>736.37464100000011</v>
      </c>
    </row>
    <row r="91" spans="1:7" x14ac:dyDescent="0.3">
      <c r="A91" t="s">
        <v>13039</v>
      </c>
      <c r="B91" t="s">
        <v>204</v>
      </c>
      <c r="C91" t="s">
        <v>205</v>
      </c>
      <c r="D91" s="1" t="s">
        <v>195</v>
      </c>
      <c r="E91" s="3">
        <v>0</v>
      </c>
      <c r="F91" s="3">
        <f t="shared" si="2"/>
        <v>0</v>
      </c>
      <c r="G91" s="3">
        <f t="shared" si="3"/>
        <v>0</v>
      </c>
    </row>
    <row r="92" spans="1:7" x14ac:dyDescent="0.3">
      <c r="A92" t="s">
        <v>13039</v>
      </c>
      <c r="B92" t="s">
        <v>206</v>
      </c>
      <c r="C92" t="s">
        <v>207</v>
      </c>
      <c r="D92" s="1" t="s">
        <v>195</v>
      </c>
      <c r="E92" s="3">
        <v>31.64</v>
      </c>
      <c r="F92" s="3">
        <f t="shared" si="2"/>
        <v>7.9954280000000013</v>
      </c>
      <c r="G92" s="3">
        <f t="shared" si="3"/>
        <v>39.635428000000005</v>
      </c>
    </row>
    <row r="93" spans="1:7" x14ac:dyDescent="0.3">
      <c r="A93" t="s">
        <v>13039</v>
      </c>
      <c r="B93" t="s">
        <v>208</v>
      </c>
      <c r="C93" t="s">
        <v>209</v>
      </c>
      <c r="D93" s="1" t="s">
        <v>210</v>
      </c>
      <c r="E93" s="3">
        <v>12.16</v>
      </c>
      <c r="F93" s="3">
        <f t="shared" si="2"/>
        <v>3.0728320000000005</v>
      </c>
      <c r="G93" s="3">
        <f t="shared" si="3"/>
        <v>15.232832</v>
      </c>
    </row>
    <row r="94" spans="1:7" x14ac:dyDescent="0.3">
      <c r="A94" t="s">
        <v>13039</v>
      </c>
      <c r="B94" t="s">
        <v>211</v>
      </c>
      <c r="C94" t="s">
        <v>212</v>
      </c>
      <c r="D94" s="1" t="s">
        <v>210</v>
      </c>
      <c r="E94" s="3">
        <v>12.65</v>
      </c>
      <c r="F94" s="3">
        <f t="shared" si="2"/>
        <v>3.1966550000000007</v>
      </c>
      <c r="G94" s="3">
        <f t="shared" si="3"/>
        <v>15.846655000000002</v>
      </c>
    </row>
    <row r="95" spans="1:7" x14ac:dyDescent="0.3">
      <c r="A95" t="s">
        <v>13039</v>
      </c>
      <c r="B95" t="s">
        <v>213</v>
      </c>
      <c r="C95" t="s">
        <v>214</v>
      </c>
      <c r="D95" s="1" t="s">
        <v>210</v>
      </c>
      <c r="E95" s="3">
        <v>14.14</v>
      </c>
      <c r="F95" s="3">
        <f t="shared" si="2"/>
        <v>3.5731780000000009</v>
      </c>
      <c r="G95" s="3">
        <f t="shared" si="3"/>
        <v>17.713178000000003</v>
      </c>
    </row>
    <row r="96" spans="1:7" x14ac:dyDescent="0.3">
      <c r="A96" t="s">
        <v>13039</v>
      </c>
      <c r="B96" t="s">
        <v>215</v>
      </c>
      <c r="C96" t="s">
        <v>216</v>
      </c>
      <c r="D96" s="1" t="s">
        <v>210</v>
      </c>
      <c r="E96" s="3">
        <v>15.65</v>
      </c>
      <c r="F96" s="3">
        <f t="shared" si="2"/>
        <v>3.9547550000000005</v>
      </c>
      <c r="G96" s="3">
        <f t="shared" si="3"/>
        <v>19.604755000000001</v>
      </c>
    </row>
    <row r="97" spans="1:7" x14ac:dyDescent="0.3">
      <c r="A97" t="s">
        <v>13039</v>
      </c>
      <c r="B97" t="s">
        <v>217</v>
      </c>
      <c r="C97" t="s">
        <v>218</v>
      </c>
      <c r="D97" s="1" t="s">
        <v>38</v>
      </c>
      <c r="E97" s="3">
        <v>19.21</v>
      </c>
      <c r="F97" s="3">
        <f t="shared" si="2"/>
        <v>4.8543670000000008</v>
      </c>
      <c r="G97" s="3">
        <f t="shared" si="3"/>
        <v>24.064367000000001</v>
      </c>
    </row>
    <row r="98" spans="1:7" x14ac:dyDescent="0.3">
      <c r="A98" t="s">
        <v>13039</v>
      </c>
      <c r="B98" t="s">
        <v>219</v>
      </c>
      <c r="C98" t="s">
        <v>220</v>
      </c>
      <c r="D98" s="1" t="s">
        <v>38</v>
      </c>
      <c r="E98" s="3">
        <v>28.87</v>
      </c>
      <c r="F98" s="3">
        <f t="shared" si="2"/>
        <v>7.2954490000000014</v>
      </c>
      <c r="G98" s="3">
        <f t="shared" si="3"/>
        <v>36.165449000000002</v>
      </c>
    </row>
    <row r="99" spans="1:7" x14ac:dyDescent="0.3">
      <c r="A99" t="s">
        <v>13039</v>
      </c>
      <c r="B99" t="s">
        <v>221</v>
      </c>
      <c r="C99" t="s">
        <v>222</v>
      </c>
      <c r="D99" s="1" t="s">
        <v>38</v>
      </c>
      <c r="E99" s="3">
        <v>40.590000000000003</v>
      </c>
      <c r="F99" s="3">
        <f t="shared" si="2"/>
        <v>10.257093000000003</v>
      </c>
      <c r="G99" s="3">
        <f t="shared" si="3"/>
        <v>50.847093000000008</v>
      </c>
    </row>
    <row r="100" spans="1:7" x14ac:dyDescent="0.3">
      <c r="A100" t="s">
        <v>13039</v>
      </c>
      <c r="B100" t="s">
        <v>223</v>
      </c>
      <c r="C100" t="s">
        <v>224</v>
      </c>
      <c r="D100" s="1" t="s">
        <v>38</v>
      </c>
      <c r="E100" s="3">
        <v>51.31</v>
      </c>
      <c r="F100" s="3">
        <f t="shared" si="2"/>
        <v>12.966037000000002</v>
      </c>
      <c r="G100" s="3">
        <f t="shared" si="3"/>
        <v>64.276037000000002</v>
      </c>
    </row>
    <row r="101" spans="1:7" x14ac:dyDescent="0.3">
      <c r="A101" t="s">
        <v>13039</v>
      </c>
      <c r="B101" t="s">
        <v>225</v>
      </c>
      <c r="C101" t="s">
        <v>226</v>
      </c>
      <c r="D101" s="1" t="s">
        <v>38</v>
      </c>
      <c r="E101" s="3">
        <v>77.180000000000007</v>
      </c>
      <c r="F101" s="3">
        <f t="shared" si="2"/>
        <v>19.503386000000006</v>
      </c>
      <c r="G101" s="3">
        <f t="shared" si="3"/>
        <v>96.683386000000013</v>
      </c>
    </row>
    <row r="102" spans="1:7" x14ac:dyDescent="0.3">
      <c r="A102" t="s">
        <v>13039</v>
      </c>
      <c r="B102" t="s">
        <v>227</v>
      </c>
      <c r="C102" t="s">
        <v>228</v>
      </c>
      <c r="D102" s="1" t="s">
        <v>38</v>
      </c>
      <c r="E102" s="3">
        <v>21.21</v>
      </c>
      <c r="F102" s="3">
        <f t="shared" si="2"/>
        <v>5.3597670000000006</v>
      </c>
      <c r="G102" s="3">
        <f t="shared" si="3"/>
        <v>26.569767000000002</v>
      </c>
    </row>
    <row r="103" spans="1:7" x14ac:dyDescent="0.3">
      <c r="A103" t="s">
        <v>13039</v>
      </c>
      <c r="B103" t="s">
        <v>229</v>
      </c>
      <c r="C103" t="s">
        <v>230</v>
      </c>
      <c r="D103" s="1" t="s">
        <v>38</v>
      </c>
      <c r="E103" s="3">
        <v>28.82</v>
      </c>
      <c r="F103" s="3">
        <f t="shared" si="2"/>
        <v>7.282814000000001</v>
      </c>
      <c r="G103" s="3">
        <f t="shared" si="3"/>
        <v>36.102814000000002</v>
      </c>
    </row>
    <row r="104" spans="1:7" x14ac:dyDescent="0.3">
      <c r="A104" t="s">
        <v>13039</v>
      </c>
      <c r="B104" t="s">
        <v>231</v>
      </c>
      <c r="C104" t="s">
        <v>232</v>
      </c>
      <c r="D104" s="1" t="s">
        <v>38</v>
      </c>
      <c r="E104" s="3">
        <v>39.979999999999997</v>
      </c>
      <c r="F104" s="3">
        <f t="shared" si="2"/>
        <v>10.102946000000001</v>
      </c>
      <c r="G104" s="3">
        <f t="shared" si="3"/>
        <v>50.082946</v>
      </c>
    </row>
    <row r="105" spans="1:7" x14ac:dyDescent="0.3">
      <c r="A105" t="s">
        <v>13039</v>
      </c>
      <c r="B105" t="s">
        <v>233</v>
      </c>
      <c r="C105" t="s">
        <v>234</v>
      </c>
      <c r="D105" s="1" t="s">
        <v>38</v>
      </c>
      <c r="E105" s="3">
        <v>65.81</v>
      </c>
      <c r="F105" s="3">
        <f t="shared" si="2"/>
        <v>16.630187000000003</v>
      </c>
      <c r="G105" s="3">
        <f t="shared" si="3"/>
        <v>82.440187000000009</v>
      </c>
    </row>
    <row r="106" spans="1:7" x14ac:dyDescent="0.3">
      <c r="A106" t="s">
        <v>13039</v>
      </c>
      <c r="B106" t="s">
        <v>235</v>
      </c>
      <c r="C106" t="s">
        <v>236</v>
      </c>
      <c r="D106" s="1" t="s">
        <v>38</v>
      </c>
      <c r="E106" s="3">
        <v>145.49</v>
      </c>
      <c r="F106" s="3">
        <f t="shared" si="2"/>
        <v>36.765323000000009</v>
      </c>
      <c r="G106" s="3">
        <f t="shared" si="3"/>
        <v>182.25532300000003</v>
      </c>
    </row>
    <row r="107" spans="1:7" x14ac:dyDescent="0.3">
      <c r="A107" t="s">
        <v>13039</v>
      </c>
      <c r="B107" t="s">
        <v>237</v>
      </c>
      <c r="C107" t="s">
        <v>238</v>
      </c>
      <c r="D107" s="1" t="s">
        <v>210</v>
      </c>
      <c r="E107" s="3">
        <v>10.71</v>
      </c>
      <c r="F107" s="3">
        <f t="shared" si="2"/>
        <v>2.7064170000000005</v>
      </c>
      <c r="G107" s="3">
        <f t="shared" si="3"/>
        <v>13.416417000000001</v>
      </c>
    </row>
    <row r="108" spans="1:7" x14ac:dyDescent="0.3">
      <c r="A108" t="s">
        <v>13039</v>
      </c>
      <c r="B108" t="s">
        <v>239</v>
      </c>
      <c r="C108" t="s">
        <v>240</v>
      </c>
      <c r="D108" s="1" t="s">
        <v>210</v>
      </c>
      <c r="E108" s="3">
        <v>10.47</v>
      </c>
      <c r="F108" s="3">
        <f t="shared" si="2"/>
        <v>2.6457690000000005</v>
      </c>
      <c r="G108" s="3">
        <f t="shared" si="3"/>
        <v>13.115769</v>
      </c>
    </row>
    <row r="109" spans="1:7" x14ac:dyDescent="0.3">
      <c r="A109" t="s">
        <v>13039</v>
      </c>
      <c r="B109" t="s">
        <v>241</v>
      </c>
      <c r="C109" t="s">
        <v>242</v>
      </c>
      <c r="D109" s="1" t="s">
        <v>195</v>
      </c>
      <c r="E109" s="3">
        <v>55067.6</v>
      </c>
      <c r="F109" s="3">
        <f t="shared" si="2"/>
        <v>13915.582520000002</v>
      </c>
      <c r="G109" s="3">
        <f t="shared" si="3"/>
        <v>68983.182520000002</v>
      </c>
    </row>
    <row r="110" spans="1:7" x14ac:dyDescent="0.3">
      <c r="A110" t="s">
        <v>13039</v>
      </c>
      <c r="B110" t="s">
        <v>243</v>
      </c>
      <c r="C110" t="s">
        <v>244</v>
      </c>
      <c r="D110" s="1" t="s">
        <v>195</v>
      </c>
      <c r="E110" s="3">
        <v>54244.3</v>
      </c>
      <c r="F110" s="3">
        <f t="shared" si="2"/>
        <v>13707.534610000002</v>
      </c>
      <c r="G110" s="3">
        <f t="shared" si="3"/>
        <v>67951.834610000005</v>
      </c>
    </row>
    <row r="111" spans="1:7" x14ac:dyDescent="0.3">
      <c r="A111" t="s">
        <v>13039</v>
      </c>
      <c r="B111" t="s">
        <v>245</v>
      </c>
      <c r="C111" t="s">
        <v>246</v>
      </c>
      <c r="D111" s="1" t="s">
        <v>195</v>
      </c>
      <c r="E111" s="3">
        <v>55824.82</v>
      </c>
      <c r="F111" s="3">
        <f t="shared" si="2"/>
        <v>14106.932014000002</v>
      </c>
      <c r="G111" s="3">
        <f t="shared" si="3"/>
        <v>69931.752013999998</v>
      </c>
    </row>
    <row r="112" spans="1:7" x14ac:dyDescent="0.3">
      <c r="A112" t="s">
        <v>13039</v>
      </c>
      <c r="B112" t="s">
        <v>247</v>
      </c>
      <c r="C112" t="s">
        <v>248</v>
      </c>
      <c r="D112" s="1" t="s">
        <v>195</v>
      </c>
      <c r="E112" s="3">
        <v>54662.96</v>
      </c>
      <c r="F112" s="3">
        <f t="shared" si="2"/>
        <v>13813.329992000001</v>
      </c>
      <c r="G112" s="3">
        <f t="shared" si="3"/>
        <v>68476.289992000005</v>
      </c>
    </row>
    <row r="113" spans="1:7" x14ac:dyDescent="0.3">
      <c r="A113" t="s">
        <v>13039</v>
      </c>
      <c r="B113" t="s">
        <v>249</v>
      </c>
      <c r="C113" t="s">
        <v>250</v>
      </c>
      <c r="D113" s="1" t="s">
        <v>195</v>
      </c>
      <c r="E113" s="3">
        <v>50848.08</v>
      </c>
      <c r="F113" s="3">
        <f t="shared" si="2"/>
        <v>12849.309816000003</v>
      </c>
      <c r="G113" s="3">
        <f t="shared" si="3"/>
        <v>63697.389816000003</v>
      </c>
    </row>
    <row r="114" spans="1:7" x14ac:dyDescent="0.3">
      <c r="A114" t="s">
        <v>13039</v>
      </c>
      <c r="B114" t="s">
        <v>251</v>
      </c>
      <c r="C114" t="s">
        <v>252</v>
      </c>
      <c r="D114" s="1" t="s">
        <v>195</v>
      </c>
      <c r="E114" s="3">
        <v>50437.22</v>
      </c>
      <c r="F114" s="3">
        <f t="shared" si="2"/>
        <v>12745.485494000002</v>
      </c>
      <c r="G114" s="3">
        <f t="shared" si="3"/>
        <v>63182.705494000002</v>
      </c>
    </row>
    <row r="115" spans="1:7" x14ac:dyDescent="0.3">
      <c r="A115" t="s">
        <v>13039</v>
      </c>
      <c r="B115" t="s">
        <v>253</v>
      </c>
      <c r="C115" t="s">
        <v>254</v>
      </c>
      <c r="D115" s="1" t="s">
        <v>195</v>
      </c>
      <c r="E115" s="3">
        <v>56918.36</v>
      </c>
      <c r="F115" s="3">
        <f t="shared" si="2"/>
        <v>14383.269572000003</v>
      </c>
      <c r="G115" s="3">
        <f t="shared" si="3"/>
        <v>71301.629572000005</v>
      </c>
    </row>
    <row r="116" spans="1:7" x14ac:dyDescent="0.3">
      <c r="A116" t="s">
        <v>13039</v>
      </c>
      <c r="B116" t="s">
        <v>255</v>
      </c>
      <c r="C116" t="s">
        <v>256</v>
      </c>
      <c r="D116" s="1" t="s">
        <v>195</v>
      </c>
      <c r="E116" s="3">
        <v>56062.74</v>
      </c>
      <c r="F116" s="3">
        <f t="shared" si="2"/>
        <v>14167.054398000002</v>
      </c>
      <c r="G116" s="3">
        <f t="shared" si="3"/>
        <v>70229.794397999998</v>
      </c>
    </row>
    <row r="117" spans="1:7" x14ac:dyDescent="0.3">
      <c r="A117" t="s">
        <v>13039</v>
      </c>
      <c r="B117" t="s">
        <v>257</v>
      </c>
      <c r="C117" t="s">
        <v>258</v>
      </c>
      <c r="D117" s="1" t="s">
        <v>195</v>
      </c>
      <c r="E117" s="3">
        <v>65667.8</v>
      </c>
      <c r="F117" s="3">
        <f t="shared" si="2"/>
        <v>16594.253060000003</v>
      </c>
      <c r="G117" s="3">
        <f t="shared" si="3"/>
        <v>82262.053060000006</v>
      </c>
    </row>
    <row r="118" spans="1:7" x14ac:dyDescent="0.3">
      <c r="A118" t="s">
        <v>13039</v>
      </c>
      <c r="B118" t="s">
        <v>259</v>
      </c>
      <c r="C118" t="s">
        <v>260</v>
      </c>
      <c r="D118" s="1" t="s">
        <v>195</v>
      </c>
      <c r="E118" s="3">
        <v>64886.29</v>
      </c>
      <c r="F118" s="3">
        <f t="shared" si="2"/>
        <v>16396.765483000003</v>
      </c>
      <c r="G118" s="3">
        <f t="shared" si="3"/>
        <v>81283.055483000004</v>
      </c>
    </row>
    <row r="119" spans="1:7" x14ac:dyDescent="0.3">
      <c r="A119" t="s">
        <v>13039</v>
      </c>
      <c r="B119" t="s">
        <v>261</v>
      </c>
      <c r="C119" t="s">
        <v>262</v>
      </c>
      <c r="D119" s="1" t="s">
        <v>195</v>
      </c>
      <c r="E119" s="3">
        <v>59760.36</v>
      </c>
      <c r="F119" s="3">
        <f t="shared" si="2"/>
        <v>15101.442972000003</v>
      </c>
      <c r="G119" s="3">
        <f t="shared" si="3"/>
        <v>74861.802972000005</v>
      </c>
    </row>
    <row r="120" spans="1:7" x14ac:dyDescent="0.3">
      <c r="A120" t="s">
        <v>13039</v>
      </c>
      <c r="B120" t="s">
        <v>263</v>
      </c>
      <c r="C120" t="s">
        <v>264</v>
      </c>
      <c r="D120" s="1" t="s">
        <v>195</v>
      </c>
      <c r="E120" s="3">
        <v>58840.05</v>
      </c>
      <c r="F120" s="3">
        <f t="shared" si="2"/>
        <v>14868.880635000003</v>
      </c>
      <c r="G120" s="3">
        <f t="shared" si="3"/>
        <v>73708.930635000012</v>
      </c>
    </row>
    <row r="121" spans="1:7" x14ac:dyDescent="0.3">
      <c r="A121" t="s">
        <v>13039</v>
      </c>
      <c r="B121" t="s">
        <v>265</v>
      </c>
      <c r="C121" t="s">
        <v>266</v>
      </c>
      <c r="D121" s="1" t="s">
        <v>195</v>
      </c>
      <c r="E121" s="3">
        <v>72760.600000000006</v>
      </c>
      <c r="F121" s="3">
        <f t="shared" si="2"/>
        <v>18386.603620000005</v>
      </c>
      <c r="G121" s="3">
        <f t="shared" si="3"/>
        <v>91147.203620000015</v>
      </c>
    </row>
    <row r="122" spans="1:7" x14ac:dyDescent="0.3">
      <c r="A122" t="s">
        <v>13039</v>
      </c>
      <c r="B122" t="s">
        <v>267</v>
      </c>
      <c r="C122" t="s">
        <v>268</v>
      </c>
      <c r="D122" s="1" t="s">
        <v>195</v>
      </c>
      <c r="E122" s="3">
        <v>71886.539999999994</v>
      </c>
      <c r="F122" s="3">
        <f t="shared" si="2"/>
        <v>18165.728658</v>
      </c>
      <c r="G122" s="3">
        <f t="shared" si="3"/>
        <v>90052.268657999986</v>
      </c>
    </row>
    <row r="123" spans="1:7" x14ac:dyDescent="0.3">
      <c r="A123" t="s">
        <v>13039</v>
      </c>
      <c r="B123" t="s">
        <v>269</v>
      </c>
      <c r="C123" t="s">
        <v>270</v>
      </c>
      <c r="D123" s="1" t="s">
        <v>195</v>
      </c>
      <c r="E123" s="3">
        <v>75882.100000000006</v>
      </c>
      <c r="F123" s="3">
        <f t="shared" si="2"/>
        <v>19175.406670000004</v>
      </c>
      <c r="G123" s="3">
        <f t="shared" si="3"/>
        <v>95057.506670000002</v>
      </c>
    </row>
    <row r="124" spans="1:7" x14ac:dyDescent="0.3">
      <c r="A124" t="s">
        <v>13039</v>
      </c>
      <c r="B124" t="s">
        <v>271</v>
      </c>
      <c r="C124" t="s">
        <v>272</v>
      </c>
      <c r="D124" s="1" t="s">
        <v>195</v>
      </c>
      <c r="E124" s="3">
        <v>74933.429999999993</v>
      </c>
      <c r="F124" s="3">
        <f t="shared" si="2"/>
        <v>18935.677761000003</v>
      </c>
      <c r="G124" s="3">
        <f t="shared" si="3"/>
        <v>93869.107760999992</v>
      </c>
    </row>
    <row r="125" spans="1:7" x14ac:dyDescent="0.3">
      <c r="A125" t="s">
        <v>13039</v>
      </c>
      <c r="B125" t="s">
        <v>273</v>
      </c>
      <c r="C125" t="s">
        <v>274</v>
      </c>
      <c r="D125" s="1" t="s">
        <v>195</v>
      </c>
      <c r="E125" s="3">
        <v>64588.7</v>
      </c>
      <c r="F125" s="3">
        <f t="shared" si="2"/>
        <v>16321.564490000002</v>
      </c>
      <c r="G125" s="3">
        <f t="shared" si="3"/>
        <v>80910.264490000001</v>
      </c>
    </row>
    <row r="126" spans="1:7" x14ac:dyDescent="0.3">
      <c r="A126" t="s">
        <v>13039</v>
      </c>
      <c r="B126" t="s">
        <v>275</v>
      </c>
      <c r="C126" t="s">
        <v>276</v>
      </c>
      <c r="D126" s="1" t="s">
        <v>195</v>
      </c>
      <c r="E126" s="3">
        <v>63529.16</v>
      </c>
      <c r="F126" s="3">
        <f t="shared" si="2"/>
        <v>16053.818732000003</v>
      </c>
      <c r="G126" s="3">
        <f t="shared" si="3"/>
        <v>79582.978732000003</v>
      </c>
    </row>
    <row r="127" spans="1:7" x14ac:dyDescent="0.3">
      <c r="A127" t="s">
        <v>13039</v>
      </c>
      <c r="B127" t="s">
        <v>277</v>
      </c>
      <c r="C127" t="s">
        <v>278</v>
      </c>
      <c r="D127" s="1" t="s">
        <v>195</v>
      </c>
      <c r="E127" s="3">
        <v>81896.429999999993</v>
      </c>
      <c r="F127" s="3">
        <f t="shared" si="2"/>
        <v>20695.227860999999</v>
      </c>
      <c r="G127" s="3">
        <f t="shared" si="3"/>
        <v>102591.65786099999</v>
      </c>
    </row>
    <row r="128" spans="1:7" x14ac:dyDescent="0.3">
      <c r="A128" t="s">
        <v>13039</v>
      </c>
      <c r="B128" t="s">
        <v>279</v>
      </c>
      <c r="C128" t="s">
        <v>280</v>
      </c>
      <c r="D128" s="1" t="s">
        <v>195</v>
      </c>
      <c r="E128" s="3">
        <v>80803.28</v>
      </c>
      <c r="F128" s="3">
        <f t="shared" si="2"/>
        <v>20418.988856000004</v>
      </c>
      <c r="G128" s="3">
        <f t="shared" si="3"/>
        <v>101222.26885600001</v>
      </c>
    </row>
    <row r="129" spans="1:7" x14ac:dyDescent="0.3">
      <c r="A129" t="s">
        <v>13039</v>
      </c>
      <c r="B129" t="s">
        <v>281</v>
      </c>
      <c r="C129" t="s">
        <v>282</v>
      </c>
      <c r="D129" s="1" t="s">
        <v>195</v>
      </c>
      <c r="E129" s="3">
        <v>26678.639999999999</v>
      </c>
      <c r="F129" s="3">
        <f t="shared" si="2"/>
        <v>6741.692328000001</v>
      </c>
      <c r="G129" s="3">
        <f t="shared" si="3"/>
        <v>33420.332328000004</v>
      </c>
    </row>
    <row r="130" spans="1:7" x14ac:dyDescent="0.3">
      <c r="A130" t="s">
        <v>13039</v>
      </c>
      <c r="B130" t="s">
        <v>283</v>
      </c>
      <c r="C130" t="s">
        <v>284</v>
      </c>
      <c r="D130" s="1" t="s">
        <v>195</v>
      </c>
      <c r="E130" s="3">
        <v>26392.080000000002</v>
      </c>
      <c r="F130" s="3">
        <f t="shared" si="2"/>
        <v>6669.2786160000014</v>
      </c>
      <c r="G130" s="3">
        <f t="shared" si="3"/>
        <v>33061.358616000005</v>
      </c>
    </row>
    <row r="131" spans="1:7" x14ac:dyDescent="0.3">
      <c r="A131" t="s">
        <v>13039</v>
      </c>
      <c r="B131" t="s">
        <v>285</v>
      </c>
      <c r="C131" t="s">
        <v>286</v>
      </c>
      <c r="D131" s="1" t="s">
        <v>195</v>
      </c>
      <c r="E131" s="3">
        <v>31430.21</v>
      </c>
      <c r="F131" s="3">
        <f t="shared" si="2"/>
        <v>7942.4140670000006</v>
      </c>
      <c r="G131" s="3">
        <f t="shared" si="3"/>
        <v>39372.624066999997</v>
      </c>
    </row>
    <row r="132" spans="1:7" x14ac:dyDescent="0.3">
      <c r="A132" t="s">
        <v>13039</v>
      </c>
      <c r="B132" t="s">
        <v>287</v>
      </c>
      <c r="C132" t="s">
        <v>288</v>
      </c>
      <c r="D132" s="1" t="s">
        <v>195</v>
      </c>
      <c r="E132" s="3">
        <v>31100.82</v>
      </c>
      <c r="F132" s="3">
        <f t="shared" si="2"/>
        <v>7859.1772140000012</v>
      </c>
      <c r="G132" s="3">
        <f t="shared" si="3"/>
        <v>38959.997214000003</v>
      </c>
    </row>
    <row r="133" spans="1:7" x14ac:dyDescent="0.3">
      <c r="A133" t="s">
        <v>13039</v>
      </c>
      <c r="B133" t="s">
        <v>289</v>
      </c>
      <c r="C133" t="s">
        <v>290</v>
      </c>
      <c r="D133" s="1" t="s">
        <v>195</v>
      </c>
      <c r="E133" s="3">
        <v>31387.85</v>
      </c>
      <c r="F133" s="3">
        <f t="shared" si="2"/>
        <v>7931.7096950000005</v>
      </c>
      <c r="G133" s="3">
        <f t="shared" si="3"/>
        <v>39319.559694999996</v>
      </c>
    </row>
    <row r="134" spans="1:7" x14ac:dyDescent="0.3">
      <c r="A134" t="s">
        <v>13039</v>
      </c>
      <c r="B134" t="s">
        <v>291</v>
      </c>
      <c r="C134" t="s">
        <v>292</v>
      </c>
      <c r="D134" s="1" t="s">
        <v>195</v>
      </c>
      <c r="E134" s="3">
        <v>31723.46</v>
      </c>
      <c r="F134" s="3">
        <f t="shared" si="2"/>
        <v>8016.5183420000012</v>
      </c>
      <c r="G134" s="3">
        <f t="shared" si="3"/>
        <v>39739.978342000002</v>
      </c>
    </row>
    <row r="135" spans="1:7" x14ac:dyDescent="0.3">
      <c r="A135" t="s">
        <v>13039</v>
      </c>
      <c r="B135" t="s">
        <v>293</v>
      </c>
      <c r="C135" t="s">
        <v>294</v>
      </c>
      <c r="D135" s="1" t="s">
        <v>195</v>
      </c>
      <c r="E135" s="3">
        <v>32881.24</v>
      </c>
      <c r="F135" s="3">
        <f t="shared" ref="F135:F198" si="4">+E135*$F$4</f>
        <v>8309.0893480000013</v>
      </c>
      <c r="G135" s="3">
        <f t="shared" ref="G135:G198" si="5">+E135+F135</f>
        <v>41190.329347999999</v>
      </c>
    </row>
    <row r="136" spans="1:7" x14ac:dyDescent="0.3">
      <c r="A136" t="s">
        <v>13039</v>
      </c>
      <c r="B136" t="s">
        <v>295</v>
      </c>
      <c r="C136" t="s">
        <v>296</v>
      </c>
      <c r="D136" s="1" t="s">
        <v>195</v>
      </c>
      <c r="E136" s="3">
        <v>32531.49</v>
      </c>
      <c r="F136" s="3">
        <f t="shared" si="4"/>
        <v>8220.7075230000009</v>
      </c>
      <c r="G136" s="3">
        <f t="shared" si="5"/>
        <v>40752.197523000003</v>
      </c>
    </row>
    <row r="137" spans="1:7" x14ac:dyDescent="0.3">
      <c r="A137" t="s">
        <v>13039</v>
      </c>
      <c r="B137" t="s">
        <v>297</v>
      </c>
      <c r="C137" t="s">
        <v>298</v>
      </c>
      <c r="D137" s="1" t="s">
        <v>195</v>
      </c>
      <c r="E137" s="3">
        <v>37360.68</v>
      </c>
      <c r="F137" s="3">
        <f t="shared" si="4"/>
        <v>9441.0438360000007</v>
      </c>
      <c r="G137" s="3">
        <f t="shared" si="5"/>
        <v>46801.723836000005</v>
      </c>
    </row>
    <row r="138" spans="1:7" x14ac:dyDescent="0.3">
      <c r="A138" t="s">
        <v>13039</v>
      </c>
      <c r="B138" t="s">
        <v>299</v>
      </c>
      <c r="C138" t="s">
        <v>300</v>
      </c>
      <c r="D138" s="1" t="s">
        <v>195</v>
      </c>
      <c r="E138" s="3">
        <v>36939.910000000003</v>
      </c>
      <c r="F138" s="3">
        <f t="shared" si="4"/>
        <v>9334.7152570000017</v>
      </c>
      <c r="G138" s="3">
        <f t="shared" si="5"/>
        <v>46274.625257000007</v>
      </c>
    </row>
    <row r="139" spans="1:7" x14ac:dyDescent="0.3">
      <c r="A139" t="s">
        <v>13039</v>
      </c>
      <c r="B139" t="s">
        <v>301</v>
      </c>
      <c r="C139" t="s">
        <v>302</v>
      </c>
      <c r="D139" s="1" t="s">
        <v>195</v>
      </c>
      <c r="E139" s="3">
        <v>37377.919999999998</v>
      </c>
      <c r="F139" s="3">
        <f t="shared" si="4"/>
        <v>9445.4003840000005</v>
      </c>
      <c r="G139" s="3">
        <f t="shared" si="5"/>
        <v>46823.320383999999</v>
      </c>
    </row>
    <row r="140" spans="1:7" x14ac:dyDescent="0.3">
      <c r="A140" t="s">
        <v>13039</v>
      </c>
      <c r="B140" t="s">
        <v>303</v>
      </c>
      <c r="C140" t="s">
        <v>304</v>
      </c>
      <c r="D140" s="1" t="s">
        <v>195</v>
      </c>
      <c r="E140" s="3">
        <v>36968.720000000001</v>
      </c>
      <c r="F140" s="3">
        <f t="shared" si="4"/>
        <v>9341.9955440000012</v>
      </c>
      <c r="G140" s="3">
        <f t="shared" si="5"/>
        <v>46310.715544000006</v>
      </c>
    </row>
    <row r="141" spans="1:7" x14ac:dyDescent="0.3">
      <c r="A141" t="s">
        <v>13039</v>
      </c>
      <c r="B141" t="s">
        <v>305</v>
      </c>
      <c r="C141" t="s">
        <v>306</v>
      </c>
      <c r="D141" s="1" t="s">
        <v>195</v>
      </c>
      <c r="E141" s="3">
        <v>33461.910000000003</v>
      </c>
      <c r="F141" s="3">
        <f t="shared" si="4"/>
        <v>8455.8246570000028</v>
      </c>
      <c r="G141" s="3">
        <f t="shared" si="5"/>
        <v>41917.734657000008</v>
      </c>
    </row>
    <row r="142" spans="1:7" x14ac:dyDescent="0.3">
      <c r="A142" t="s">
        <v>13039</v>
      </c>
      <c r="B142" t="s">
        <v>307</v>
      </c>
      <c r="C142" t="s">
        <v>308</v>
      </c>
      <c r="D142" s="1" t="s">
        <v>195</v>
      </c>
      <c r="E142" s="3">
        <v>33100.85</v>
      </c>
      <c r="F142" s="3">
        <f t="shared" si="4"/>
        <v>8364.5847950000007</v>
      </c>
      <c r="G142" s="3">
        <f t="shared" si="5"/>
        <v>41465.434795000001</v>
      </c>
    </row>
    <row r="143" spans="1:7" x14ac:dyDescent="0.3">
      <c r="A143" t="s">
        <v>13039</v>
      </c>
      <c r="B143" t="s">
        <v>309</v>
      </c>
      <c r="C143" t="s">
        <v>310</v>
      </c>
      <c r="D143" s="1" t="s">
        <v>195</v>
      </c>
      <c r="E143" s="3">
        <v>34083.74</v>
      </c>
      <c r="F143" s="3">
        <f t="shared" si="4"/>
        <v>8612.9610980000016</v>
      </c>
      <c r="G143" s="3">
        <f t="shared" si="5"/>
        <v>42696.701097999998</v>
      </c>
    </row>
    <row r="144" spans="1:7" x14ac:dyDescent="0.3">
      <c r="A144" t="s">
        <v>13039</v>
      </c>
      <c r="B144" t="s">
        <v>311</v>
      </c>
      <c r="C144" t="s">
        <v>312</v>
      </c>
      <c r="D144" s="1" t="s">
        <v>195</v>
      </c>
      <c r="E144" s="3">
        <v>33703.519999999997</v>
      </c>
      <c r="F144" s="3">
        <f t="shared" si="4"/>
        <v>8516.8795040000005</v>
      </c>
      <c r="G144" s="3">
        <f t="shared" si="5"/>
        <v>42220.399504000001</v>
      </c>
    </row>
    <row r="145" spans="1:7" x14ac:dyDescent="0.3">
      <c r="A145" t="s">
        <v>13039</v>
      </c>
      <c r="B145" t="s">
        <v>313</v>
      </c>
      <c r="C145" t="s">
        <v>314</v>
      </c>
      <c r="D145" s="1" t="s">
        <v>195</v>
      </c>
      <c r="E145" s="3">
        <v>39229.64</v>
      </c>
      <c r="F145" s="3">
        <f t="shared" si="4"/>
        <v>9913.3300280000021</v>
      </c>
      <c r="G145" s="3">
        <f t="shared" si="5"/>
        <v>49142.970028000003</v>
      </c>
    </row>
    <row r="146" spans="1:7" x14ac:dyDescent="0.3">
      <c r="A146" t="s">
        <v>13039</v>
      </c>
      <c r="B146" t="s">
        <v>315</v>
      </c>
      <c r="C146" t="s">
        <v>316</v>
      </c>
      <c r="D146" s="1" t="s">
        <v>195</v>
      </c>
      <c r="E146" s="3">
        <v>38765.96</v>
      </c>
      <c r="F146" s="3">
        <f t="shared" si="4"/>
        <v>9796.1580920000015</v>
      </c>
      <c r="G146" s="3">
        <f t="shared" si="5"/>
        <v>48562.118092000004</v>
      </c>
    </row>
    <row r="147" spans="1:7" x14ac:dyDescent="0.3">
      <c r="A147" t="s">
        <v>13039</v>
      </c>
      <c r="B147" t="s">
        <v>317</v>
      </c>
      <c r="C147" t="s">
        <v>318</v>
      </c>
      <c r="D147" s="1" t="s">
        <v>195</v>
      </c>
      <c r="E147" s="3">
        <v>36907.449999999997</v>
      </c>
      <c r="F147" s="3">
        <f t="shared" si="4"/>
        <v>9326.5126150000015</v>
      </c>
      <c r="G147" s="3">
        <f t="shared" si="5"/>
        <v>46233.962614999997</v>
      </c>
    </row>
    <row r="148" spans="1:7" x14ac:dyDescent="0.3">
      <c r="A148" t="s">
        <v>13039</v>
      </c>
      <c r="B148" t="s">
        <v>319</v>
      </c>
      <c r="C148" t="s">
        <v>320</v>
      </c>
      <c r="D148" s="1" t="s">
        <v>195</v>
      </c>
      <c r="E148" s="3">
        <v>36473.96</v>
      </c>
      <c r="F148" s="3">
        <f t="shared" si="4"/>
        <v>9216.9696920000006</v>
      </c>
      <c r="G148" s="3">
        <f t="shared" si="5"/>
        <v>45690.929691999998</v>
      </c>
    </row>
    <row r="149" spans="1:7" x14ac:dyDescent="0.3">
      <c r="A149" t="s">
        <v>13039</v>
      </c>
      <c r="B149" t="s">
        <v>321</v>
      </c>
      <c r="C149" t="s">
        <v>322</v>
      </c>
      <c r="D149" s="1" t="s">
        <v>195</v>
      </c>
      <c r="E149" s="3">
        <v>36427.81</v>
      </c>
      <c r="F149" s="3">
        <f t="shared" si="4"/>
        <v>9205.3075870000011</v>
      </c>
      <c r="G149" s="3">
        <f t="shared" si="5"/>
        <v>45633.117587000001</v>
      </c>
    </row>
    <row r="150" spans="1:7" x14ac:dyDescent="0.3">
      <c r="A150" t="s">
        <v>13039</v>
      </c>
      <c r="B150" t="s">
        <v>323</v>
      </c>
      <c r="C150" t="s">
        <v>324</v>
      </c>
      <c r="D150" s="1" t="s">
        <v>195</v>
      </c>
      <c r="E150" s="3">
        <v>35995.94</v>
      </c>
      <c r="F150" s="3">
        <f t="shared" si="4"/>
        <v>9096.174038000001</v>
      </c>
      <c r="G150" s="3">
        <f t="shared" si="5"/>
        <v>45092.114038</v>
      </c>
    </row>
    <row r="151" spans="1:7" x14ac:dyDescent="0.3">
      <c r="A151" t="s">
        <v>13039</v>
      </c>
      <c r="B151" t="s">
        <v>325</v>
      </c>
      <c r="C151" t="s">
        <v>326</v>
      </c>
      <c r="D151" s="1" t="s">
        <v>195</v>
      </c>
      <c r="E151" s="3">
        <v>40467.760000000002</v>
      </c>
      <c r="F151" s="3">
        <f t="shared" si="4"/>
        <v>10226.202952000001</v>
      </c>
      <c r="G151" s="3">
        <f t="shared" si="5"/>
        <v>50693.962952000002</v>
      </c>
    </row>
    <row r="152" spans="1:7" x14ac:dyDescent="0.3">
      <c r="A152" t="s">
        <v>13039</v>
      </c>
      <c r="B152" t="s">
        <v>327</v>
      </c>
      <c r="C152" t="s">
        <v>328</v>
      </c>
      <c r="D152" s="1" t="s">
        <v>195</v>
      </c>
      <c r="E152" s="3">
        <v>39969.69</v>
      </c>
      <c r="F152" s="3">
        <f t="shared" si="4"/>
        <v>10100.340663000003</v>
      </c>
      <c r="G152" s="3">
        <f t="shared" si="5"/>
        <v>50070.030663000005</v>
      </c>
    </row>
    <row r="153" spans="1:7" x14ac:dyDescent="0.3">
      <c r="A153" t="s">
        <v>13039</v>
      </c>
      <c r="B153" t="s">
        <v>329</v>
      </c>
      <c r="C153" t="s">
        <v>330</v>
      </c>
      <c r="D153" s="1" t="s">
        <v>195</v>
      </c>
      <c r="E153" s="3">
        <v>37704.629999999997</v>
      </c>
      <c r="F153" s="3">
        <f t="shared" si="4"/>
        <v>9527.9600010000013</v>
      </c>
      <c r="G153" s="3">
        <f t="shared" si="5"/>
        <v>47232.590000999997</v>
      </c>
    </row>
    <row r="154" spans="1:7" x14ac:dyDescent="0.3">
      <c r="A154" t="s">
        <v>13039</v>
      </c>
      <c r="B154" t="s">
        <v>331</v>
      </c>
      <c r="C154" t="s">
        <v>332</v>
      </c>
      <c r="D154" s="1" t="s">
        <v>195</v>
      </c>
      <c r="E154" s="3">
        <v>37250.239999999998</v>
      </c>
      <c r="F154" s="3">
        <f t="shared" si="4"/>
        <v>9413.1356480000013</v>
      </c>
      <c r="G154" s="3">
        <f t="shared" si="5"/>
        <v>46663.375648000001</v>
      </c>
    </row>
    <row r="155" spans="1:7" x14ac:dyDescent="0.3">
      <c r="A155" t="s">
        <v>13039</v>
      </c>
      <c r="B155" t="s">
        <v>333</v>
      </c>
      <c r="C155" t="s">
        <v>334</v>
      </c>
      <c r="D155" s="1" t="s">
        <v>195</v>
      </c>
      <c r="E155" s="3">
        <v>41081.699999999997</v>
      </c>
      <c r="F155" s="3">
        <f t="shared" si="4"/>
        <v>10381.345590000001</v>
      </c>
      <c r="G155" s="3">
        <f t="shared" si="5"/>
        <v>51463.045589999994</v>
      </c>
    </row>
    <row r="156" spans="1:7" x14ac:dyDescent="0.3">
      <c r="A156" t="s">
        <v>13039</v>
      </c>
      <c r="B156" t="s">
        <v>335</v>
      </c>
      <c r="C156" t="s">
        <v>336</v>
      </c>
      <c r="D156" s="1" t="s">
        <v>195</v>
      </c>
      <c r="E156" s="3">
        <v>40567.69</v>
      </c>
      <c r="F156" s="3">
        <f t="shared" si="4"/>
        <v>10251.455263000002</v>
      </c>
      <c r="G156" s="3">
        <f t="shared" si="5"/>
        <v>50819.145263000006</v>
      </c>
    </row>
    <row r="157" spans="1:7" x14ac:dyDescent="0.3">
      <c r="A157" t="s">
        <v>13039</v>
      </c>
      <c r="B157" t="s">
        <v>337</v>
      </c>
      <c r="C157" t="s">
        <v>338</v>
      </c>
      <c r="D157" s="1" t="s">
        <v>195</v>
      </c>
      <c r="E157" s="3">
        <v>42246.41</v>
      </c>
      <c r="F157" s="3">
        <f t="shared" si="4"/>
        <v>10675.667807000002</v>
      </c>
      <c r="G157" s="3">
        <f t="shared" si="5"/>
        <v>52922.077807000009</v>
      </c>
    </row>
    <row r="158" spans="1:7" x14ac:dyDescent="0.3">
      <c r="A158" t="s">
        <v>13039</v>
      </c>
      <c r="B158" t="s">
        <v>339</v>
      </c>
      <c r="C158" t="s">
        <v>340</v>
      </c>
      <c r="D158" s="1" t="s">
        <v>195</v>
      </c>
      <c r="E158" s="3">
        <v>41707.64</v>
      </c>
      <c r="F158" s="3">
        <f t="shared" si="4"/>
        <v>10539.520628000002</v>
      </c>
      <c r="G158" s="3">
        <f t="shared" si="5"/>
        <v>52247.160627999998</v>
      </c>
    </row>
    <row r="159" spans="1:7" x14ac:dyDescent="0.3">
      <c r="A159" t="s">
        <v>13039</v>
      </c>
      <c r="B159" t="s">
        <v>341</v>
      </c>
      <c r="C159" t="s">
        <v>342</v>
      </c>
      <c r="D159" s="1" t="s">
        <v>195</v>
      </c>
      <c r="E159" s="3">
        <v>38872.660000000003</v>
      </c>
      <c r="F159" s="3">
        <f t="shared" si="4"/>
        <v>9823.1211820000026</v>
      </c>
      <c r="G159" s="3">
        <f t="shared" si="5"/>
        <v>48695.781182000006</v>
      </c>
    </row>
    <row r="160" spans="1:7" x14ac:dyDescent="0.3">
      <c r="A160" t="s">
        <v>13039</v>
      </c>
      <c r="B160" t="s">
        <v>343</v>
      </c>
      <c r="C160" t="s">
        <v>344</v>
      </c>
      <c r="D160" s="1" t="s">
        <v>195</v>
      </c>
      <c r="E160" s="3">
        <v>38390.959999999999</v>
      </c>
      <c r="F160" s="3">
        <f t="shared" si="4"/>
        <v>9701.3955920000008</v>
      </c>
      <c r="G160" s="3">
        <f t="shared" si="5"/>
        <v>48092.355592</v>
      </c>
    </row>
    <row r="161" spans="1:7" x14ac:dyDescent="0.3">
      <c r="A161" t="s">
        <v>13039</v>
      </c>
      <c r="B161" t="s">
        <v>345</v>
      </c>
      <c r="C161" t="s">
        <v>346</v>
      </c>
      <c r="D161" s="1" t="s">
        <v>195</v>
      </c>
      <c r="E161" s="3">
        <v>40696.269999999997</v>
      </c>
      <c r="F161" s="3">
        <f t="shared" si="4"/>
        <v>10283.947429</v>
      </c>
      <c r="G161" s="3">
        <f t="shared" si="5"/>
        <v>50980.217428999997</v>
      </c>
    </row>
    <row r="162" spans="1:7" x14ac:dyDescent="0.3">
      <c r="A162" t="s">
        <v>13039</v>
      </c>
      <c r="B162" t="s">
        <v>347</v>
      </c>
      <c r="C162" t="s">
        <v>348</v>
      </c>
      <c r="D162" s="1" t="s">
        <v>195</v>
      </c>
      <c r="E162" s="3">
        <v>40168.720000000001</v>
      </c>
      <c r="F162" s="3">
        <f t="shared" si="4"/>
        <v>10150.635544000002</v>
      </c>
      <c r="G162" s="3">
        <f t="shared" si="5"/>
        <v>50319.355544000005</v>
      </c>
    </row>
    <row r="163" spans="1:7" x14ac:dyDescent="0.3">
      <c r="A163" t="s">
        <v>13039</v>
      </c>
      <c r="B163" t="s">
        <v>349</v>
      </c>
      <c r="C163" t="s">
        <v>350</v>
      </c>
      <c r="D163" s="1" t="s">
        <v>195</v>
      </c>
      <c r="E163" s="3">
        <v>44812.56</v>
      </c>
      <c r="F163" s="3">
        <f t="shared" si="4"/>
        <v>11324.133912000001</v>
      </c>
      <c r="G163" s="3">
        <f t="shared" si="5"/>
        <v>56136.693912000002</v>
      </c>
    </row>
    <row r="164" spans="1:7" x14ac:dyDescent="0.3">
      <c r="A164" t="s">
        <v>13039</v>
      </c>
      <c r="B164" t="s">
        <v>351</v>
      </c>
      <c r="C164" t="s">
        <v>352</v>
      </c>
      <c r="D164" s="1" t="s">
        <v>195</v>
      </c>
      <c r="E164" s="3">
        <v>44196.17</v>
      </c>
      <c r="F164" s="3">
        <f t="shared" si="4"/>
        <v>11168.372159</v>
      </c>
      <c r="G164" s="3">
        <f t="shared" si="5"/>
        <v>55364.542158999997</v>
      </c>
    </row>
    <row r="165" spans="1:7" x14ac:dyDescent="0.3">
      <c r="A165" t="s">
        <v>13039</v>
      </c>
      <c r="B165" t="s">
        <v>353</v>
      </c>
      <c r="C165" t="s">
        <v>354</v>
      </c>
      <c r="D165" s="1" t="s">
        <v>195</v>
      </c>
      <c r="E165" s="3">
        <v>47770.82</v>
      </c>
      <c r="F165" s="3">
        <f t="shared" si="4"/>
        <v>12071.686214000001</v>
      </c>
      <c r="G165" s="3">
        <f t="shared" si="5"/>
        <v>59842.506214000001</v>
      </c>
    </row>
    <row r="166" spans="1:7" x14ac:dyDescent="0.3">
      <c r="A166" t="s">
        <v>13039</v>
      </c>
      <c r="B166" t="s">
        <v>355</v>
      </c>
      <c r="C166" t="s">
        <v>356</v>
      </c>
      <c r="D166" s="1" t="s">
        <v>195</v>
      </c>
      <c r="E166" s="3">
        <v>47093.3</v>
      </c>
      <c r="F166" s="3">
        <f t="shared" si="4"/>
        <v>11900.476910000003</v>
      </c>
      <c r="G166" s="3">
        <f t="shared" si="5"/>
        <v>58993.776910000008</v>
      </c>
    </row>
    <row r="167" spans="1:7" x14ac:dyDescent="0.3">
      <c r="A167" t="s">
        <v>13039</v>
      </c>
      <c r="B167" t="s">
        <v>357</v>
      </c>
      <c r="C167" t="s">
        <v>358</v>
      </c>
      <c r="D167" s="1" t="s">
        <v>195</v>
      </c>
      <c r="E167" s="3">
        <v>44852.88</v>
      </c>
      <c r="F167" s="3">
        <f t="shared" si="4"/>
        <v>11334.322776000001</v>
      </c>
      <c r="G167" s="3">
        <f t="shared" si="5"/>
        <v>56187.202775999998</v>
      </c>
    </row>
    <row r="168" spans="1:7" x14ac:dyDescent="0.3">
      <c r="A168" t="s">
        <v>13039</v>
      </c>
      <c r="B168" t="s">
        <v>359</v>
      </c>
      <c r="C168" t="s">
        <v>360</v>
      </c>
      <c r="D168" s="1" t="s">
        <v>195</v>
      </c>
      <c r="E168" s="3">
        <v>44253.49</v>
      </c>
      <c r="F168" s="3">
        <f t="shared" si="4"/>
        <v>11182.856923000001</v>
      </c>
      <c r="G168" s="3">
        <f t="shared" si="5"/>
        <v>55436.346922999997</v>
      </c>
    </row>
    <row r="169" spans="1:7" x14ac:dyDescent="0.3">
      <c r="A169" t="s">
        <v>13039</v>
      </c>
      <c r="B169" t="s">
        <v>361</v>
      </c>
      <c r="C169" t="s">
        <v>362</v>
      </c>
      <c r="D169" s="1" t="s">
        <v>195</v>
      </c>
      <c r="E169" s="3">
        <v>45553.94</v>
      </c>
      <c r="F169" s="3">
        <f t="shared" si="4"/>
        <v>11511.480638000003</v>
      </c>
      <c r="G169" s="3">
        <f t="shared" si="5"/>
        <v>57065.420638000003</v>
      </c>
    </row>
    <row r="170" spans="1:7" x14ac:dyDescent="0.3">
      <c r="A170" t="s">
        <v>13039</v>
      </c>
      <c r="B170" t="s">
        <v>363</v>
      </c>
      <c r="C170" t="s">
        <v>364</v>
      </c>
      <c r="D170" s="1" t="s">
        <v>195</v>
      </c>
      <c r="E170" s="3">
        <v>44936.54</v>
      </c>
      <c r="F170" s="3">
        <f t="shared" si="4"/>
        <v>11355.463658000002</v>
      </c>
      <c r="G170" s="3">
        <f t="shared" si="5"/>
        <v>56292.003658000001</v>
      </c>
    </row>
    <row r="171" spans="1:7" x14ac:dyDescent="0.3">
      <c r="A171" t="s">
        <v>13039</v>
      </c>
      <c r="B171" t="s">
        <v>365</v>
      </c>
      <c r="C171" t="s">
        <v>366</v>
      </c>
      <c r="D171" s="1" t="s">
        <v>195</v>
      </c>
      <c r="E171" s="3">
        <v>49668.26</v>
      </c>
      <c r="F171" s="3">
        <f t="shared" si="4"/>
        <v>12551.169302000002</v>
      </c>
      <c r="G171" s="3">
        <f t="shared" si="5"/>
        <v>62219.429302000004</v>
      </c>
    </row>
    <row r="172" spans="1:7" x14ac:dyDescent="0.3">
      <c r="A172" t="s">
        <v>13039</v>
      </c>
      <c r="B172" t="s">
        <v>367</v>
      </c>
      <c r="C172" t="s">
        <v>368</v>
      </c>
      <c r="D172" s="1" t="s">
        <v>195</v>
      </c>
      <c r="E172" s="3">
        <v>48943.25</v>
      </c>
      <c r="F172" s="3">
        <f t="shared" si="4"/>
        <v>12367.959275000001</v>
      </c>
      <c r="G172" s="3">
        <f t="shared" si="5"/>
        <v>61311.209275000001</v>
      </c>
    </row>
    <row r="173" spans="1:7" x14ac:dyDescent="0.3">
      <c r="A173" t="s">
        <v>13039</v>
      </c>
      <c r="B173" t="s">
        <v>369</v>
      </c>
      <c r="C173" t="s">
        <v>370</v>
      </c>
      <c r="D173" s="1" t="s">
        <v>195</v>
      </c>
      <c r="E173" s="3">
        <v>49192.43</v>
      </c>
      <c r="F173" s="3">
        <f t="shared" si="4"/>
        <v>12430.927061000002</v>
      </c>
      <c r="G173" s="3">
        <f t="shared" si="5"/>
        <v>61623.357061000002</v>
      </c>
    </row>
    <row r="174" spans="1:7" x14ac:dyDescent="0.3">
      <c r="A174" t="s">
        <v>13039</v>
      </c>
      <c r="B174" t="s">
        <v>371</v>
      </c>
      <c r="C174" t="s">
        <v>372</v>
      </c>
      <c r="D174" s="1" t="s">
        <v>195</v>
      </c>
      <c r="E174" s="3">
        <v>48484</v>
      </c>
      <c r="F174" s="3">
        <f t="shared" si="4"/>
        <v>12251.906800000002</v>
      </c>
      <c r="G174" s="3">
        <f t="shared" si="5"/>
        <v>60735.906800000004</v>
      </c>
    </row>
    <row r="175" spans="1:7" x14ac:dyDescent="0.3">
      <c r="A175" t="s">
        <v>13039</v>
      </c>
      <c r="B175" t="s">
        <v>373</v>
      </c>
      <c r="C175" t="s">
        <v>374</v>
      </c>
      <c r="D175" s="1" t="s">
        <v>195</v>
      </c>
      <c r="E175" s="3">
        <v>48532.57</v>
      </c>
      <c r="F175" s="3">
        <f t="shared" si="4"/>
        <v>12264.180439000002</v>
      </c>
      <c r="G175" s="3">
        <f t="shared" si="5"/>
        <v>60796.750439000003</v>
      </c>
    </row>
    <row r="176" spans="1:7" x14ac:dyDescent="0.3">
      <c r="A176" t="s">
        <v>13039</v>
      </c>
      <c r="B176" t="s">
        <v>375</v>
      </c>
      <c r="C176" t="s">
        <v>376</v>
      </c>
      <c r="D176" s="1" t="s">
        <v>195</v>
      </c>
      <c r="E176" s="3">
        <v>47846.76</v>
      </c>
      <c r="F176" s="3">
        <f t="shared" si="4"/>
        <v>12090.876252000002</v>
      </c>
      <c r="G176" s="3">
        <f t="shared" si="5"/>
        <v>59937.636252000004</v>
      </c>
    </row>
    <row r="177" spans="1:7" x14ac:dyDescent="0.3">
      <c r="A177" t="s">
        <v>13039</v>
      </c>
      <c r="B177" t="s">
        <v>377</v>
      </c>
      <c r="C177" t="s">
        <v>378</v>
      </c>
      <c r="D177" s="1" t="s">
        <v>195</v>
      </c>
      <c r="E177" s="3">
        <v>54247.93</v>
      </c>
      <c r="F177" s="3">
        <f t="shared" si="4"/>
        <v>13708.451911000002</v>
      </c>
      <c r="G177" s="3">
        <f t="shared" si="5"/>
        <v>67956.381911000004</v>
      </c>
    </row>
    <row r="178" spans="1:7" x14ac:dyDescent="0.3">
      <c r="A178" t="s">
        <v>13039</v>
      </c>
      <c r="B178" t="s">
        <v>379</v>
      </c>
      <c r="C178" t="s">
        <v>380</v>
      </c>
      <c r="D178" s="1" t="s">
        <v>195</v>
      </c>
      <c r="E178" s="3">
        <v>53452.9</v>
      </c>
      <c r="F178" s="3">
        <f t="shared" si="4"/>
        <v>13507.547830000003</v>
      </c>
      <c r="G178" s="3">
        <f t="shared" si="5"/>
        <v>66960.447830000005</v>
      </c>
    </row>
    <row r="179" spans="1:7" x14ac:dyDescent="0.3">
      <c r="A179" t="s">
        <v>13039</v>
      </c>
      <c r="B179" t="s">
        <v>381</v>
      </c>
      <c r="C179" t="s">
        <v>382</v>
      </c>
      <c r="D179" s="1" t="s">
        <v>195</v>
      </c>
      <c r="E179" s="3">
        <v>49392.46</v>
      </c>
      <c r="F179" s="3">
        <f t="shared" si="4"/>
        <v>12481.474642000001</v>
      </c>
      <c r="G179" s="3">
        <f t="shared" si="5"/>
        <v>61873.934642</v>
      </c>
    </row>
    <row r="180" spans="1:7" x14ac:dyDescent="0.3">
      <c r="A180" t="s">
        <v>13039</v>
      </c>
      <c r="B180" t="s">
        <v>383</v>
      </c>
      <c r="C180" t="s">
        <v>384</v>
      </c>
      <c r="D180" s="1" t="s">
        <v>195</v>
      </c>
      <c r="E180" s="3">
        <v>48661.88</v>
      </c>
      <c r="F180" s="3">
        <f t="shared" si="4"/>
        <v>12296.857076</v>
      </c>
      <c r="G180" s="3">
        <f t="shared" si="5"/>
        <v>60958.737075999998</v>
      </c>
    </row>
    <row r="181" spans="1:7" x14ac:dyDescent="0.3">
      <c r="A181" t="s">
        <v>13039</v>
      </c>
      <c r="B181" t="s">
        <v>385</v>
      </c>
      <c r="C181" t="s">
        <v>386</v>
      </c>
      <c r="D181" s="1" t="s">
        <v>195</v>
      </c>
      <c r="E181" s="3">
        <v>61063.76</v>
      </c>
      <c r="F181" s="3">
        <f t="shared" si="4"/>
        <v>15430.812152000002</v>
      </c>
      <c r="G181" s="3">
        <f t="shared" si="5"/>
        <v>76494.572152000008</v>
      </c>
    </row>
    <row r="182" spans="1:7" x14ac:dyDescent="0.3">
      <c r="A182" t="s">
        <v>13039</v>
      </c>
      <c r="B182" t="s">
        <v>387</v>
      </c>
      <c r="C182" t="s">
        <v>388</v>
      </c>
      <c r="D182" s="1" t="s">
        <v>195</v>
      </c>
      <c r="E182" s="3">
        <v>60618</v>
      </c>
      <c r="F182" s="3">
        <f t="shared" si="4"/>
        <v>15318.168600000003</v>
      </c>
      <c r="G182" s="3">
        <f t="shared" si="5"/>
        <v>75936.168600000005</v>
      </c>
    </row>
    <row r="183" spans="1:7" x14ac:dyDescent="0.3">
      <c r="A183" t="s">
        <v>13039</v>
      </c>
      <c r="B183" t="s">
        <v>389</v>
      </c>
      <c r="C183" t="s">
        <v>390</v>
      </c>
      <c r="D183" s="1" t="s">
        <v>195</v>
      </c>
      <c r="E183" s="3">
        <v>63468.21</v>
      </c>
      <c r="F183" s="3">
        <f t="shared" si="4"/>
        <v>16038.416667000001</v>
      </c>
      <c r="G183" s="3">
        <f t="shared" si="5"/>
        <v>79506.626667000004</v>
      </c>
    </row>
    <row r="184" spans="1:7" x14ac:dyDescent="0.3">
      <c r="A184" t="s">
        <v>13039</v>
      </c>
      <c r="B184" t="s">
        <v>391</v>
      </c>
      <c r="C184" t="s">
        <v>392</v>
      </c>
      <c r="D184" s="1" t="s">
        <v>195</v>
      </c>
      <c r="E184" s="3">
        <v>63001.1</v>
      </c>
      <c r="F184" s="3">
        <f t="shared" si="4"/>
        <v>15920.377970000001</v>
      </c>
      <c r="G184" s="3">
        <f t="shared" si="5"/>
        <v>78921.477970000007</v>
      </c>
    </row>
    <row r="185" spans="1:7" x14ac:dyDescent="0.3">
      <c r="A185" t="s">
        <v>13039</v>
      </c>
      <c r="B185" t="s">
        <v>393</v>
      </c>
      <c r="C185" t="s">
        <v>394</v>
      </c>
      <c r="D185" s="1" t="s">
        <v>195</v>
      </c>
      <c r="E185" s="3">
        <v>65818.11</v>
      </c>
      <c r="F185" s="3">
        <f t="shared" si="4"/>
        <v>16632.236397000004</v>
      </c>
      <c r="G185" s="3">
        <f t="shared" si="5"/>
        <v>82450.346397000001</v>
      </c>
    </row>
    <row r="186" spans="1:7" x14ac:dyDescent="0.3">
      <c r="A186" t="s">
        <v>13039</v>
      </c>
      <c r="B186" t="s">
        <v>395</v>
      </c>
      <c r="C186" t="s">
        <v>396</v>
      </c>
      <c r="D186" s="1" t="s">
        <v>195</v>
      </c>
      <c r="E186" s="3">
        <v>65351.47</v>
      </c>
      <c r="F186" s="3">
        <f t="shared" si="4"/>
        <v>16514.316469000001</v>
      </c>
      <c r="G186" s="3">
        <f t="shared" si="5"/>
        <v>81865.786468999999</v>
      </c>
    </row>
    <row r="187" spans="1:7" x14ac:dyDescent="0.3">
      <c r="A187" t="s">
        <v>13039</v>
      </c>
      <c r="B187" t="s">
        <v>397</v>
      </c>
      <c r="C187" t="s">
        <v>398</v>
      </c>
      <c r="D187" s="1" t="s">
        <v>195</v>
      </c>
      <c r="E187" s="3">
        <v>64452.85</v>
      </c>
      <c r="F187" s="3">
        <f t="shared" si="4"/>
        <v>16287.235195000001</v>
      </c>
      <c r="G187" s="3">
        <f t="shared" si="5"/>
        <v>80740.085194999992</v>
      </c>
    </row>
    <row r="188" spans="1:7" x14ac:dyDescent="0.3">
      <c r="A188" t="s">
        <v>13039</v>
      </c>
      <c r="B188" t="s">
        <v>399</v>
      </c>
      <c r="C188" t="s">
        <v>400</v>
      </c>
      <c r="D188" s="1" t="s">
        <v>195</v>
      </c>
      <c r="E188" s="3">
        <v>63972.77</v>
      </c>
      <c r="F188" s="3">
        <f t="shared" si="4"/>
        <v>16165.918979000002</v>
      </c>
      <c r="G188" s="3">
        <f t="shared" si="5"/>
        <v>80138.688978999999</v>
      </c>
    </row>
    <row r="189" spans="1:7" x14ac:dyDescent="0.3">
      <c r="A189" t="s">
        <v>13039</v>
      </c>
      <c r="B189" t="s">
        <v>401</v>
      </c>
      <c r="C189" t="s">
        <v>402</v>
      </c>
      <c r="D189" s="1" t="s">
        <v>195</v>
      </c>
      <c r="E189" s="3">
        <v>68819.92</v>
      </c>
      <c r="F189" s="3">
        <f t="shared" si="4"/>
        <v>17390.793784000001</v>
      </c>
      <c r="G189" s="3">
        <f t="shared" si="5"/>
        <v>86210.713783999992</v>
      </c>
    </row>
    <row r="190" spans="1:7" x14ac:dyDescent="0.3">
      <c r="A190" t="s">
        <v>13039</v>
      </c>
      <c r="B190" t="s">
        <v>403</v>
      </c>
      <c r="C190" t="s">
        <v>404</v>
      </c>
      <c r="D190" s="1" t="s">
        <v>195</v>
      </c>
      <c r="E190" s="3">
        <v>68297.02</v>
      </c>
      <c r="F190" s="3">
        <f t="shared" si="4"/>
        <v>17258.656954000002</v>
      </c>
      <c r="G190" s="3">
        <f t="shared" si="5"/>
        <v>85555.67695400001</v>
      </c>
    </row>
    <row r="191" spans="1:7" x14ac:dyDescent="0.3">
      <c r="A191" t="s">
        <v>13039</v>
      </c>
      <c r="B191" t="s">
        <v>405</v>
      </c>
      <c r="C191" t="s">
        <v>406</v>
      </c>
      <c r="D191" s="1" t="s">
        <v>195</v>
      </c>
      <c r="E191" s="3">
        <v>70556.149999999994</v>
      </c>
      <c r="F191" s="3">
        <f t="shared" si="4"/>
        <v>17829.539105</v>
      </c>
      <c r="G191" s="3">
        <f t="shared" si="5"/>
        <v>88385.689104999998</v>
      </c>
    </row>
    <row r="192" spans="1:7" x14ac:dyDescent="0.3">
      <c r="A192" t="s">
        <v>13039</v>
      </c>
      <c r="B192" t="s">
        <v>407</v>
      </c>
      <c r="C192" t="s">
        <v>408</v>
      </c>
      <c r="D192" s="1" t="s">
        <v>195</v>
      </c>
      <c r="E192" s="3">
        <v>70027.05</v>
      </c>
      <c r="F192" s="3">
        <f t="shared" si="4"/>
        <v>17695.835535000002</v>
      </c>
      <c r="G192" s="3">
        <f t="shared" si="5"/>
        <v>87722.885535000009</v>
      </c>
    </row>
    <row r="193" spans="1:7" x14ac:dyDescent="0.3">
      <c r="A193" t="s">
        <v>13039</v>
      </c>
      <c r="B193" t="s">
        <v>409</v>
      </c>
      <c r="C193" t="s">
        <v>410</v>
      </c>
      <c r="D193" s="1" t="s">
        <v>195</v>
      </c>
      <c r="E193" s="3">
        <v>71434.89</v>
      </c>
      <c r="F193" s="3">
        <f t="shared" si="4"/>
        <v>18051.596703000003</v>
      </c>
      <c r="G193" s="3">
        <f t="shared" si="5"/>
        <v>89486.486703000002</v>
      </c>
    </row>
    <row r="194" spans="1:7" x14ac:dyDescent="0.3">
      <c r="A194" t="s">
        <v>13039</v>
      </c>
      <c r="B194" t="s">
        <v>411</v>
      </c>
      <c r="C194" t="s">
        <v>412</v>
      </c>
      <c r="D194" s="1" t="s">
        <v>195</v>
      </c>
      <c r="E194" s="3">
        <v>70885.3</v>
      </c>
      <c r="F194" s="3">
        <f t="shared" si="4"/>
        <v>17912.715310000003</v>
      </c>
      <c r="G194" s="3">
        <f t="shared" si="5"/>
        <v>88798.015310000003</v>
      </c>
    </row>
    <row r="195" spans="1:7" x14ac:dyDescent="0.3">
      <c r="A195" t="s">
        <v>13039</v>
      </c>
      <c r="B195" t="s">
        <v>413</v>
      </c>
      <c r="C195" t="s">
        <v>414</v>
      </c>
      <c r="D195" s="1" t="s">
        <v>195</v>
      </c>
      <c r="E195" s="3">
        <v>75241.83</v>
      </c>
      <c r="F195" s="3">
        <f t="shared" si="4"/>
        <v>19013.610441000004</v>
      </c>
      <c r="G195" s="3">
        <f t="shared" si="5"/>
        <v>94255.440441000013</v>
      </c>
    </row>
    <row r="196" spans="1:7" x14ac:dyDescent="0.3">
      <c r="A196" t="s">
        <v>13039</v>
      </c>
      <c r="B196" t="s">
        <v>415</v>
      </c>
      <c r="C196" t="s">
        <v>416</v>
      </c>
      <c r="D196" s="1" t="s">
        <v>195</v>
      </c>
      <c r="E196" s="3">
        <v>74704.289999999994</v>
      </c>
      <c r="F196" s="3">
        <f t="shared" si="4"/>
        <v>18877.774083</v>
      </c>
      <c r="G196" s="3">
        <f t="shared" si="5"/>
        <v>93582.06408299999</v>
      </c>
    </row>
    <row r="197" spans="1:7" x14ac:dyDescent="0.3">
      <c r="A197" t="s">
        <v>13039</v>
      </c>
      <c r="B197" t="s">
        <v>417</v>
      </c>
      <c r="C197" t="s">
        <v>418</v>
      </c>
      <c r="D197" s="1" t="s">
        <v>195</v>
      </c>
      <c r="E197" s="3">
        <v>75885.87</v>
      </c>
      <c r="F197" s="3">
        <f t="shared" si="4"/>
        <v>19176.359349000002</v>
      </c>
      <c r="G197" s="3">
        <f t="shared" si="5"/>
        <v>95062.229349000001</v>
      </c>
    </row>
    <row r="198" spans="1:7" x14ac:dyDescent="0.3">
      <c r="A198" t="s">
        <v>13039</v>
      </c>
      <c r="B198" t="s">
        <v>419</v>
      </c>
      <c r="C198" t="s">
        <v>420</v>
      </c>
      <c r="D198" s="1" t="s">
        <v>195</v>
      </c>
      <c r="E198" s="3">
        <v>75299.960000000006</v>
      </c>
      <c r="F198" s="3">
        <f t="shared" si="4"/>
        <v>19028.299892000003</v>
      </c>
      <c r="G198" s="3">
        <f t="shared" si="5"/>
        <v>94328.259892000002</v>
      </c>
    </row>
    <row r="199" spans="1:7" x14ac:dyDescent="0.3">
      <c r="A199" t="s">
        <v>13039</v>
      </c>
      <c r="B199" t="s">
        <v>421</v>
      </c>
      <c r="C199" t="s">
        <v>422</v>
      </c>
      <c r="D199" s="1" t="s">
        <v>195</v>
      </c>
      <c r="E199" s="3">
        <v>78111.83</v>
      </c>
      <c r="F199" s="3">
        <f t="shared" ref="F199:F262" si="6">+E199*$F$4</f>
        <v>19738.859441000004</v>
      </c>
      <c r="G199" s="3">
        <f t="shared" ref="G199:G262" si="7">+E199+F199</f>
        <v>97850.68944100001</v>
      </c>
    </row>
    <row r="200" spans="1:7" x14ac:dyDescent="0.3">
      <c r="A200" t="s">
        <v>13039</v>
      </c>
      <c r="B200" t="s">
        <v>423</v>
      </c>
      <c r="C200" t="s">
        <v>424</v>
      </c>
      <c r="D200" s="1" t="s">
        <v>195</v>
      </c>
      <c r="E200" s="3">
        <v>77549.240000000005</v>
      </c>
      <c r="F200" s="3">
        <f t="shared" si="6"/>
        <v>19596.692948000004</v>
      </c>
      <c r="G200" s="3">
        <f t="shared" si="7"/>
        <v>97145.932948000001</v>
      </c>
    </row>
    <row r="201" spans="1:7" x14ac:dyDescent="0.3">
      <c r="A201" t="s">
        <v>13039</v>
      </c>
      <c r="B201" t="s">
        <v>425</v>
      </c>
      <c r="C201" t="s">
        <v>426</v>
      </c>
      <c r="D201" s="1" t="s">
        <v>427</v>
      </c>
      <c r="E201" s="3">
        <v>287.8</v>
      </c>
      <c r="F201" s="3">
        <f t="shared" si="6"/>
        <v>72.727060000000009</v>
      </c>
      <c r="G201" s="3">
        <f t="shared" si="7"/>
        <v>360.52706000000001</v>
      </c>
    </row>
    <row r="202" spans="1:7" x14ac:dyDescent="0.3">
      <c r="A202" t="s">
        <v>13039</v>
      </c>
      <c r="B202" t="s">
        <v>428</v>
      </c>
      <c r="C202" t="s">
        <v>429</v>
      </c>
      <c r="D202" s="1" t="s">
        <v>195</v>
      </c>
      <c r="E202" s="3">
        <v>1459.88</v>
      </c>
      <c r="F202" s="3">
        <f t="shared" si="6"/>
        <v>368.91167600000006</v>
      </c>
      <c r="G202" s="3">
        <f t="shared" si="7"/>
        <v>1828.7916760000003</v>
      </c>
    </row>
    <row r="203" spans="1:7" x14ac:dyDescent="0.3">
      <c r="A203" t="s">
        <v>13039</v>
      </c>
      <c r="B203" t="s">
        <v>430</v>
      </c>
      <c r="C203" t="s">
        <v>431</v>
      </c>
      <c r="D203" s="1" t="s">
        <v>195</v>
      </c>
      <c r="E203" s="3">
        <v>1423.1</v>
      </c>
      <c r="F203" s="3">
        <f t="shared" si="6"/>
        <v>359.61737000000005</v>
      </c>
      <c r="G203" s="3">
        <f t="shared" si="7"/>
        <v>1782.7173699999998</v>
      </c>
    </row>
    <row r="204" spans="1:7" x14ac:dyDescent="0.3">
      <c r="A204" t="s">
        <v>13039</v>
      </c>
      <c r="B204" t="s">
        <v>432</v>
      </c>
      <c r="C204" t="s">
        <v>433</v>
      </c>
      <c r="D204" s="1" t="s">
        <v>195</v>
      </c>
      <c r="E204" s="3">
        <v>1678.39</v>
      </c>
      <c r="F204" s="3">
        <f t="shared" si="6"/>
        <v>424.12915300000009</v>
      </c>
      <c r="G204" s="3">
        <f t="shared" si="7"/>
        <v>2102.5191530000002</v>
      </c>
    </row>
    <row r="205" spans="1:7" x14ac:dyDescent="0.3">
      <c r="A205" t="s">
        <v>13039</v>
      </c>
      <c r="B205" t="s">
        <v>434</v>
      </c>
      <c r="C205" t="s">
        <v>435</v>
      </c>
      <c r="D205" s="1" t="s">
        <v>195</v>
      </c>
      <c r="E205" s="3">
        <v>1639.3</v>
      </c>
      <c r="F205" s="3">
        <f t="shared" si="6"/>
        <v>414.25111000000004</v>
      </c>
      <c r="G205" s="3">
        <f t="shared" si="7"/>
        <v>2053.5511099999999</v>
      </c>
    </row>
    <row r="206" spans="1:7" x14ac:dyDescent="0.3">
      <c r="A206" t="s">
        <v>13039</v>
      </c>
      <c r="B206" t="s">
        <v>436</v>
      </c>
      <c r="C206" t="s">
        <v>437</v>
      </c>
      <c r="D206" s="1" t="s">
        <v>195</v>
      </c>
      <c r="E206" s="3">
        <v>1896.93</v>
      </c>
      <c r="F206" s="3">
        <f t="shared" si="6"/>
        <v>479.35421100000008</v>
      </c>
      <c r="G206" s="3">
        <f t="shared" si="7"/>
        <v>2376.2842110000001</v>
      </c>
    </row>
    <row r="207" spans="1:7" x14ac:dyDescent="0.3">
      <c r="A207" t="s">
        <v>13039</v>
      </c>
      <c r="B207" t="s">
        <v>438</v>
      </c>
      <c r="C207" t="s">
        <v>439</v>
      </c>
      <c r="D207" s="1" t="s">
        <v>195</v>
      </c>
      <c r="E207" s="3">
        <v>1855.55</v>
      </c>
      <c r="F207" s="3">
        <f t="shared" si="6"/>
        <v>468.89748500000007</v>
      </c>
      <c r="G207" s="3">
        <f t="shared" si="7"/>
        <v>2324.4474850000001</v>
      </c>
    </row>
    <row r="208" spans="1:7" x14ac:dyDescent="0.3">
      <c r="A208" t="s">
        <v>13039</v>
      </c>
      <c r="B208" t="s">
        <v>440</v>
      </c>
      <c r="C208" t="s">
        <v>441</v>
      </c>
      <c r="D208" s="1" t="s">
        <v>195</v>
      </c>
      <c r="E208" s="3">
        <v>2073.16</v>
      </c>
      <c r="F208" s="3">
        <f t="shared" si="6"/>
        <v>523.88753200000008</v>
      </c>
      <c r="G208" s="3">
        <f t="shared" si="7"/>
        <v>2597.047532</v>
      </c>
    </row>
    <row r="209" spans="1:7" x14ac:dyDescent="0.3">
      <c r="A209" t="s">
        <v>13039</v>
      </c>
      <c r="B209" t="s">
        <v>442</v>
      </c>
      <c r="C209" t="s">
        <v>443</v>
      </c>
      <c r="D209" s="1" t="s">
        <v>195</v>
      </c>
      <c r="E209" s="3">
        <v>2029.47</v>
      </c>
      <c r="F209" s="3">
        <f t="shared" si="6"/>
        <v>512.84706900000003</v>
      </c>
      <c r="G209" s="3">
        <f t="shared" si="7"/>
        <v>2542.3170690000002</v>
      </c>
    </row>
    <row r="210" spans="1:7" x14ac:dyDescent="0.3">
      <c r="A210" t="s">
        <v>13039</v>
      </c>
      <c r="B210" t="s">
        <v>444</v>
      </c>
      <c r="C210" t="s">
        <v>445</v>
      </c>
      <c r="D210" s="1" t="s">
        <v>195</v>
      </c>
      <c r="E210" s="3">
        <v>2291.61</v>
      </c>
      <c r="F210" s="3">
        <f t="shared" si="6"/>
        <v>579.08984700000008</v>
      </c>
      <c r="G210" s="3">
        <f t="shared" si="7"/>
        <v>2870.6998470000003</v>
      </c>
    </row>
    <row r="211" spans="1:7" x14ac:dyDescent="0.3">
      <c r="A211" t="s">
        <v>13039</v>
      </c>
      <c r="B211" t="s">
        <v>446</v>
      </c>
      <c r="C211" t="s">
        <v>447</v>
      </c>
      <c r="D211" s="1" t="s">
        <v>195</v>
      </c>
      <c r="E211" s="3">
        <v>2245.63</v>
      </c>
      <c r="F211" s="3">
        <f t="shared" si="6"/>
        <v>567.47070100000008</v>
      </c>
      <c r="G211" s="3">
        <f t="shared" si="7"/>
        <v>2813.1007010000003</v>
      </c>
    </row>
    <row r="212" spans="1:7" x14ac:dyDescent="0.3">
      <c r="A212" t="s">
        <v>13039</v>
      </c>
      <c r="B212" t="s">
        <v>448</v>
      </c>
      <c r="C212" t="s">
        <v>449</v>
      </c>
      <c r="D212" s="1" t="s">
        <v>195</v>
      </c>
      <c r="E212" s="3">
        <v>2594.87</v>
      </c>
      <c r="F212" s="3">
        <f t="shared" si="6"/>
        <v>655.72364900000002</v>
      </c>
      <c r="G212" s="3">
        <f t="shared" si="7"/>
        <v>3250.5936489999999</v>
      </c>
    </row>
    <row r="213" spans="1:7" x14ac:dyDescent="0.3">
      <c r="A213" t="s">
        <v>13039</v>
      </c>
      <c r="B213" t="s">
        <v>450</v>
      </c>
      <c r="C213" t="s">
        <v>451</v>
      </c>
      <c r="D213" s="1" t="s">
        <v>195</v>
      </c>
      <c r="E213" s="3">
        <v>2546.59</v>
      </c>
      <c r="F213" s="3">
        <f t="shared" si="6"/>
        <v>643.52329300000008</v>
      </c>
      <c r="G213" s="3">
        <f t="shared" si="7"/>
        <v>3190.1132930000003</v>
      </c>
    </row>
    <row r="214" spans="1:7" x14ac:dyDescent="0.3">
      <c r="A214" t="s">
        <v>13039</v>
      </c>
      <c r="B214" t="s">
        <v>452</v>
      </c>
      <c r="C214" t="s">
        <v>453</v>
      </c>
      <c r="D214" s="1" t="s">
        <v>195</v>
      </c>
      <c r="E214" s="3">
        <v>2771.05</v>
      </c>
      <c r="F214" s="3">
        <f t="shared" si="6"/>
        <v>700.24433500000009</v>
      </c>
      <c r="G214" s="3">
        <f t="shared" si="7"/>
        <v>3471.2943350000005</v>
      </c>
    </row>
    <row r="215" spans="1:7" x14ac:dyDescent="0.3">
      <c r="A215" t="s">
        <v>13039</v>
      </c>
      <c r="B215" t="s">
        <v>454</v>
      </c>
      <c r="C215" t="s">
        <v>455</v>
      </c>
      <c r="D215" s="1" t="s">
        <v>195</v>
      </c>
      <c r="E215" s="3">
        <v>2720.47</v>
      </c>
      <c r="F215" s="3">
        <f t="shared" si="6"/>
        <v>687.46276900000009</v>
      </c>
      <c r="G215" s="3">
        <f t="shared" si="7"/>
        <v>3407.932769</v>
      </c>
    </row>
    <row r="216" spans="1:7" x14ac:dyDescent="0.3">
      <c r="A216" t="s">
        <v>13039</v>
      </c>
      <c r="B216" t="s">
        <v>456</v>
      </c>
      <c r="C216" t="s">
        <v>457</v>
      </c>
      <c r="D216" s="1" t="s">
        <v>195</v>
      </c>
      <c r="E216" s="3">
        <v>3037.16</v>
      </c>
      <c r="F216" s="3">
        <f t="shared" si="6"/>
        <v>767.49033200000008</v>
      </c>
      <c r="G216" s="3">
        <f t="shared" si="7"/>
        <v>3804.6503320000002</v>
      </c>
    </row>
    <row r="217" spans="1:7" x14ac:dyDescent="0.3">
      <c r="A217" t="s">
        <v>13039</v>
      </c>
      <c r="B217" t="s">
        <v>458</v>
      </c>
      <c r="C217" t="s">
        <v>459</v>
      </c>
      <c r="D217" s="1" t="s">
        <v>195</v>
      </c>
      <c r="E217" s="3">
        <v>2957.85</v>
      </c>
      <c r="F217" s="3">
        <f t="shared" si="6"/>
        <v>747.44869500000004</v>
      </c>
      <c r="G217" s="3">
        <f t="shared" si="7"/>
        <v>3705.298695</v>
      </c>
    </row>
    <row r="218" spans="1:7" x14ac:dyDescent="0.3">
      <c r="A218" t="s">
        <v>13039</v>
      </c>
      <c r="B218" t="s">
        <v>460</v>
      </c>
      <c r="C218" t="s">
        <v>461</v>
      </c>
      <c r="D218" s="1" t="s">
        <v>195</v>
      </c>
      <c r="E218" s="3">
        <v>3218.3</v>
      </c>
      <c r="F218" s="3">
        <f t="shared" si="6"/>
        <v>813.26441000000011</v>
      </c>
      <c r="G218" s="3">
        <f t="shared" si="7"/>
        <v>4031.5644100000004</v>
      </c>
    </row>
    <row r="219" spans="1:7" x14ac:dyDescent="0.3">
      <c r="A219" t="s">
        <v>13039</v>
      </c>
      <c r="B219" t="s">
        <v>462</v>
      </c>
      <c r="C219" t="s">
        <v>463</v>
      </c>
      <c r="D219" s="1" t="s">
        <v>195</v>
      </c>
      <c r="E219" s="3">
        <v>3135.54</v>
      </c>
      <c r="F219" s="3">
        <f t="shared" si="6"/>
        <v>792.35095800000011</v>
      </c>
      <c r="G219" s="3">
        <f t="shared" si="7"/>
        <v>3927.890958</v>
      </c>
    </row>
    <row r="220" spans="1:7" x14ac:dyDescent="0.3">
      <c r="A220" t="s">
        <v>13039</v>
      </c>
      <c r="B220" t="s">
        <v>464</v>
      </c>
      <c r="C220" t="s">
        <v>465</v>
      </c>
      <c r="D220" s="1" t="s">
        <v>195</v>
      </c>
      <c r="E220" s="3">
        <v>3442.52</v>
      </c>
      <c r="F220" s="3">
        <f t="shared" si="6"/>
        <v>869.92480400000011</v>
      </c>
      <c r="G220" s="3">
        <f t="shared" si="7"/>
        <v>4312.4448039999997</v>
      </c>
    </row>
    <row r="221" spans="1:7" x14ac:dyDescent="0.3">
      <c r="A221" t="s">
        <v>13039</v>
      </c>
      <c r="B221" t="s">
        <v>466</v>
      </c>
      <c r="C221" t="s">
        <v>467</v>
      </c>
      <c r="D221" s="1" t="s">
        <v>195</v>
      </c>
      <c r="E221" s="3">
        <v>3356.3</v>
      </c>
      <c r="F221" s="3">
        <f t="shared" si="6"/>
        <v>848.13701000000015</v>
      </c>
      <c r="G221" s="3">
        <f t="shared" si="7"/>
        <v>4204.4370100000006</v>
      </c>
    </row>
    <row r="222" spans="1:7" x14ac:dyDescent="0.3">
      <c r="A222" t="s">
        <v>13039</v>
      </c>
      <c r="B222" t="s">
        <v>468</v>
      </c>
      <c r="C222" t="s">
        <v>469</v>
      </c>
      <c r="D222" s="1" t="s">
        <v>195</v>
      </c>
      <c r="E222" s="3">
        <v>3670.84</v>
      </c>
      <c r="F222" s="3">
        <f t="shared" si="6"/>
        <v>927.62126800000021</v>
      </c>
      <c r="G222" s="3">
        <f t="shared" si="7"/>
        <v>4598.461268</v>
      </c>
    </row>
    <row r="223" spans="1:7" x14ac:dyDescent="0.3">
      <c r="A223" t="s">
        <v>13039</v>
      </c>
      <c r="B223" t="s">
        <v>470</v>
      </c>
      <c r="C223" t="s">
        <v>471</v>
      </c>
      <c r="D223" s="1" t="s">
        <v>195</v>
      </c>
      <c r="E223" s="3">
        <v>3581.18</v>
      </c>
      <c r="F223" s="3">
        <f t="shared" si="6"/>
        <v>904.96418600000004</v>
      </c>
      <c r="G223" s="3">
        <f t="shared" si="7"/>
        <v>4486.1441859999995</v>
      </c>
    </row>
    <row r="224" spans="1:7" x14ac:dyDescent="0.3">
      <c r="A224" t="s">
        <v>13039</v>
      </c>
      <c r="B224" t="s">
        <v>472</v>
      </c>
      <c r="C224" t="s">
        <v>473</v>
      </c>
      <c r="D224" s="1" t="s">
        <v>195</v>
      </c>
      <c r="E224" s="3">
        <v>3858.36</v>
      </c>
      <c r="F224" s="3">
        <f t="shared" si="6"/>
        <v>975.00757200000021</v>
      </c>
      <c r="G224" s="3">
        <f t="shared" si="7"/>
        <v>4833.3675720000001</v>
      </c>
    </row>
    <row r="225" spans="1:7" x14ac:dyDescent="0.3">
      <c r="A225" t="s">
        <v>13039</v>
      </c>
      <c r="B225" t="s">
        <v>474</v>
      </c>
      <c r="C225" t="s">
        <v>475</v>
      </c>
      <c r="D225" s="1" t="s">
        <v>195</v>
      </c>
      <c r="E225" s="3">
        <v>3765.25</v>
      </c>
      <c r="F225" s="3">
        <f t="shared" si="6"/>
        <v>951.47867500000018</v>
      </c>
      <c r="G225" s="3">
        <f t="shared" si="7"/>
        <v>4716.7286750000003</v>
      </c>
    </row>
    <row r="226" spans="1:7" x14ac:dyDescent="0.3">
      <c r="A226" t="s">
        <v>13039</v>
      </c>
      <c r="B226" t="s">
        <v>476</v>
      </c>
      <c r="C226" t="s">
        <v>477</v>
      </c>
      <c r="D226" s="1" t="s">
        <v>195</v>
      </c>
      <c r="E226" s="3">
        <v>4305.34</v>
      </c>
      <c r="F226" s="3">
        <f t="shared" si="6"/>
        <v>1087.9594180000001</v>
      </c>
      <c r="G226" s="3">
        <f t="shared" si="7"/>
        <v>5393.2994180000005</v>
      </c>
    </row>
    <row r="227" spans="1:7" x14ac:dyDescent="0.3">
      <c r="A227" t="s">
        <v>13039</v>
      </c>
      <c r="B227" t="s">
        <v>478</v>
      </c>
      <c r="C227" t="s">
        <v>479</v>
      </c>
      <c r="D227" s="1" t="s">
        <v>195</v>
      </c>
      <c r="E227" s="3">
        <v>4208.78</v>
      </c>
      <c r="F227" s="3">
        <f t="shared" si="6"/>
        <v>1063.558706</v>
      </c>
      <c r="G227" s="3">
        <f t="shared" si="7"/>
        <v>5272.3387059999995</v>
      </c>
    </row>
    <row r="228" spans="1:7" x14ac:dyDescent="0.3">
      <c r="A228" t="s">
        <v>13039</v>
      </c>
      <c r="B228" t="s">
        <v>480</v>
      </c>
      <c r="C228" t="s">
        <v>481</v>
      </c>
      <c r="D228" s="1" t="s">
        <v>195</v>
      </c>
      <c r="E228" s="3">
        <v>5033.07</v>
      </c>
      <c r="F228" s="3">
        <f t="shared" si="6"/>
        <v>1271.8567890000002</v>
      </c>
      <c r="G228" s="3">
        <f t="shared" si="7"/>
        <v>6304.9267890000001</v>
      </c>
    </row>
    <row r="229" spans="1:7" x14ac:dyDescent="0.3">
      <c r="A229" t="s">
        <v>13039</v>
      </c>
      <c r="B229" t="s">
        <v>482</v>
      </c>
      <c r="C229" t="s">
        <v>483</v>
      </c>
      <c r="D229" s="1" t="s">
        <v>195</v>
      </c>
      <c r="E229" s="3">
        <v>4933.07</v>
      </c>
      <c r="F229" s="3">
        <f t="shared" si="6"/>
        <v>1246.5867890000002</v>
      </c>
      <c r="G229" s="3">
        <f t="shared" si="7"/>
        <v>6179.6567889999997</v>
      </c>
    </row>
    <row r="230" spans="1:7" x14ac:dyDescent="0.3">
      <c r="A230" t="s">
        <v>13039</v>
      </c>
      <c r="B230" t="s">
        <v>484</v>
      </c>
      <c r="C230" t="s">
        <v>485</v>
      </c>
      <c r="D230" s="1" t="s">
        <v>195</v>
      </c>
      <c r="E230" s="3">
        <v>5267.26</v>
      </c>
      <c r="F230" s="3">
        <f t="shared" si="6"/>
        <v>1331.0366020000001</v>
      </c>
      <c r="G230" s="3">
        <f t="shared" si="7"/>
        <v>6598.2966020000003</v>
      </c>
    </row>
    <row r="231" spans="1:7" x14ac:dyDescent="0.3">
      <c r="A231" t="s">
        <v>13039</v>
      </c>
      <c r="B231" t="s">
        <v>486</v>
      </c>
      <c r="C231" t="s">
        <v>487</v>
      </c>
      <c r="D231" s="1" t="s">
        <v>195</v>
      </c>
      <c r="E231" s="3">
        <v>5163.8</v>
      </c>
      <c r="F231" s="3">
        <f t="shared" si="6"/>
        <v>1304.8922600000003</v>
      </c>
      <c r="G231" s="3">
        <f t="shared" si="7"/>
        <v>6468.6922600000007</v>
      </c>
    </row>
    <row r="232" spans="1:7" x14ac:dyDescent="0.3">
      <c r="A232" t="s">
        <v>13039</v>
      </c>
      <c r="B232" t="s">
        <v>488</v>
      </c>
      <c r="C232" t="s">
        <v>489</v>
      </c>
      <c r="D232" s="1" t="s">
        <v>195</v>
      </c>
      <c r="E232" s="3">
        <v>5660.38</v>
      </c>
      <c r="F232" s="3">
        <f t="shared" si="6"/>
        <v>1430.3780260000003</v>
      </c>
      <c r="G232" s="3">
        <f t="shared" si="7"/>
        <v>7090.7580260000004</v>
      </c>
    </row>
    <row r="233" spans="1:7" x14ac:dyDescent="0.3">
      <c r="A233" t="s">
        <v>13039</v>
      </c>
      <c r="B233" t="s">
        <v>490</v>
      </c>
      <c r="C233" t="s">
        <v>491</v>
      </c>
      <c r="D233" s="1" t="s">
        <v>195</v>
      </c>
      <c r="E233" s="3">
        <v>5553.48</v>
      </c>
      <c r="F233" s="3">
        <f t="shared" si="6"/>
        <v>1403.3643960000002</v>
      </c>
      <c r="G233" s="3">
        <f t="shared" si="7"/>
        <v>6956.8443959999995</v>
      </c>
    </row>
    <row r="234" spans="1:7" x14ac:dyDescent="0.3">
      <c r="A234" t="s">
        <v>13039</v>
      </c>
      <c r="B234" t="s">
        <v>492</v>
      </c>
      <c r="C234" t="s">
        <v>493</v>
      </c>
      <c r="D234" s="1" t="s">
        <v>195</v>
      </c>
      <c r="E234" s="3">
        <v>5858.82</v>
      </c>
      <c r="F234" s="3">
        <f t="shared" si="6"/>
        <v>1480.5238140000001</v>
      </c>
      <c r="G234" s="3">
        <f t="shared" si="7"/>
        <v>7339.3438139999998</v>
      </c>
    </row>
    <row r="235" spans="1:7" x14ac:dyDescent="0.3">
      <c r="A235" t="s">
        <v>13039</v>
      </c>
      <c r="B235" t="s">
        <v>494</v>
      </c>
      <c r="C235" t="s">
        <v>495</v>
      </c>
      <c r="D235" s="1" t="s">
        <v>195</v>
      </c>
      <c r="E235" s="3">
        <v>5748.47</v>
      </c>
      <c r="F235" s="3">
        <f t="shared" si="6"/>
        <v>1452.6383690000002</v>
      </c>
      <c r="G235" s="3">
        <f t="shared" si="7"/>
        <v>7201.1083690000005</v>
      </c>
    </row>
    <row r="236" spans="1:7" x14ac:dyDescent="0.3">
      <c r="A236" t="s">
        <v>13039</v>
      </c>
      <c r="B236" t="s">
        <v>496</v>
      </c>
      <c r="C236" t="s">
        <v>497</v>
      </c>
      <c r="D236" s="1" t="s">
        <v>195</v>
      </c>
      <c r="E236" s="3">
        <v>6179.7</v>
      </c>
      <c r="F236" s="3">
        <f t="shared" si="6"/>
        <v>1561.6101900000001</v>
      </c>
      <c r="G236" s="3">
        <f t="shared" si="7"/>
        <v>7741.3101900000001</v>
      </c>
    </row>
    <row r="237" spans="1:7" x14ac:dyDescent="0.3">
      <c r="A237" t="s">
        <v>13039</v>
      </c>
      <c r="B237" t="s">
        <v>498</v>
      </c>
      <c r="C237" t="s">
        <v>499</v>
      </c>
      <c r="D237" s="1" t="s">
        <v>195</v>
      </c>
      <c r="E237" s="3">
        <v>6065.9</v>
      </c>
      <c r="F237" s="3">
        <f t="shared" si="6"/>
        <v>1532.85293</v>
      </c>
      <c r="G237" s="3">
        <f t="shared" si="7"/>
        <v>7598.7529299999997</v>
      </c>
    </row>
    <row r="238" spans="1:7" x14ac:dyDescent="0.3">
      <c r="A238" t="s">
        <v>13039</v>
      </c>
      <c r="B238" t="s">
        <v>500</v>
      </c>
      <c r="C238" t="s">
        <v>501</v>
      </c>
      <c r="D238" s="1" t="s">
        <v>195</v>
      </c>
      <c r="E238" s="3">
        <v>8161.88</v>
      </c>
      <c r="F238" s="3">
        <f t="shared" si="6"/>
        <v>2062.5070760000003</v>
      </c>
      <c r="G238" s="3">
        <f t="shared" si="7"/>
        <v>10224.387076000001</v>
      </c>
    </row>
    <row r="239" spans="1:7" x14ac:dyDescent="0.3">
      <c r="A239" t="s">
        <v>13039</v>
      </c>
      <c r="B239" t="s">
        <v>502</v>
      </c>
      <c r="C239" t="s">
        <v>503</v>
      </c>
      <c r="D239" s="1" t="s">
        <v>195</v>
      </c>
      <c r="E239" s="3">
        <v>8044.63</v>
      </c>
      <c r="F239" s="3">
        <f t="shared" si="6"/>
        <v>2032.8780010000003</v>
      </c>
      <c r="G239" s="3">
        <f t="shared" si="7"/>
        <v>10077.508001</v>
      </c>
    </row>
    <row r="240" spans="1:7" x14ac:dyDescent="0.3">
      <c r="A240" t="s">
        <v>13039</v>
      </c>
      <c r="B240" t="s">
        <v>504</v>
      </c>
      <c r="C240" t="s">
        <v>505</v>
      </c>
      <c r="D240" s="1" t="s">
        <v>195</v>
      </c>
      <c r="E240" s="3">
        <v>10356.530000000001</v>
      </c>
      <c r="F240" s="3">
        <f t="shared" si="6"/>
        <v>2617.0951310000005</v>
      </c>
      <c r="G240" s="3">
        <f t="shared" si="7"/>
        <v>12973.625131000001</v>
      </c>
    </row>
    <row r="241" spans="1:7" x14ac:dyDescent="0.3">
      <c r="A241" t="s">
        <v>13039</v>
      </c>
      <c r="B241" t="s">
        <v>506</v>
      </c>
      <c r="C241" t="s">
        <v>507</v>
      </c>
      <c r="D241" s="1" t="s">
        <v>195</v>
      </c>
      <c r="E241" s="3">
        <v>10235.84</v>
      </c>
      <c r="F241" s="3">
        <f t="shared" si="6"/>
        <v>2586.5967680000003</v>
      </c>
      <c r="G241" s="3">
        <f t="shared" si="7"/>
        <v>12822.436768</v>
      </c>
    </row>
    <row r="242" spans="1:7" x14ac:dyDescent="0.3">
      <c r="A242" t="s">
        <v>13039</v>
      </c>
      <c r="B242" t="s">
        <v>508</v>
      </c>
      <c r="C242" t="s">
        <v>509</v>
      </c>
      <c r="D242" s="1" t="s">
        <v>195</v>
      </c>
      <c r="E242" s="3">
        <v>11074.09</v>
      </c>
      <c r="F242" s="3">
        <f t="shared" si="6"/>
        <v>2798.4225430000006</v>
      </c>
      <c r="G242" s="3">
        <f t="shared" si="7"/>
        <v>13872.512543000001</v>
      </c>
    </row>
    <row r="243" spans="1:7" x14ac:dyDescent="0.3">
      <c r="A243" t="s">
        <v>13039</v>
      </c>
      <c r="B243" t="s">
        <v>510</v>
      </c>
      <c r="C243" t="s">
        <v>511</v>
      </c>
      <c r="D243" s="1" t="s">
        <v>195</v>
      </c>
      <c r="E243" s="3">
        <v>10949.94</v>
      </c>
      <c r="F243" s="3">
        <f t="shared" si="6"/>
        <v>2767.0498380000004</v>
      </c>
      <c r="G243" s="3">
        <f t="shared" si="7"/>
        <v>13716.989838000001</v>
      </c>
    </row>
    <row r="244" spans="1:7" x14ac:dyDescent="0.3">
      <c r="A244" t="s">
        <v>13039</v>
      </c>
      <c r="B244" t="s">
        <v>512</v>
      </c>
      <c r="C244" t="s">
        <v>513</v>
      </c>
      <c r="D244" s="1" t="s">
        <v>195</v>
      </c>
      <c r="E244" s="3">
        <v>11515.43</v>
      </c>
      <c r="F244" s="3">
        <f t="shared" si="6"/>
        <v>2909.9491610000005</v>
      </c>
      <c r="G244" s="3">
        <f t="shared" si="7"/>
        <v>14425.379161000001</v>
      </c>
    </row>
    <row r="245" spans="1:7" x14ac:dyDescent="0.3">
      <c r="A245" t="s">
        <v>13039</v>
      </c>
      <c r="B245" t="s">
        <v>514</v>
      </c>
      <c r="C245" t="s">
        <v>515</v>
      </c>
      <c r="D245" s="1" t="s">
        <v>195</v>
      </c>
      <c r="E245" s="3">
        <v>11387.84</v>
      </c>
      <c r="F245" s="3">
        <f t="shared" si="6"/>
        <v>2877.7071680000004</v>
      </c>
      <c r="G245" s="3">
        <f t="shared" si="7"/>
        <v>14265.547168000001</v>
      </c>
    </row>
    <row r="246" spans="1:7" x14ac:dyDescent="0.3">
      <c r="A246" t="s">
        <v>13039</v>
      </c>
      <c r="B246" t="s">
        <v>516</v>
      </c>
      <c r="C246" t="s">
        <v>517</v>
      </c>
      <c r="D246" s="1" t="s">
        <v>195</v>
      </c>
      <c r="E246" s="3">
        <v>12295.71</v>
      </c>
      <c r="F246" s="3">
        <f t="shared" si="6"/>
        <v>3107.1259170000003</v>
      </c>
      <c r="G246" s="3">
        <f t="shared" si="7"/>
        <v>15402.835917</v>
      </c>
    </row>
    <row r="247" spans="1:7" x14ac:dyDescent="0.3">
      <c r="A247" t="s">
        <v>13039</v>
      </c>
      <c r="B247" t="s">
        <v>518</v>
      </c>
      <c r="C247" t="s">
        <v>519</v>
      </c>
      <c r="D247" s="1" t="s">
        <v>195</v>
      </c>
      <c r="E247" s="3">
        <v>12164.66</v>
      </c>
      <c r="F247" s="3">
        <f t="shared" si="6"/>
        <v>3074.0095820000006</v>
      </c>
      <c r="G247" s="3">
        <f t="shared" si="7"/>
        <v>15238.669582</v>
      </c>
    </row>
    <row r="248" spans="1:7" x14ac:dyDescent="0.3">
      <c r="A248" t="s">
        <v>13039</v>
      </c>
      <c r="B248" t="s">
        <v>520</v>
      </c>
      <c r="C248" t="s">
        <v>521</v>
      </c>
      <c r="D248" s="1" t="s">
        <v>195</v>
      </c>
      <c r="E248" s="3">
        <v>1394.53</v>
      </c>
      <c r="F248" s="3">
        <f t="shared" si="6"/>
        <v>352.39773100000002</v>
      </c>
      <c r="G248" s="3">
        <f t="shared" si="7"/>
        <v>1746.927731</v>
      </c>
    </row>
    <row r="249" spans="1:7" x14ac:dyDescent="0.3">
      <c r="A249" t="s">
        <v>13039</v>
      </c>
      <c r="B249" t="s">
        <v>522</v>
      </c>
      <c r="C249" t="s">
        <v>523</v>
      </c>
      <c r="D249" s="1" t="s">
        <v>195</v>
      </c>
      <c r="E249" s="3">
        <v>1357.74</v>
      </c>
      <c r="F249" s="3">
        <f t="shared" si="6"/>
        <v>343.10089800000003</v>
      </c>
      <c r="G249" s="3">
        <f t="shared" si="7"/>
        <v>1700.8408979999999</v>
      </c>
    </row>
    <row r="250" spans="1:7" x14ac:dyDescent="0.3">
      <c r="A250" t="s">
        <v>13039</v>
      </c>
      <c r="B250" t="s">
        <v>524</v>
      </c>
      <c r="C250" t="s">
        <v>525</v>
      </c>
      <c r="D250" s="1" t="s">
        <v>195</v>
      </c>
      <c r="E250" s="3">
        <v>1602.82</v>
      </c>
      <c r="F250" s="3">
        <f t="shared" si="6"/>
        <v>405.03261400000002</v>
      </c>
      <c r="G250" s="3">
        <f t="shared" si="7"/>
        <v>2007.8526139999999</v>
      </c>
    </row>
    <row r="251" spans="1:7" x14ac:dyDescent="0.3">
      <c r="A251" t="s">
        <v>13039</v>
      </c>
      <c r="B251" t="s">
        <v>526</v>
      </c>
      <c r="C251" t="s">
        <v>527</v>
      </c>
      <c r="D251" s="1" t="s">
        <v>195</v>
      </c>
      <c r="E251" s="3">
        <v>1563.74</v>
      </c>
      <c r="F251" s="3">
        <f t="shared" si="6"/>
        <v>395.15709800000008</v>
      </c>
      <c r="G251" s="3">
        <f t="shared" si="7"/>
        <v>1958.8970980000001</v>
      </c>
    </row>
    <row r="252" spans="1:7" x14ac:dyDescent="0.3">
      <c r="A252" t="s">
        <v>13039</v>
      </c>
      <c r="B252" t="s">
        <v>528</v>
      </c>
      <c r="C252" t="s">
        <v>529</v>
      </c>
      <c r="D252" s="1" t="s">
        <v>195</v>
      </c>
      <c r="E252" s="3">
        <v>1811.14</v>
      </c>
      <c r="F252" s="3">
        <f t="shared" si="6"/>
        <v>457.6750780000001</v>
      </c>
      <c r="G252" s="3">
        <f t="shared" si="7"/>
        <v>2268.8150780000001</v>
      </c>
    </row>
    <row r="253" spans="1:7" x14ac:dyDescent="0.3">
      <c r="A253" t="s">
        <v>13039</v>
      </c>
      <c r="B253" t="s">
        <v>530</v>
      </c>
      <c r="C253" t="s">
        <v>531</v>
      </c>
      <c r="D253" s="1" t="s">
        <v>195</v>
      </c>
      <c r="E253" s="3">
        <v>1769.76</v>
      </c>
      <c r="F253" s="3">
        <f t="shared" si="6"/>
        <v>447.21835200000004</v>
      </c>
      <c r="G253" s="3">
        <f t="shared" si="7"/>
        <v>2216.9783520000001</v>
      </c>
    </row>
    <row r="254" spans="1:7" x14ac:dyDescent="0.3">
      <c r="A254" t="s">
        <v>13039</v>
      </c>
      <c r="B254" t="s">
        <v>532</v>
      </c>
      <c r="C254" t="s">
        <v>533</v>
      </c>
      <c r="D254" s="1" t="s">
        <v>195</v>
      </c>
      <c r="E254" s="3">
        <v>1979.19</v>
      </c>
      <c r="F254" s="3">
        <f t="shared" si="6"/>
        <v>500.14131300000008</v>
      </c>
      <c r="G254" s="3">
        <f t="shared" si="7"/>
        <v>2479.3313130000001</v>
      </c>
    </row>
    <row r="255" spans="1:7" x14ac:dyDescent="0.3">
      <c r="A255" t="s">
        <v>13039</v>
      </c>
      <c r="B255" t="s">
        <v>534</v>
      </c>
      <c r="C255" t="s">
        <v>535</v>
      </c>
      <c r="D255" s="1" t="s">
        <v>195</v>
      </c>
      <c r="E255" s="3">
        <v>1935.51</v>
      </c>
      <c r="F255" s="3">
        <f t="shared" si="6"/>
        <v>489.10337700000008</v>
      </c>
      <c r="G255" s="3">
        <f t="shared" si="7"/>
        <v>2424.6133770000001</v>
      </c>
    </row>
    <row r="256" spans="1:7" x14ac:dyDescent="0.3">
      <c r="A256" t="s">
        <v>13039</v>
      </c>
      <c r="B256" t="s">
        <v>536</v>
      </c>
      <c r="C256" t="s">
        <v>537</v>
      </c>
      <c r="D256" s="1" t="s">
        <v>195</v>
      </c>
      <c r="E256" s="3">
        <v>2187.4499999999998</v>
      </c>
      <c r="F256" s="3">
        <f t="shared" si="6"/>
        <v>552.76861500000007</v>
      </c>
      <c r="G256" s="3">
        <f t="shared" si="7"/>
        <v>2740.2186149999998</v>
      </c>
    </row>
    <row r="257" spans="1:7" x14ac:dyDescent="0.3">
      <c r="A257" t="s">
        <v>13039</v>
      </c>
      <c r="B257" t="s">
        <v>538</v>
      </c>
      <c r="C257" t="s">
        <v>539</v>
      </c>
      <c r="D257" s="1" t="s">
        <v>195</v>
      </c>
      <c r="E257" s="3">
        <v>2141.4699999999998</v>
      </c>
      <c r="F257" s="3">
        <f t="shared" si="6"/>
        <v>541.14946900000007</v>
      </c>
      <c r="G257" s="3">
        <f t="shared" si="7"/>
        <v>2682.6194689999998</v>
      </c>
    </row>
    <row r="258" spans="1:7" x14ac:dyDescent="0.3">
      <c r="A258" t="s">
        <v>13039</v>
      </c>
      <c r="B258" t="s">
        <v>540</v>
      </c>
      <c r="C258" t="s">
        <v>541</v>
      </c>
      <c r="D258" s="1" t="s">
        <v>195</v>
      </c>
      <c r="E258" s="3">
        <v>2476.42</v>
      </c>
      <c r="F258" s="3">
        <f t="shared" si="6"/>
        <v>625.79133400000012</v>
      </c>
      <c r="G258" s="3">
        <f t="shared" si="7"/>
        <v>3102.2113340000001</v>
      </c>
    </row>
    <row r="259" spans="1:7" x14ac:dyDescent="0.3">
      <c r="A259" t="s">
        <v>13039</v>
      </c>
      <c r="B259" t="s">
        <v>542</v>
      </c>
      <c r="C259" t="s">
        <v>543</v>
      </c>
      <c r="D259" s="1" t="s">
        <v>195</v>
      </c>
      <c r="E259" s="3">
        <v>2428.14</v>
      </c>
      <c r="F259" s="3">
        <f t="shared" si="6"/>
        <v>613.59097800000006</v>
      </c>
      <c r="G259" s="3">
        <f t="shared" si="7"/>
        <v>3041.7309780000001</v>
      </c>
    </row>
    <row r="260" spans="1:7" x14ac:dyDescent="0.3">
      <c r="A260" t="s">
        <v>13039</v>
      </c>
      <c r="B260" t="s">
        <v>544</v>
      </c>
      <c r="C260" t="s">
        <v>545</v>
      </c>
      <c r="D260" s="1" t="s">
        <v>195</v>
      </c>
      <c r="E260" s="3">
        <v>2644.42</v>
      </c>
      <c r="F260" s="3">
        <f t="shared" si="6"/>
        <v>668.24493400000006</v>
      </c>
      <c r="G260" s="3">
        <f t="shared" si="7"/>
        <v>3312.6649340000004</v>
      </c>
    </row>
    <row r="261" spans="1:7" x14ac:dyDescent="0.3">
      <c r="A261" t="s">
        <v>13039</v>
      </c>
      <c r="B261" t="s">
        <v>546</v>
      </c>
      <c r="C261" t="s">
        <v>547</v>
      </c>
      <c r="D261" s="1" t="s">
        <v>195</v>
      </c>
      <c r="E261" s="3">
        <v>2593.84</v>
      </c>
      <c r="F261" s="3">
        <f t="shared" si="6"/>
        <v>655.46336800000017</v>
      </c>
      <c r="G261" s="3">
        <f t="shared" si="7"/>
        <v>3249.3033680000003</v>
      </c>
    </row>
    <row r="262" spans="1:7" x14ac:dyDescent="0.3">
      <c r="A262" t="s">
        <v>13039</v>
      </c>
      <c r="B262" t="s">
        <v>548</v>
      </c>
      <c r="C262" t="s">
        <v>549</v>
      </c>
      <c r="D262" s="1" t="s">
        <v>195</v>
      </c>
      <c r="E262" s="3">
        <v>2900.33</v>
      </c>
      <c r="F262" s="3">
        <f t="shared" si="6"/>
        <v>732.91339100000005</v>
      </c>
      <c r="G262" s="3">
        <f t="shared" si="7"/>
        <v>3633.243391</v>
      </c>
    </row>
    <row r="263" spans="1:7" x14ac:dyDescent="0.3">
      <c r="A263" t="s">
        <v>13039</v>
      </c>
      <c r="B263" t="s">
        <v>550</v>
      </c>
      <c r="C263" t="s">
        <v>551</v>
      </c>
      <c r="D263" s="1" t="s">
        <v>195</v>
      </c>
      <c r="E263" s="3">
        <v>2821.01</v>
      </c>
      <c r="F263" s="3">
        <f t="shared" ref="F263:F326" si="8">+E263*$F$4</f>
        <v>712.86922700000014</v>
      </c>
      <c r="G263" s="3">
        <f t="shared" ref="G263:G326" si="9">+E263+F263</f>
        <v>3533.8792270000004</v>
      </c>
    </row>
    <row r="264" spans="1:7" x14ac:dyDescent="0.3">
      <c r="A264" t="s">
        <v>13039</v>
      </c>
      <c r="B264" t="s">
        <v>552</v>
      </c>
      <c r="C264" t="s">
        <v>553</v>
      </c>
      <c r="D264" s="1" t="s">
        <v>195</v>
      </c>
      <c r="E264" s="3">
        <v>3073.29</v>
      </c>
      <c r="F264" s="3">
        <f t="shared" si="8"/>
        <v>776.62038300000006</v>
      </c>
      <c r="G264" s="3">
        <f t="shared" si="9"/>
        <v>3849.9103829999999</v>
      </c>
    </row>
    <row r="265" spans="1:7" x14ac:dyDescent="0.3">
      <c r="A265" t="s">
        <v>13039</v>
      </c>
      <c r="B265" t="s">
        <v>554</v>
      </c>
      <c r="C265" t="s">
        <v>555</v>
      </c>
      <c r="D265" s="1" t="s">
        <v>195</v>
      </c>
      <c r="E265" s="3">
        <v>2990.52</v>
      </c>
      <c r="F265" s="3">
        <f t="shared" si="8"/>
        <v>755.70440400000007</v>
      </c>
      <c r="G265" s="3">
        <f t="shared" si="9"/>
        <v>3746.224404</v>
      </c>
    </row>
    <row r="266" spans="1:7" x14ac:dyDescent="0.3">
      <c r="A266" t="s">
        <v>13039</v>
      </c>
      <c r="B266" t="s">
        <v>556</v>
      </c>
      <c r="C266" t="s">
        <v>557</v>
      </c>
      <c r="D266" s="1" t="s">
        <v>195</v>
      </c>
      <c r="E266" s="3">
        <v>3287.29</v>
      </c>
      <c r="F266" s="3">
        <f t="shared" si="8"/>
        <v>830.69818300000009</v>
      </c>
      <c r="G266" s="3">
        <f t="shared" si="9"/>
        <v>4117.9881830000004</v>
      </c>
    </row>
    <row r="267" spans="1:7" x14ac:dyDescent="0.3">
      <c r="A267" t="s">
        <v>13039</v>
      </c>
      <c r="B267" t="s">
        <v>558</v>
      </c>
      <c r="C267" t="s">
        <v>559</v>
      </c>
      <c r="D267" s="1" t="s">
        <v>195</v>
      </c>
      <c r="E267" s="3">
        <v>3201.08</v>
      </c>
      <c r="F267" s="3">
        <f t="shared" si="8"/>
        <v>808.91291600000011</v>
      </c>
      <c r="G267" s="3">
        <f t="shared" si="9"/>
        <v>4009.9929160000002</v>
      </c>
    </row>
    <row r="268" spans="1:7" x14ac:dyDescent="0.3">
      <c r="A268" t="s">
        <v>13039</v>
      </c>
      <c r="B268" t="s">
        <v>560</v>
      </c>
      <c r="C268" t="s">
        <v>561</v>
      </c>
      <c r="D268" s="1" t="s">
        <v>195</v>
      </c>
      <c r="E268" s="3">
        <v>3505.41</v>
      </c>
      <c r="F268" s="3">
        <f t="shared" si="8"/>
        <v>885.81710700000008</v>
      </c>
      <c r="G268" s="3">
        <f t="shared" si="9"/>
        <v>4391.2271069999997</v>
      </c>
    </row>
    <row r="269" spans="1:7" x14ac:dyDescent="0.3">
      <c r="A269" t="s">
        <v>13039</v>
      </c>
      <c r="B269" t="s">
        <v>562</v>
      </c>
      <c r="C269" t="s">
        <v>563</v>
      </c>
      <c r="D269" s="1" t="s">
        <v>195</v>
      </c>
      <c r="E269" s="3">
        <v>3415.75</v>
      </c>
      <c r="F269" s="3">
        <f t="shared" si="8"/>
        <v>863.16002500000013</v>
      </c>
      <c r="G269" s="3">
        <f t="shared" si="9"/>
        <v>4278.9100250000001</v>
      </c>
    </row>
    <row r="270" spans="1:7" x14ac:dyDescent="0.3">
      <c r="A270" t="s">
        <v>13039</v>
      </c>
      <c r="B270" t="s">
        <v>564</v>
      </c>
      <c r="C270" t="s">
        <v>565</v>
      </c>
      <c r="D270" s="1" t="s">
        <v>195</v>
      </c>
      <c r="E270" s="3">
        <v>3684.75</v>
      </c>
      <c r="F270" s="3">
        <f t="shared" si="8"/>
        <v>931.13632500000017</v>
      </c>
      <c r="G270" s="3">
        <f t="shared" si="9"/>
        <v>4615.8863250000004</v>
      </c>
    </row>
    <row r="271" spans="1:7" x14ac:dyDescent="0.3">
      <c r="A271" t="s">
        <v>13039</v>
      </c>
      <c r="B271" t="s">
        <v>566</v>
      </c>
      <c r="C271" t="s">
        <v>567</v>
      </c>
      <c r="D271" s="1" t="s">
        <v>195</v>
      </c>
      <c r="E271" s="3">
        <v>3591.64</v>
      </c>
      <c r="F271" s="3">
        <f t="shared" si="8"/>
        <v>907.60742800000014</v>
      </c>
      <c r="G271" s="3">
        <f t="shared" si="9"/>
        <v>4499.2474279999997</v>
      </c>
    </row>
    <row r="272" spans="1:7" x14ac:dyDescent="0.3">
      <c r="A272" t="s">
        <v>13039</v>
      </c>
      <c r="B272" t="s">
        <v>568</v>
      </c>
      <c r="C272" t="s">
        <v>569</v>
      </c>
      <c r="D272" s="1" t="s">
        <v>195</v>
      </c>
      <c r="E272" s="3">
        <v>4121.4399999999996</v>
      </c>
      <c r="F272" s="3">
        <f t="shared" si="8"/>
        <v>1041.4878880000001</v>
      </c>
      <c r="G272" s="3">
        <f t="shared" si="9"/>
        <v>5162.9278880000002</v>
      </c>
    </row>
    <row r="273" spans="1:7" x14ac:dyDescent="0.3">
      <c r="A273" t="s">
        <v>13039</v>
      </c>
      <c r="B273" t="s">
        <v>570</v>
      </c>
      <c r="C273" t="s">
        <v>571</v>
      </c>
      <c r="D273" s="1" t="s">
        <v>195</v>
      </c>
      <c r="E273" s="3">
        <v>4024.88</v>
      </c>
      <c r="F273" s="3">
        <f t="shared" si="8"/>
        <v>1017.0871760000002</v>
      </c>
      <c r="G273" s="3">
        <f t="shared" si="9"/>
        <v>5041.9671760000001</v>
      </c>
    </row>
    <row r="274" spans="1:7" x14ac:dyDescent="0.3">
      <c r="A274" t="s">
        <v>13039</v>
      </c>
      <c r="B274" t="s">
        <v>572</v>
      </c>
      <c r="C274" t="s">
        <v>573</v>
      </c>
      <c r="D274" s="1" t="s">
        <v>195</v>
      </c>
      <c r="E274" s="3">
        <v>4792.57</v>
      </c>
      <c r="F274" s="3">
        <f t="shared" si="8"/>
        <v>1211.082439</v>
      </c>
      <c r="G274" s="3">
        <f t="shared" si="9"/>
        <v>6003.6524389999995</v>
      </c>
    </row>
    <row r="275" spans="1:7" x14ac:dyDescent="0.3">
      <c r="A275" t="s">
        <v>13039</v>
      </c>
      <c r="B275" t="s">
        <v>574</v>
      </c>
      <c r="C275" t="s">
        <v>575</v>
      </c>
      <c r="D275" s="1" t="s">
        <v>195</v>
      </c>
      <c r="E275" s="3">
        <v>4692.57</v>
      </c>
      <c r="F275" s="3">
        <f t="shared" si="8"/>
        <v>1185.812439</v>
      </c>
      <c r="G275" s="3">
        <f t="shared" si="9"/>
        <v>5878.382439</v>
      </c>
    </row>
    <row r="276" spans="1:7" x14ac:dyDescent="0.3">
      <c r="A276" t="s">
        <v>13039</v>
      </c>
      <c r="B276" t="s">
        <v>576</v>
      </c>
      <c r="C276" t="s">
        <v>577</v>
      </c>
      <c r="D276" s="1" t="s">
        <v>195</v>
      </c>
      <c r="E276" s="3">
        <v>5013.75</v>
      </c>
      <c r="F276" s="3">
        <f t="shared" si="8"/>
        <v>1266.9746250000003</v>
      </c>
      <c r="G276" s="3">
        <f t="shared" si="9"/>
        <v>6280.7246250000007</v>
      </c>
    </row>
    <row r="277" spans="1:7" x14ac:dyDescent="0.3">
      <c r="A277" t="s">
        <v>13039</v>
      </c>
      <c r="B277" t="s">
        <v>578</v>
      </c>
      <c r="C277" t="s">
        <v>579</v>
      </c>
      <c r="D277" s="1" t="s">
        <v>195</v>
      </c>
      <c r="E277" s="3">
        <v>4910.3</v>
      </c>
      <c r="F277" s="3">
        <f t="shared" si="8"/>
        <v>1240.8328100000001</v>
      </c>
      <c r="G277" s="3">
        <f t="shared" si="9"/>
        <v>6151.1328100000001</v>
      </c>
    </row>
    <row r="278" spans="1:7" x14ac:dyDescent="0.3">
      <c r="A278" t="s">
        <v>13039</v>
      </c>
      <c r="B278" t="s">
        <v>580</v>
      </c>
      <c r="C278" t="s">
        <v>581</v>
      </c>
      <c r="D278" s="1" t="s">
        <v>195</v>
      </c>
      <c r="E278" s="3">
        <v>5389.54</v>
      </c>
      <c r="F278" s="3">
        <f t="shared" si="8"/>
        <v>1361.9367580000003</v>
      </c>
      <c r="G278" s="3">
        <f t="shared" si="9"/>
        <v>6751.4767580000007</v>
      </c>
    </row>
    <row r="279" spans="1:7" x14ac:dyDescent="0.3">
      <c r="A279" t="s">
        <v>13039</v>
      </c>
      <c r="B279" t="s">
        <v>582</v>
      </c>
      <c r="C279" t="s">
        <v>583</v>
      </c>
      <c r="D279" s="1" t="s">
        <v>195</v>
      </c>
      <c r="E279" s="3">
        <v>5282.64</v>
      </c>
      <c r="F279" s="3">
        <f t="shared" si="8"/>
        <v>1334.9231280000004</v>
      </c>
      <c r="G279" s="3">
        <f t="shared" si="9"/>
        <v>6617.5631280000007</v>
      </c>
    </row>
    <row r="280" spans="1:7" x14ac:dyDescent="0.3">
      <c r="A280" t="s">
        <v>13039</v>
      </c>
      <c r="B280" t="s">
        <v>584</v>
      </c>
      <c r="C280" t="s">
        <v>585</v>
      </c>
      <c r="D280" s="1" t="s">
        <v>195</v>
      </c>
      <c r="E280" s="3">
        <v>5581.48</v>
      </c>
      <c r="F280" s="3">
        <f t="shared" si="8"/>
        <v>1410.4399960000001</v>
      </c>
      <c r="G280" s="3">
        <f t="shared" si="9"/>
        <v>6991.9199959999996</v>
      </c>
    </row>
    <row r="281" spans="1:7" x14ac:dyDescent="0.3">
      <c r="A281" t="s">
        <v>13039</v>
      </c>
      <c r="B281" t="s">
        <v>586</v>
      </c>
      <c r="C281" t="s">
        <v>587</v>
      </c>
      <c r="D281" s="1" t="s">
        <v>195</v>
      </c>
      <c r="E281" s="3">
        <v>5471.13</v>
      </c>
      <c r="F281" s="3">
        <f t="shared" si="8"/>
        <v>1382.5545510000002</v>
      </c>
      <c r="G281" s="3">
        <f t="shared" si="9"/>
        <v>6853.6845510000003</v>
      </c>
    </row>
    <row r="282" spans="1:7" x14ac:dyDescent="0.3">
      <c r="A282" t="s">
        <v>13039</v>
      </c>
      <c r="B282" t="s">
        <v>588</v>
      </c>
      <c r="C282" t="s">
        <v>589</v>
      </c>
      <c r="D282" s="1" t="s">
        <v>195</v>
      </c>
      <c r="E282" s="3">
        <v>5891.52</v>
      </c>
      <c r="F282" s="3">
        <f t="shared" si="8"/>
        <v>1488.7871040000002</v>
      </c>
      <c r="G282" s="3">
        <f t="shared" si="9"/>
        <v>7380.3071040000004</v>
      </c>
    </row>
    <row r="283" spans="1:7" x14ac:dyDescent="0.3">
      <c r="A283" t="s">
        <v>13039</v>
      </c>
      <c r="B283" t="s">
        <v>590</v>
      </c>
      <c r="C283" t="s">
        <v>591</v>
      </c>
      <c r="D283" s="1" t="s">
        <v>195</v>
      </c>
      <c r="E283" s="3">
        <v>5777.72</v>
      </c>
      <c r="F283" s="3">
        <f t="shared" si="8"/>
        <v>1460.0298440000004</v>
      </c>
      <c r="G283" s="3">
        <f t="shared" si="9"/>
        <v>7237.7498440000008</v>
      </c>
    </row>
    <row r="284" spans="1:7" x14ac:dyDescent="0.3">
      <c r="A284" t="s">
        <v>13039</v>
      </c>
      <c r="B284" t="s">
        <v>592</v>
      </c>
      <c r="C284" t="s">
        <v>593</v>
      </c>
      <c r="D284" s="1" t="s">
        <v>195</v>
      </c>
      <c r="E284" s="3">
        <v>7679.79</v>
      </c>
      <c r="F284" s="3">
        <f t="shared" si="8"/>
        <v>1940.6829330000003</v>
      </c>
      <c r="G284" s="3">
        <f t="shared" si="9"/>
        <v>9620.4729330000009</v>
      </c>
    </row>
    <row r="285" spans="1:7" x14ac:dyDescent="0.3">
      <c r="A285" t="s">
        <v>13039</v>
      </c>
      <c r="B285" t="s">
        <v>594</v>
      </c>
      <c r="C285" t="s">
        <v>595</v>
      </c>
      <c r="D285" s="1" t="s">
        <v>195</v>
      </c>
      <c r="E285" s="3">
        <v>7562.55</v>
      </c>
      <c r="F285" s="3">
        <f t="shared" si="8"/>
        <v>1911.0563850000003</v>
      </c>
      <c r="G285" s="3">
        <f t="shared" si="9"/>
        <v>9473.606385000001</v>
      </c>
    </row>
    <row r="286" spans="1:7" x14ac:dyDescent="0.3">
      <c r="A286" t="s">
        <v>13039</v>
      </c>
      <c r="B286" t="s">
        <v>596</v>
      </c>
      <c r="C286" t="s">
        <v>597</v>
      </c>
      <c r="D286" s="1" t="s">
        <v>195</v>
      </c>
      <c r="E286" s="3">
        <v>9671.77</v>
      </c>
      <c r="F286" s="3">
        <f t="shared" si="8"/>
        <v>2444.0562790000004</v>
      </c>
      <c r="G286" s="3">
        <f t="shared" si="9"/>
        <v>12115.826279000001</v>
      </c>
    </row>
    <row r="287" spans="1:7" x14ac:dyDescent="0.3">
      <c r="A287" t="s">
        <v>13039</v>
      </c>
      <c r="B287" t="s">
        <v>598</v>
      </c>
      <c r="C287" t="s">
        <v>599</v>
      </c>
      <c r="D287" s="1" t="s">
        <v>195</v>
      </c>
      <c r="E287" s="3">
        <v>9551.08</v>
      </c>
      <c r="F287" s="3">
        <f t="shared" si="8"/>
        <v>2413.5579160000002</v>
      </c>
      <c r="G287" s="3">
        <f t="shared" si="9"/>
        <v>11964.637916</v>
      </c>
    </row>
    <row r="288" spans="1:7" x14ac:dyDescent="0.3">
      <c r="A288" t="s">
        <v>13039</v>
      </c>
      <c r="B288" t="s">
        <v>600</v>
      </c>
      <c r="C288" t="s">
        <v>601</v>
      </c>
      <c r="D288" s="1" t="s">
        <v>195</v>
      </c>
      <c r="E288" s="3">
        <v>10350.370000000001</v>
      </c>
      <c r="F288" s="3">
        <f t="shared" si="8"/>
        <v>2615.5384990000007</v>
      </c>
      <c r="G288" s="3">
        <f t="shared" si="9"/>
        <v>12965.908499000001</v>
      </c>
    </row>
    <row r="289" spans="1:7" x14ac:dyDescent="0.3">
      <c r="A289" t="s">
        <v>13039</v>
      </c>
      <c r="B289" t="s">
        <v>602</v>
      </c>
      <c r="C289" t="s">
        <v>603</v>
      </c>
      <c r="D289" s="1" t="s">
        <v>195</v>
      </c>
      <c r="E289" s="3">
        <v>10226.23</v>
      </c>
      <c r="F289" s="3">
        <f t="shared" si="8"/>
        <v>2584.1683210000001</v>
      </c>
      <c r="G289" s="3">
        <f t="shared" si="9"/>
        <v>12810.398321000001</v>
      </c>
    </row>
    <row r="290" spans="1:7" x14ac:dyDescent="0.3">
      <c r="A290" t="s">
        <v>13039</v>
      </c>
      <c r="B290" t="s">
        <v>604</v>
      </c>
      <c r="C290" t="s">
        <v>605</v>
      </c>
      <c r="D290" s="1" t="s">
        <v>195</v>
      </c>
      <c r="E290" s="3">
        <v>10777.79</v>
      </c>
      <c r="F290" s="3">
        <f t="shared" si="8"/>
        <v>2723.5475330000004</v>
      </c>
      <c r="G290" s="3">
        <f t="shared" si="9"/>
        <v>13501.337533000002</v>
      </c>
    </row>
    <row r="291" spans="1:7" x14ac:dyDescent="0.3">
      <c r="A291" t="s">
        <v>13039</v>
      </c>
      <c r="B291" t="s">
        <v>606</v>
      </c>
      <c r="C291" t="s">
        <v>607</v>
      </c>
      <c r="D291" s="1" t="s">
        <v>195</v>
      </c>
      <c r="E291" s="3">
        <v>10650.19</v>
      </c>
      <c r="F291" s="3">
        <f t="shared" si="8"/>
        <v>2691.3030130000006</v>
      </c>
      <c r="G291" s="3">
        <f t="shared" si="9"/>
        <v>13341.493013000001</v>
      </c>
    </row>
    <row r="292" spans="1:7" x14ac:dyDescent="0.3">
      <c r="A292" t="s">
        <v>13039</v>
      </c>
      <c r="B292" t="s">
        <v>608</v>
      </c>
      <c r="C292" t="s">
        <v>609</v>
      </c>
      <c r="D292" s="1" t="s">
        <v>195</v>
      </c>
      <c r="E292" s="3">
        <v>11521.88</v>
      </c>
      <c r="F292" s="3">
        <f t="shared" si="8"/>
        <v>2911.579076</v>
      </c>
      <c r="G292" s="3">
        <f t="shared" si="9"/>
        <v>14433.459075999999</v>
      </c>
    </row>
    <row r="293" spans="1:7" x14ac:dyDescent="0.3">
      <c r="A293" t="s">
        <v>13039</v>
      </c>
      <c r="B293" t="s">
        <v>610</v>
      </c>
      <c r="C293" t="s">
        <v>611</v>
      </c>
      <c r="D293" s="1" t="s">
        <v>195</v>
      </c>
      <c r="E293" s="3">
        <v>11390.84</v>
      </c>
      <c r="F293" s="3">
        <f t="shared" si="8"/>
        <v>2878.4652680000004</v>
      </c>
      <c r="G293" s="3">
        <f t="shared" si="9"/>
        <v>14269.305268</v>
      </c>
    </row>
    <row r="294" spans="1:7" x14ac:dyDescent="0.3">
      <c r="A294" t="s">
        <v>13039</v>
      </c>
      <c r="B294" t="s">
        <v>612</v>
      </c>
      <c r="C294" t="s">
        <v>613</v>
      </c>
      <c r="D294" s="1" t="s">
        <v>195</v>
      </c>
      <c r="E294" s="3">
        <v>6843.92</v>
      </c>
      <c r="F294" s="3">
        <f t="shared" si="8"/>
        <v>1729.4585840000002</v>
      </c>
      <c r="G294" s="3">
        <f t="shared" si="9"/>
        <v>8573.378584</v>
      </c>
    </row>
    <row r="295" spans="1:7" x14ac:dyDescent="0.3">
      <c r="A295" t="s">
        <v>13039</v>
      </c>
      <c r="B295" t="s">
        <v>614</v>
      </c>
      <c r="C295" t="s">
        <v>615</v>
      </c>
      <c r="D295" s="1" t="s">
        <v>195</v>
      </c>
      <c r="E295" s="3">
        <v>6757.7</v>
      </c>
      <c r="F295" s="3">
        <f t="shared" si="8"/>
        <v>1707.6707900000001</v>
      </c>
      <c r="G295" s="3">
        <f t="shared" si="9"/>
        <v>8465.3707900000009</v>
      </c>
    </row>
    <row r="296" spans="1:7" x14ac:dyDescent="0.3">
      <c r="A296" t="s">
        <v>13039</v>
      </c>
      <c r="B296" t="s">
        <v>616</v>
      </c>
      <c r="C296" t="s">
        <v>617</v>
      </c>
      <c r="D296" s="1" t="s">
        <v>195</v>
      </c>
      <c r="E296" s="3">
        <v>8500.6299999999992</v>
      </c>
      <c r="F296" s="3">
        <f t="shared" si="8"/>
        <v>2148.1092010000002</v>
      </c>
      <c r="G296" s="3">
        <f t="shared" si="9"/>
        <v>10648.739201</v>
      </c>
    </row>
    <row r="297" spans="1:7" x14ac:dyDescent="0.3">
      <c r="A297" t="s">
        <v>13039</v>
      </c>
      <c r="B297" t="s">
        <v>618</v>
      </c>
      <c r="C297" t="s">
        <v>619</v>
      </c>
      <c r="D297" s="1" t="s">
        <v>195</v>
      </c>
      <c r="E297" s="3">
        <v>8404.07</v>
      </c>
      <c r="F297" s="3">
        <f t="shared" si="8"/>
        <v>2123.7084890000001</v>
      </c>
      <c r="G297" s="3">
        <f t="shared" si="9"/>
        <v>10527.778489</v>
      </c>
    </row>
    <row r="298" spans="1:7" x14ac:dyDescent="0.3">
      <c r="A298" t="s">
        <v>13039</v>
      </c>
      <c r="B298" t="s">
        <v>620</v>
      </c>
      <c r="C298" t="s">
        <v>621</v>
      </c>
      <c r="D298" s="1" t="s">
        <v>195</v>
      </c>
      <c r="E298" s="3">
        <v>8770.9</v>
      </c>
      <c r="F298" s="3">
        <f t="shared" si="8"/>
        <v>2216.40643</v>
      </c>
      <c r="G298" s="3">
        <f t="shared" si="9"/>
        <v>10987.306430000001</v>
      </c>
    </row>
    <row r="299" spans="1:7" x14ac:dyDescent="0.3">
      <c r="A299" t="s">
        <v>13039</v>
      </c>
      <c r="B299" t="s">
        <v>622</v>
      </c>
      <c r="C299" t="s">
        <v>623</v>
      </c>
      <c r="D299" s="1" t="s">
        <v>195</v>
      </c>
      <c r="E299" s="3">
        <v>8670.89</v>
      </c>
      <c r="F299" s="3">
        <f t="shared" si="8"/>
        <v>2191.1339030000004</v>
      </c>
      <c r="G299" s="3">
        <f t="shared" si="9"/>
        <v>10862.023902999999</v>
      </c>
    </row>
    <row r="300" spans="1:7" x14ac:dyDescent="0.3">
      <c r="A300" t="s">
        <v>13039</v>
      </c>
      <c r="B300" t="s">
        <v>624</v>
      </c>
      <c r="C300" t="s">
        <v>625</v>
      </c>
      <c r="D300" s="1" t="s">
        <v>195</v>
      </c>
      <c r="E300" s="3">
        <v>9932.69</v>
      </c>
      <c r="F300" s="3">
        <f t="shared" si="8"/>
        <v>2509.9907630000007</v>
      </c>
      <c r="G300" s="3">
        <f t="shared" si="9"/>
        <v>12442.680763</v>
      </c>
    </row>
    <row r="301" spans="1:7" x14ac:dyDescent="0.3">
      <c r="A301" t="s">
        <v>13039</v>
      </c>
      <c r="B301" t="s">
        <v>626</v>
      </c>
      <c r="C301" t="s">
        <v>627</v>
      </c>
      <c r="D301" s="1" t="s">
        <v>195</v>
      </c>
      <c r="E301" s="3">
        <v>9824.07</v>
      </c>
      <c r="F301" s="3">
        <f t="shared" si="8"/>
        <v>2482.5424890000004</v>
      </c>
      <c r="G301" s="3">
        <f t="shared" si="9"/>
        <v>12306.612488999999</v>
      </c>
    </row>
    <row r="302" spans="1:7" x14ac:dyDescent="0.3">
      <c r="A302" t="s">
        <v>13039</v>
      </c>
      <c r="B302" t="s">
        <v>628</v>
      </c>
      <c r="C302" t="s">
        <v>629</v>
      </c>
      <c r="D302" s="1" t="s">
        <v>195</v>
      </c>
      <c r="E302" s="3">
        <v>10529.21</v>
      </c>
      <c r="F302" s="3">
        <f t="shared" si="8"/>
        <v>2660.7313670000003</v>
      </c>
      <c r="G302" s="3">
        <f t="shared" si="9"/>
        <v>13189.941366999999</v>
      </c>
    </row>
    <row r="303" spans="1:7" x14ac:dyDescent="0.3">
      <c r="A303" t="s">
        <v>13039</v>
      </c>
      <c r="B303" t="s">
        <v>630</v>
      </c>
      <c r="C303" t="s">
        <v>631</v>
      </c>
      <c r="D303" s="1" t="s">
        <v>195</v>
      </c>
      <c r="E303" s="3">
        <v>10415.41</v>
      </c>
      <c r="F303" s="3">
        <f t="shared" si="8"/>
        <v>2631.9741070000005</v>
      </c>
      <c r="G303" s="3">
        <f t="shared" si="9"/>
        <v>13047.384107</v>
      </c>
    </row>
    <row r="304" spans="1:7" x14ac:dyDescent="0.3">
      <c r="A304" t="s">
        <v>13039</v>
      </c>
      <c r="B304" t="s">
        <v>632</v>
      </c>
      <c r="C304" t="s">
        <v>633</v>
      </c>
      <c r="D304" s="1" t="s">
        <v>195</v>
      </c>
      <c r="E304" s="3">
        <v>12318.65</v>
      </c>
      <c r="F304" s="3">
        <f t="shared" si="8"/>
        <v>3112.9228550000003</v>
      </c>
      <c r="G304" s="3">
        <f t="shared" si="9"/>
        <v>15431.572855</v>
      </c>
    </row>
    <row r="305" spans="1:7" x14ac:dyDescent="0.3">
      <c r="A305" t="s">
        <v>13039</v>
      </c>
      <c r="B305" t="s">
        <v>634</v>
      </c>
      <c r="C305" t="s">
        <v>635</v>
      </c>
      <c r="D305" s="1" t="s">
        <v>195</v>
      </c>
      <c r="E305" s="3">
        <v>12192.78</v>
      </c>
      <c r="F305" s="3">
        <f t="shared" si="8"/>
        <v>3081.1155060000006</v>
      </c>
      <c r="G305" s="3">
        <f t="shared" si="9"/>
        <v>15273.895506000001</v>
      </c>
    </row>
    <row r="306" spans="1:7" x14ac:dyDescent="0.3">
      <c r="A306" t="s">
        <v>13039</v>
      </c>
      <c r="B306" t="s">
        <v>636</v>
      </c>
      <c r="C306" t="s">
        <v>637</v>
      </c>
      <c r="D306" s="1" t="s">
        <v>195</v>
      </c>
      <c r="E306" s="3">
        <v>14076.22</v>
      </c>
      <c r="F306" s="3">
        <f t="shared" si="8"/>
        <v>3557.0607940000004</v>
      </c>
      <c r="G306" s="3">
        <f t="shared" si="9"/>
        <v>17633.280793999998</v>
      </c>
    </row>
    <row r="307" spans="1:7" x14ac:dyDescent="0.3">
      <c r="A307" t="s">
        <v>13039</v>
      </c>
      <c r="B307" t="s">
        <v>638</v>
      </c>
      <c r="C307" t="s">
        <v>639</v>
      </c>
      <c r="D307" s="1" t="s">
        <v>195</v>
      </c>
      <c r="E307" s="3">
        <v>13902.07</v>
      </c>
      <c r="F307" s="3">
        <f t="shared" si="8"/>
        <v>3513.0530890000005</v>
      </c>
      <c r="G307" s="3">
        <f t="shared" si="9"/>
        <v>17415.123089000001</v>
      </c>
    </row>
    <row r="308" spans="1:7" x14ac:dyDescent="0.3">
      <c r="A308" t="s">
        <v>13039</v>
      </c>
      <c r="B308" t="s">
        <v>640</v>
      </c>
      <c r="C308" t="s">
        <v>641</v>
      </c>
      <c r="D308" s="1" t="s">
        <v>195</v>
      </c>
      <c r="E308" s="3">
        <v>14940.33</v>
      </c>
      <c r="F308" s="3">
        <f t="shared" si="8"/>
        <v>3775.4213910000003</v>
      </c>
      <c r="G308" s="3">
        <f t="shared" si="9"/>
        <v>18715.751391000002</v>
      </c>
    </row>
    <row r="309" spans="1:7" x14ac:dyDescent="0.3">
      <c r="A309" t="s">
        <v>13039</v>
      </c>
      <c r="B309" t="s">
        <v>642</v>
      </c>
      <c r="C309" t="s">
        <v>643</v>
      </c>
      <c r="D309" s="1" t="s">
        <v>195</v>
      </c>
      <c r="E309" s="3">
        <v>14761.01</v>
      </c>
      <c r="F309" s="3">
        <f t="shared" si="8"/>
        <v>3730.1072270000004</v>
      </c>
      <c r="G309" s="3">
        <f t="shared" si="9"/>
        <v>18491.117227000002</v>
      </c>
    </row>
    <row r="310" spans="1:7" x14ac:dyDescent="0.3">
      <c r="A310" t="s">
        <v>13039</v>
      </c>
      <c r="B310" t="s">
        <v>644</v>
      </c>
      <c r="C310" t="s">
        <v>645</v>
      </c>
      <c r="D310" s="1" t="s">
        <v>195</v>
      </c>
      <c r="E310" s="3">
        <v>15811.72</v>
      </c>
      <c r="F310" s="3">
        <f t="shared" si="8"/>
        <v>3995.6216440000003</v>
      </c>
      <c r="G310" s="3">
        <f t="shared" si="9"/>
        <v>19807.341644</v>
      </c>
    </row>
    <row r="311" spans="1:7" x14ac:dyDescent="0.3">
      <c r="A311" t="s">
        <v>13039</v>
      </c>
      <c r="B311" t="s">
        <v>646</v>
      </c>
      <c r="C311" t="s">
        <v>647</v>
      </c>
      <c r="D311" s="1" t="s">
        <v>195</v>
      </c>
      <c r="E311" s="3">
        <v>15625.5</v>
      </c>
      <c r="F311" s="3">
        <f t="shared" si="8"/>
        <v>3948.5638500000005</v>
      </c>
      <c r="G311" s="3">
        <f t="shared" si="9"/>
        <v>19574.063849999999</v>
      </c>
    </row>
    <row r="312" spans="1:7" x14ac:dyDescent="0.3">
      <c r="A312" t="s">
        <v>13039</v>
      </c>
      <c r="B312" t="s">
        <v>648</v>
      </c>
      <c r="C312" t="s">
        <v>649</v>
      </c>
      <c r="D312" s="1" t="s">
        <v>195</v>
      </c>
      <c r="E312" s="3">
        <v>16943.41</v>
      </c>
      <c r="F312" s="3">
        <f t="shared" si="8"/>
        <v>4281.5997070000003</v>
      </c>
      <c r="G312" s="3">
        <f t="shared" si="9"/>
        <v>21225.009707000001</v>
      </c>
    </row>
    <row r="313" spans="1:7" x14ac:dyDescent="0.3">
      <c r="A313" t="s">
        <v>13039</v>
      </c>
      <c r="B313" t="s">
        <v>650</v>
      </c>
      <c r="C313" t="s">
        <v>651</v>
      </c>
      <c r="D313" s="1" t="s">
        <v>195</v>
      </c>
      <c r="E313" s="3">
        <v>16748.57</v>
      </c>
      <c r="F313" s="3">
        <f t="shared" si="8"/>
        <v>4232.3636390000001</v>
      </c>
      <c r="G313" s="3">
        <f t="shared" si="9"/>
        <v>20980.933638999999</v>
      </c>
    </row>
    <row r="314" spans="1:7" x14ac:dyDescent="0.3">
      <c r="A314" t="s">
        <v>13039</v>
      </c>
      <c r="B314" t="s">
        <v>652</v>
      </c>
      <c r="C314" t="s">
        <v>653</v>
      </c>
      <c r="D314" s="1" t="s">
        <v>195</v>
      </c>
      <c r="E314" s="3">
        <v>17581.64</v>
      </c>
      <c r="F314" s="3">
        <f t="shared" si="8"/>
        <v>4442.8804280000004</v>
      </c>
      <c r="G314" s="3">
        <f t="shared" si="9"/>
        <v>22024.520428</v>
      </c>
    </row>
    <row r="315" spans="1:7" x14ac:dyDescent="0.3">
      <c r="A315" t="s">
        <v>13039</v>
      </c>
      <c r="B315" t="s">
        <v>654</v>
      </c>
      <c r="C315" t="s">
        <v>655</v>
      </c>
      <c r="D315" s="1" t="s">
        <v>195</v>
      </c>
      <c r="E315" s="3">
        <v>17381.63</v>
      </c>
      <c r="F315" s="3">
        <f t="shared" si="8"/>
        <v>4392.3379010000008</v>
      </c>
      <c r="G315" s="3">
        <f t="shared" si="9"/>
        <v>21773.967901000004</v>
      </c>
    </row>
    <row r="316" spans="1:7" x14ac:dyDescent="0.3">
      <c r="A316" t="s">
        <v>13039</v>
      </c>
      <c r="B316" t="s">
        <v>656</v>
      </c>
      <c r="C316" t="s">
        <v>657</v>
      </c>
      <c r="D316" s="1" t="s">
        <v>195</v>
      </c>
      <c r="E316" s="3">
        <v>19298.78</v>
      </c>
      <c r="F316" s="3">
        <f t="shared" si="8"/>
        <v>4876.8017060000002</v>
      </c>
      <c r="G316" s="3">
        <f t="shared" si="9"/>
        <v>24175.581705999997</v>
      </c>
    </row>
    <row r="317" spans="1:7" x14ac:dyDescent="0.3">
      <c r="A317" t="s">
        <v>13039</v>
      </c>
      <c r="B317" t="s">
        <v>658</v>
      </c>
      <c r="C317" t="s">
        <v>659</v>
      </c>
      <c r="D317" s="1" t="s">
        <v>195</v>
      </c>
      <c r="E317" s="3">
        <v>19084.97</v>
      </c>
      <c r="F317" s="3">
        <f t="shared" si="8"/>
        <v>4822.7719190000007</v>
      </c>
      <c r="G317" s="3">
        <f t="shared" si="9"/>
        <v>23907.741919</v>
      </c>
    </row>
    <row r="318" spans="1:7" x14ac:dyDescent="0.3">
      <c r="A318" t="s">
        <v>13039</v>
      </c>
      <c r="B318" t="s">
        <v>660</v>
      </c>
      <c r="C318" t="s">
        <v>661</v>
      </c>
      <c r="D318" s="1" t="s">
        <v>195</v>
      </c>
      <c r="E318" s="3">
        <v>21087.32</v>
      </c>
      <c r="F318" s="3">
        <f t="shared" si="8"/>
        <v>5328.7657640000007</v>
      </c>
      <c r="G318" s="3">
        <f t="shared" si="9"/>
        <v>26416.085763999999</v>
      </c>
    </row>
    <row r="319" spans="1:7" x14ac:dyDescent="0.3">
      <c r="A319" t="s">
        <v>13039</v>
      </c>
      <c r="B319" t="s">
        <v>662</v>
      </c>
      <c r="C319" t="s">
        <v>663</v>
      </c>
      <c r="D319" s="1" t="s">
        <v>195</v>
      </c>
      <c r="E319" s="3">
        <v>20859.72</v>
      </c>
      <c r="F319" s="3">
        <f t="shared" si="8"/>
        <v>5271.251244000001</v>
      </c>
      <c r="G319" s="3">
        <f t="shared" si="9"/>
        <v>26130.971244</v>
      </c>
    </row>
    <row r="320" spans="1:7" x14ac:dyDescent="0.3">
      <c r="A320" t="s">
        <v>13039</v>
      </c>
      <c r="B320" t="s">
        <v>664</v>
      </c>
      <c r="C320" t="s">
        <v>665</v>
      </c>
      <c r="D320" s="1" t="s">
        <v>195</v>
      </c>
      <c r="E320" s="3">
        <v>26869.52</v>
      </c>
      <c r="F320" s="3">
        <f t="shared" si="8"/>
        <v>6789.9277040000006</v>
      </c>
      <c r="G320" s="3">
        <f t="shared" si="9"/>
        <v>33659.447703999998</v>
      </c>
    </row>
    <row r="321" spans="1:7" x14ac:dyDescent="0.3">
      <c r="A321" t="s">
        <v>13039</v>
      </c>
      <c r="B321" t="s">
        <v>666</v>
      </c>
      <c r="C321" t="s">
        <v>667</v>
      </c>
      <c r="D321" s="1" t="s">
        <v>195</v>
      </c>
      <c r="E321" s="3">
        <v>26635.02</v>
      </c>
      <c r="F321" s="3">
        <f t="shared" si="8"/>
        <v>6730.669554000001</v>
      </c>
      <c r="G321" s="3">
        <f t="shared" si="9"/>
        <v>33365.689554000004</v>
      </c>
    </row>
    <row r="322" spans="1:7" x14ac:dyDescent="0.3">
      <c r="A322" t="s">
        <v>13039</v>
      </c>
      <c r="B322" t="s">
        <v>668</v>
      </c>
      <c r="C322" t="s">
        <v>669</v>
      </c>
      <c r="D322" s="1" t="s">
        <v>195</v>
      </c>
      <c r="E322" s="3">
        <v>27818.78</v>
      </c>
      <c r="F322" s="3">
        <f t="shared" si="8"/>
        <v>7029.805706000001</v>
      </c>
      <c r="G322" s="3">
        <f t="shared" si="9"/>
        <v>34848.585705999998</v>
      </c>
    </row>
    <row r="323" spans="1:7" x14ac:dyDescent="0.3">
      <c r="A323" t="s">
        <v>13039</v>
      </c>
      <c r="B323" t="s">
        <v>670</v>
      </c>
      <c r="C323" t="s">
        <v>671</v>
      </c>
      <c r="D323" s="1" t="s">
        <v>195</v>
      </c>
      <c r="E323" s="3">
        <v>27537.15</v>
      </c>
      <c r="F323" s="3">
        <f t="shared" si="8"/>
        <v>6958.6378050000012</v>
      </c>
      <c r="G323" s="3">
        <f t="shared" si="9"/>
        <v>34495.787805</v>
      </c>
    </row>
    <row r="324" spans="1:7" x14ac:dyDescent="0.3">
      <c r="A324" t="s">
        <v>13039</v>
      </c>
      <c r="B324" t="s">
        <v>672</v>
      </c>
      <c r="C324" t="s">
        <v>673</v>
      </c>
      <c r="D324" s="1" t="s">
        <v>195</v>
      </c>
      <c r="E324" s="3">
        <v>33494</v>
      </c>
      <c r="F324" s="3">
        <f t="shared" si="8"/>
        <v>8463.9338000000007</v>
      </c>
      <c r="G324" s="3">
        <f t="shared" si="9"/>
        <v>41957.933799999999</v>
      </c>
    </row>
    <row r="325" spans="1:7" x14ac:dyDescent="0.3">
      <c r="A325" t="s">
        <v>13039</v>
      </c>
      <c r="B325" t="s">
        <v>674</v>
      </c>
      <c r="C325" t="s">
        <v>675</v>
      </c>
      <c r="D325" s="1" t="s">
        <v>195</v>
      </c>
      <c r="E325" s="3">
        <v>33198.29</v>
      </c>
      <c r="F325" s="3">
        <f t="shared" si="8"/>
        <v>8389.2078830000009</v>
      </c>
      <c r="G325" s="3">
        <f t="shared" si="9"/>
        <v>41587.497883000004</v>
      </c>
    </row>
    <row r="326" spans="1:7" x14ac:dyDescent="0.3">
      <c r="A326" t="s">
        <v>13039</v>
      </c>
      <c r="B326" t="s">
        <v>676</v>
      </c>
      <c r="C326" t="s">
        <v>677</v>
      </c>
      <c r="D326" s="1" t="s">
        <v>195</v>
      </c>
      <c r="E326" s="3">
        <v>35996.89</v>
      </c>
      <c r="F326" s="3">
        <f t="shared" si="8"/>
        <v>9096.414103000001</v>
      </c>
      <c r="G326" s="3">
        <f t="shared" si="9"/>
        <v>45093.304103000002</v>
      </c>
    </row>
    <row r="327" spans="1:7" x14ac:dyDescent="0.3">
      <c r="A327" t="s">
        <v>13039</v>
      </c>
      <c r="B327" t="s">
        <v>678</v>
      </c>
      <c r="C327" t="s">
        <v>679</v>
      </c>
      <c r="D327" s="1" t="s">
        <v>195</v>
      </c>
      <c r="E327" s="3">
        <v>35687.1</v>
      </c>
      <c r="F327" s="3">
        <f t="shared" ref="F327:F390" si="10">+E327*$F$4</f>
        <v>9018.1301700000004</v>
      </c>
      <c r="G327" s="3">
        <f t="shared" ref="G327:G390" si="11">+E327+F327</f>
        <v>44705.230169999995</v>
      </c>
    </row>
    <row r="328" spans="1:7" x14ac:dyDescent="0.3">
      <c r="A328" t="s">
        <v>13039</v>
      </c>
      <c r="B328" t="s">
        <v>680</v>
      </c>
      <c r="C328" t="s">
        <v>681</v>
      </c>
      <c r="D328" s="1" t="s">
        <v>195</v>
      </c>
      <c r="E328" s="3">
        <v>43887.17</v>
      </c>
      <c r="F328" s="3">
        <f t="shared" si="10"/>
        <v>11090.287859000002</v>
      </c>
      <c r="G328" s="3">
        <f t="shared" si="11"/>
        <v>54977.457859000002</v>
      </c>
    </row>
    <row r="329" spans="1:7" x14ac:dyDescent="0.3">
      <c r="A329" t="s">
        <v>13039</v>
      </c>
      <c r="B329" t="s">
        <v>682</v>
      </c>
      <c r="C329" t="s">
        <v>683</v>
      </c>
      <c r="D329" s="1" t="s">
        <v>195</v>
      </c>
      <c r="E329" s="3">
        <v>43561.29</v>
      </c>
      <c r="F329" s="3">
        <f t="shared" si="10"/>
        <v>11007.937983000002</v>
      </c>
      <c r="G329" s="3">
        <f t="shared" si="11"/>
        <v>54569.227983000004</v>
      </c>
    </row>
    <row r="330" spans="1:7" x14ac:dyDescent="0.3">
      <c r="A330" t="s">
        <v>13039</v>
      </c>
      <c r="B330" t="s">
        <v>684</v>
      </c>
      <c r="C330" t="s">
        <v>685</v>
      </c>
      <c r="D330" s="1" t="s">
        <v>195</v>
      </c>
      <c r="E330" s="3">
        <v>56022.16</v>
      </c>
      <c r="F330" s="3">
        <f t="shared" si="10"/>
        <v>14156.799832000002</v>
      </c>
      <c r="G330" s="3">
        <f t="shared" si="11"/>
        <v>70178.959832000008</v>
      </c>
    </row>
    <row r="331" spans="1:7" x14ac:dyDescent="0.3">
      <c r="A331" t="s">
        <v>13039</v>
      </c>
      <c r="B331" t="s">
        <v>686</v>
      </c>
      <c r="C331" t="s">
        <v>687</v>
      </c>
      <c r="D331" s="1" t="s">
        <v>195</v>
      </c>
      <c r="E331" s="3">
        <v>55680.19</v>
      </c>
      <c r="F331" s="3">
        <f t="shared" si="10"/>
        <v>14070.384013000003</v>
      </c>
      <c r="G331" s="3">
        <f t="shared" si="11"/>
        <v>69750.574013000005</v>
      </c>
    </row>
    <row r="332" spans="1:7" x14ac:dyDescent="0.3">
      <c r="A332" t="s">
        <v>13039</v>
      </c>
      <c r="B332" t="s">
        <v>688</v>
      </c>
      <c r="C332" t="s">
        <v>689</v>
      </c>
      <c r="D332" s="1" t="s">
        <v>195</v>
      </c>
      <c r="E332" s="3">
        <v>59036.83</v>
      </c>
      <c r="F332" s="3">
        <f t="shared" si="10"/>
        <v>14918.606941000002</v>
      </c>
      <c r="G332" s="3">
        <f t="shared" si="11"/>
        <v>73955.436941000007</v>
      </c>
    </row>
    <row r="333" spans="1:7" x14ac:dyDescent="0.3">
      <c r="A333" t="s">
        <v>13039</v>
      </c>
      <c r="B333" t="s">
        <v>690</v>
      </c>
      <c r="C333" t="s">
        <v>691</v>
      </c>
      <c r="D333" s="1" t="s">
        <v>195</v>
      </c>
      <c r="E333" s="3">
        <v>58680.77</v>
      </c>
      <c r="F333" s="3">
        <f t="shared" si="10"/>
        <v>14828.630579000001</v>
      </c>
      <c r="G333" s="3">
        <f t="shared" si="11"/>
        <v>73509.400578999994</v>
      </c>
    </row>
    <row r="334" spans="1:7" x14ac:dyDescent="0.3">
      <c r="A334" t="s">
        <v>13039</v>
      </c>
      <c r="B334" t="s">
        <v>692</v>
      </c>
      <c r="C334" t="s">
        <v>693</v>
      </c>
      <c r="D334" s="1" t="s">
        <v>195</v>
      </c>
      <c r="E334" s="3">
        <v>63260.45</v>
      </c>
      <c r="F334" s="3">
        <f t="shared" si="10"/>
        <v>15985.915715000001</v>
      </c>
      <c r="G334" s="3">
        <f t="shared" si="11"/>
        <v>79246.365714999993</v>
      </c>
    </row>
    <row r="335" spans="1:7" x14ac:dyDescent="0.3">
      <c r="A335" t="s">
        <v>13039</v>
      </c>
      <c r="B335" t="s">
        <v>694</v>
      </c>
      <c r="C335" t="s">
        <v>695</v>
      </c>
      <c r="D335" s="1" t="s">
        <v>195</v>
      </c>
      <c r="E335" s="3">
        <v>62888.3</v>
      </c>
      <c r="F335" s="3">
        <f t="shared" si="10"/>
        <v>15891.873410000004</v>
      </c>
      <c r="G335" s="3">
        <f t="shared" si="11"/>
        <v>78780.173410000003</v>
      </c>
    </row>
    <row r="336" spans="1:7" x14ac:dyDescent="0.3">
      <c r="A336" t="s">
        <v>13039</v>
      </c>
      <c r="B336" t="s">
        <v>696</v>
      </c>
      <c r="C336" t="s">
        <v>697</v>
      </c>
      <c r="D336" s="1" t="s">
        <v>195</v>
      </c>
      <c r="E336" s="3">
        <v>6629.99</v>
      </c>
      <c r="F336" s="3">
        <f t="shared" si="10"/>
        <v>1675.3984730000002</v>
      </c>
      <c r="G336" s="3">
        <f t="shared" si="11"/>
        <v>8305.3884729999991</v>
      </c>
    </row>
    <row r="337" spans="1:7" x14ac:dyDescent="0.3">
      <c r="A337" t="s">
        <v>13039</v>
      </c>
      <c r="B337" t="s">
        <v>698</v>
      </c>
      <c r="C337" t="s">
        <v>699</v>
      </c>
      <c r="D337" s="1" t="s">
        <v>195</v>
      </c>
      <c r="E337" s="3">
        <v>6543.78</v>
      </c>
      <c r="F337" s="3">
        <f t="shared" si="10"/>
        <v>1653.6132060000002</v>
      </c>
      <c r="G337" s="3">
        <f t="shared" si="11"/>
        <v>8197.3932060000006</v>
      </c>
    </row>
    <row r="338" spans="1:7" x14ac:dyDescent="0.3">
      <c r="A338" t="s">
        <v>13039</v>
      </c>
      <c r="B338" t="s">
        <v>700</v>
      </c>
      <c r="C338" t="s">
        <v>701</v>
      </c>
      <c r="D338" s="1" t="s">
        <v>195</v>
      </c>
      <c r="E338" s="3">
        <v>8241.9699999999993</v>
      </c>
      <c r="F338" s="3">
        <f t="shared" si="10"/>
        <v>2082.7458190000002</v>
      </c>
      <c r="G338" s="3">
        <f t="shared" si="11"/>
        <v>10324.715818999999</v>
      </c>
    </row>
    <row r="339" spans="1:7" x14ac:dyDescent="0.3">
      <c r="A339" t="s">
        <v>13039</v>
      </c>
      <c r="B339" t="s">
        <v>702</v>
      </c>
      <c r="C339" t="s">
        <v>703</v>
      </c>
      <c r="D339" s="1" t="s">
        <v>195</v>
      </c>
      <c r="E339" s="3">
        <v>8145.41</v>
      </c>
      <c r="F339" s="3">
        <f t="shared" si="10"/>
        <v>2058.3451070000001</v>
      </c>
      <c r="G339" s="3">
        <f t="shared" si="11"/>
        <v>10203.755107000001</v>
      </c>
    </row>
    <row r="340" spans="1:7" x14ac:dyDescent="0.3">
      <c r="A340" t="s">
        <v>13039</v>
      </c>
      <c r="B340" t="s">
        <v>704</v>
      </c>
      <c r="C340" t="s">
        <v>705</v>
      </c>
      <c r="D340" s="1" t="s">
        <v>195</v>
      </c>
      <c r="E340" s="3">
        <v>8503.85</v>
      </c>
      <c r="F340" s="3">
        <f t="shared" si="10"/>
        <v>2148.9228950000006</v>
      </c>
      <c r="G340" s="3">
        <f t="shared" si="11"/>
        <v>10652.772895000002</v>
      </c>
    </row>
    <row r="341" spans="1:7" x14ac:dyDescent="0.3">
      <c r="A341" t="s">
        <v>13039</v>
      </c>
      <c r="B341" t="s">
        <v>706</v>
      </c>
      <c r="C341" t="s">
        <v>707</v>
      </c>
      <c r="D341" s="1" t="s">
        <v>195</v>
      </c>
      <c r="E341" s="3">
        <v>8403.84</v>
      </c>
      <c r="F341" s="3">
        <f t="shared" si="10"/>
        <v>2123.6503680000005</v>
      </c>
      <c r="G341" s="3">
        <f t="shared" si="11"/>
        <v>10527.490368000001</v>
      </c>
    </row>
    <row r="342" spans="1:7" x14ac:dyDescent="0.3">
      <c r="A342" t="s">
        <v>13039</v>
      </c>
      <c r="B342" t="s">
        <v>708</v>
      </c>
      <c r="C342" t="s">
        <v>709</v>
      </c>
      <c r="D342" s="1" t="s">
        <v>195</v>
      </c>
      <c r="E342" s="3">
        <v>9629.2999999999993</v>
      </c>
      <c r="F342" s="3">
        <f t="shared" si="10"/>
        <v>2433.32411</v>
      </c>
      <c r="G342" s="3">
        <f t="shared" si="11"/>
        <v>12062.624109999999</v>
      </c>
    </row>
    <row r="343" spans="1:7" x14ac:dyDescent="0.3">
      <c r="A343" t="s">
        <v>13039</v>
      </c>
      <c r="B343" t="s">
        <v>710</v>
      </c>
      <c r="C343" t="s">
        <v>711</v>
      </c>
      <c r="D343" s="1" t="s">
        <v>195</v>
      </c>
      <c r="E343" s="3">
        <v>9520.67</v>
      </c>
      <c r="F343" s="3">
        <f t="shared" si="10"/>
        <v>2405.8733090000005</v>
      </c>
      <c r="G343" s="3">
        <f t="shared" si="11"/>
        <v>11926.543309000001</v>
      </c>
    </row>
    <row r="344" spans="1:7" x14ac:dyDescent="0.3">
      <c r="A344" t="s">
        <v>13039</v>
      </c>
      <c r="B344" t="s">
        <v>712</v>
      </c>
      <c r="C344" t="s">
        <v>713</v>
      </c>
      <c r="D344" s="1" t="s">
        <v>195</v>
      </c>
      <c r="E344" s="3">
        <v>10209.030000000001</v>
      </c>
      <c r="F344" s="3">
        <f t="shared" si="10"/>
        <v>2579.8218810000003</v>
      </c>
      <c r="G344" s="3">
        <f t="shared" si="11"/>
        <v>12788.851881000001</v>
      </c>
    </row>
    <row r="345" spans="1:7" x14ac:dyDescent="0.3">
      <c r="A345" t="s">
        <v>13039</v>
      </c>
      <c r="B345" t="s">
        <v>714</v>
      </c>
      <c r="C345" t="s">
        <v>715</v>
      </c>
      <c r="D345" s="1" t="s">
        <v>195</v>
      </c>
      <c r="E345" s="3">
        <v>10095.23</v>
      </c>
      <c r="F345" s="3">
        <f t="shared" si="10"/>
        <v>2551.0646210000004</v>
      </c>
      <c r="G345" s="3">
        <f t="shared" si="11"/>
        <v>12646.294621000001</v>
      </c>
    </row>
    <row r="346" spans="1:7" x14ac:dyDescent="0.3">
      <c r="A346" t="s">
        <v>13039</v>
      </c>
      <c r="B346" t="s">
        <v>716</v>
      </c>
      <c r="C346" t="s">
        <v>717</v>
      </c>
      <c r="D346" s="1" t="s">
        <v>195</v>
      </c>
      <c r="E346" s="3">
        <v>11943.93</v>
      </c>
      <c r="F346" s="3">
        <f t="shared" si="10"/>
        <v>3018.2311110000005</v>
      </c>
      <c r="G346" s="3">
        <f t="shared" si="11"/>
        <v>14962.161111000001</v>
      </c>
    </row>
    <row r="347" spans="1:7" x14ac:dyDescent="0.3">
      <c r="A347" t="s">
        <v>13039</v>
      </c>
      <c r="B347" t="s">
        <v>718</v>
      </c>
      <c r="C347" t="s">
        <v>719</v>
      </c>
      <c r="D347" s="1" t="s">
        <v>195</v>
      </c>
      <c r="E347" s="3">
        <v>11818.06</v>
      </c>
      <c r="F347" s="3">
        <f t="shared" si="10"/>
        <v>2986.4237620000004</v>
      </c>
      <c r="G347" s="3">
        <f t="shared" si="11"/>
        <v>14804.483762</v>
      </c>
    </row>
    <row r="348" spans="1:7" x14ac:dyDescent="0.3">
      <c r="A348" t="s">
        <v>13039</v>
      </c>
      <c r="B348" t="s">
        <v>720</v>
      </c>
      <c r="C348" t="s">
        <v>721</v>
      </c>
      <c r="D348" s="1" t="s">
        <v>195</v>
      </c>
      <c r="E348" s="3">
        <v>13648.38</v>
      </c>
      <c r="F348" s="3">
        <f t="shared" si="10"/>
        <v>3448.9456260000002</v>
      </c>
      <c r="G348" s="3">
        <f t="shared" si="11"/>
        <v>17097.325625999998</v>
      </c>
    </row>
    <row r="349" spans="1:7" x14ac:dyDescent="0.3">
      <c r="A349" t="s">
        <v>13039</v>
      </c>
      <c r="B349" t="s">
        <v>722</v>
      </c>
      <c r="C349" t="s">
        <v>723</v>
      </c>
      <c r="D349" s="1" t="s">
        <v>195</v>
      </c>
      <c r="E349" s="3">
        <v>13474.23</v>
      </c>
      <c r="F349" s="3">
        <f t="shared" si="10"/>
        <v>3404.9379210000002</v>
      </c>
      <c r="G349" s="3">
        <f t="shared" si="11"/>
        <v>16879.167921</v>
      </c>
    </row>
    <row r="350" spans="1:7" x14ac:dyDescent="0.3">
      <c r="A350" t="s">
        <v>13039</v>
      </c>
      <c r="B350" t="s">
        <v>724</v>
      </c>
      <c r="C350" t="s">
        <v>725</v>
      </c>
      <c r="D350" s="1" t="s">
        <v>195</v>
      </c>
      <c r="E350" s="3">
        <v>14485.92</v>
      </c>
      <c r="F350" s="3">
        <f t="shared" si="10"/>
        <v>3660.5919840000006</v>
      </c>
      <c r="G350" s="3">
        <f t="shared" si="11"/>
        <v>18146.511984000001</v>
      </c>
    </row>
    <row r="351" spans="1:7" x14ac:dyDescent="0.3">
      <c r="A351" t="s">
        <v>13039</v>
      </c>
      <c r="B351" t="s">
        <v>726</v>
      </c>
      <c r="C351" t="s">
        <v>727</v>
      </c>
      <c r="D351" s="1" t="s">
        <v>195</v>
      </c>
      <c r="E351" s="3">
        <v>14306.6</v>
      </c>
      <c r="F351" s="3">
        <f t="shared" si="10"/>
        <v>3615.2778200000007</v>
      </c>
      <c r="G351" s="3">
        <f t="shared" si="11"/>
        <v>17921.877820000002</v>
      </c>
    </row>
    <row r="352" spans="1:7" x14ac:dyDescent="0.3">
      <c r="A352" t="s">
        <v>13039</v>
      </c>
      <c r="B352" t="s">
        <v>728</v>
      </c>
      <c r="C352" t="s">
        <v>729</v>
      </c>
      <c r="D352" s="1" t="s">
        <v>195</v>
      </c>
      <c r="E352" s="3">
        <v>15330.75</v>
      </c>
      <c r="F352" s="3">
        <f t="shared" si="10"/>
        <v>3874.0805250000008</v>
      </c>
      <c r="G352" s="3">
        <f t="shared" si="11"/>
        <v>19204.830525000001</v>
      </c>
    </row>
    <row r="353" spans="1:7" x14ac:dyDescent="0.3">
      <c r="A353" t="s">
        <v>13039</v>
      </c>
      <c r="B353" t="s">
        <v>730</v>
      </c>
      <c r="C353" t="s">
        <v>731</v>
      </c>
      <c r="D353" s="1" t="s">
        <v>195</v>
      </c>
      <c r="E353" s="3">
        <v>15144.53</v>
      </c>
      <c r="F353" s="3">
        <f t="shared" si="10"/>
        <v>3827.0227310000009</v>
      </c>
      <c r="G353" s="3">
        <f t="shared" si="11"/>
        <v>18971.552731000003</v>
      </c>
    </row>
    <row r="354" spans="1:7" x14ac:dyDescent="0.3">
      <c r="A354" t="s">
        <v>13039</v>
      </c>
      <c r="B354" t="s">
        <v>732</v>
      </c>
      <c r="C354" t="s">
        <v>733</v>
      </c>
      <c r="D354" s="1" t="s">
        <v>195</v>
      </c>
      <c r="E354" s="3">
        <v>16427.490000000002</v>
      </c>
      <c r="F354" s="3">
        <f t="shared" si="10"/>
        <v>4151.2267230000007</v>
      </c>
      <c r="G354" s="3">
        <f t="shared" si="11"/>
        <v>20578.716723000001</v>
      </c>
    </row>
    <row r="355" spans="1:7" x14ac:dyDescent="0.3">
      <c r="A355" t="s">
        <v>13039</v>
      </c>
      <c r="B355" t="s">
        <v>734</v>
      </c>
      <c r="C355" t="s">
        <v>735</v>
      </c>
      <c r="D355" s="1" t="s">
        <v>195</v>
      </c>
      <c r="E355" s="3">
        <v>16232.65</v>
      </c>
      <c r="F355" s="3">
        <f t="shared" si="10"/>
        <v>4101.9906550000005</v>
      </c>
      <c r="G355" s="3">
        <f t="shared" si="11"/>
        <v>20334.640654999999</v>
      </c>
    </row>
    <row r="356" spans="1:7" x14ac:dyDescent="0.3">
      <c r="A356" t="s">
        <v>13039</v>
      </c>
      <c r="B356" t="s">
        <v>736</v>
      </c>
      <c r="C356" t="s">
        <v>737</v>
      </c>
      <c r="D356" s="1" t="s">
        <v>195</v>
      </c>
      <c r="E356" s="3">
        <v>17047.53</v>
      </c>
      <c r="F356" s="3">
        <f t="shared" si="10"/>
        <v>4307.9108310000001</v>
      </c>
      <c r="G356" s="3">
        <f t="shared" si="11"/>
        <v>21355.440831</v>
      </c>
    </row>
    <row r="357" spans="1:7" x14ac:dyDescent="0.3">
      <c r="A357" t="s">
        <v>13039</v>
      </c>
      <c r="B357" t="s">
        <v>738</v>
      </c>
      <c r="C357" t="s">
        <v>739</v>
      </c>
      <c r="D357" s="1" t="s">
        <v>195</v>
      </c>
      <c r="E357" s="3">
        <v>16847.52</v>
      </c>
      <c r="F357" s="3">
        <f t="shared" si="10"/>
        <v>4257.3683040000005</v>
      </c>
      <c r="G357" s="3">
        <f t="shared" si="11"/>
        <v>21104.888304</v>
      </c>
    </row>
    <row r="358" spans="1:7" x14ac:dyDescent="0.3">
      <c r="A358" t="s">
        <v>13039</v>
      </c>
      <c r="B358" t="s">
        <v>740</v>
      </c>
      <c r="C358" t="s">
        <v>741</v>
      </c>
      <c r="D358" s="1" t="s">
        <v>195</v>
      </c>
      <c r="E358" s="3">
        <v>18710.150000000001</v>
      </c>
      <c r="F358" s="3">
        <f t="shared" si="10"/>
        <v>4728.0549050000009</v>
      </c>
      <c r="G358" s="3">
        <f t="shared" si="11"/>
        <v>23438.204905000002</v>
      </c>
    </row>
    <row r="359" spans="1:7" x14ac:dyDescent="0.3">
      <c r="A359" t="s">
        <v>13039</v>
      </c>
      <c r="B359" t="s">
        <v>742</v>
      </c>
      <c r="C359" t="s">
        <v>743</v>
      </c>
      <c r="D359" s="1" t="s">
        <v>195</v>
      </c>
      <c r="E359" s="3">
        <v>18496.34</v>
      </c>
      <c r="F359" s="3">
        <f t="shared" si="10"/>
        <v>4674.0251180000005</v>
      </c>
      <c r="G359" s="3">
        <f t="shared" si="11"/>
        <v>23170.365118000002</v>
      </c>
    </row>
    <row r="360" spans="1:7" x14ac:dyDescent="0.3">
      <c r="A360" t="s">
        <v>13039</v>
      </c>
      <c r="B360" t="s">
        <v>744</v>
      </c>
      <c r="C360" t="s">
        <v>745</v>
      </c>
      <c r="D360" s="1" t="s">
        <v>195</v>
      </c>
      <c r="E360" s="3">
        <v>20445.55</v>
      </c>
      <c r="F360" s="3">
        <f t="shared" si="10"/>
        <v>5166.5904850000006</v>
      </c>
      <c r="G360" s="3">
        <f t="shared" si="11"/>
        <v>25612.140485</v>
      </c>
    </row>
    <row r="361" spans="1:7" x14ac:dyDescent="0.3">
      <c r="A361" t="s">
        <v>13039</v>
      </c>
      <c r="B361" t="s">
        <v>746</v>
      </c>
      <c r="C361" t="s">
        <v>747</v>
      </c>
      <c r="D361" s="1" t="s">
        <v>195</v>
      </c>
      <c r="E361" s="3">
        <v>20217.95</v>
      </c>
      <c r="F361" s="3">
        <f t="shared" si="10"/>
        <v>5109.0759650000009</v>
      </c>
      <c r="G361" s="3">
        <f t="shared" si="11"/>
        <v>25327.025965000001</v>
      </c>
    </row>
    <row r="362" spans="1:7" x14ac:dyDescent="0.3">
      <c r="A362" t="s">
        <v>13039</v>
      </c>
      <c r="B362" t="s">
        <v>748</v>
      </c>
      <c r="C362" t="s">
        <v>749</v>
      </c>
      <c r="D362" s="1" t="s">
        <v>195</v>
      </c>
      <c r="E362" s="3">
        <v>23168.49</v>
      </c>
      <c r="F362" s="3">
        <f t="shared" si="10"/>
        <v>5854.677423000001</v>
      </c>
      <c r="G362" s="3">
        <f t="shared" si="11"/>
        <v>29023.167423000003</v>
      </c>
    </row>
    <row r="363" spans="1:7" x14ac:dyDescent="0.3">
      <c r="A363" t="s">
        <v>13039</v>
      </c>
      <c r="B363" t="s">
        <v>750</v>
      </c>
      <c r="C363" t="s">
        <v>751</v>
      </c>
      <c r="D363" s="1" t="s">
        <v>195</v>
      </c>
      <c r="E363" s="3">
        <v>22933.99</v>
      </c>
      <c r="F363" s="3">
        <f t="shared" si="10"/>
        <v>5795.4192730000013</v>
      </c>
      <c r="G363" s="3">
        <f t="shared" si="11"/>
        <v>28729.409273000005</v>
      </c>
    </row>
    <row r="364" spans="1:7" x14ac:dyDescent="0.3">
      <c r="A364" t="s">
        <v>13039</v>
      </c>
      <c r="B364" t="s">
        <v>752</v>
      </c>
      <c r="C364" t="s">
        <v>753</v>
      </c>
      <c r="D364" s="1" t="s">
        <v>195</v>
      </c>
      <c r="E364" s="3">
        <v>24013.23</v>
      </c>
      <c r="F364" s="3">
        <f t="shared" si="10"/>
        <v>6068.1432210000012</v>
      </c>
      <c r="G364" s="3">
        <f t="shared" si="11"/>
        <v>30081.373221000002</v>
      </c>
    </row>
    <row r="365" spans="1:7" x14ac:dyDescent="0.3">
      <c r="A365" t="s">
        <v>13039</v>
      </c>
      <c r="B365" t="s">
        <v>754</v>
      </c>
      <c r="C365" t="s">
        <v>755</v>
      </c>
      <c r="D365" s="1" t="s">
        <v>195</v>
      </c>
      <c r="E365" s="3">
        <v>23731.61</v>
      </c>
      <c r="F365" s="3">
        <f t="shared" si="10"/>
        <v>5996.977847000001</v>
      </c>
      <c r="G365" s="3">
        <f t="shared" si="11"/>
        <v>29728.587847000003</v>
      </c>
    </row>
    <row r="366" spans="1:7" x14ac:dyDescent="0.3">
      <c r="A366" t="s">
        <v>13039</v>
      </c>
      <c r="B366" t="s">
        <v>756</v>
      </c>
      <c r="C366" t="s">
        <v>757</v>
      </c>
      <c r="D366" s="1" t="s">
        <v>195</v>
      </c>
      <c r="E366" s="3">
        <v>29885.22</v>
      </c>
      <c r="F366" s="3">
        <f t="shared" si="10"/>
        <v>7551.9950940000017</v>
      </c>
      <c r="G366" s="3">
        <f t="shared" si="11"/>
        <v>37437.215093999999</v>
      </c>
    </row>
    <row r="367" spans="1:7" x14ac:dyDescent="0.3">
      <c r="A367" t="s">
        <v>13039</v>
      </c>
      <c r="B367" t="s">
        <v>758</v>
      </c>
      <c r="C367" t="s">
        <v>759</v>
      </c>
      <c r="D367" s="1" t="s">
        <v>195</v>
      </c>
      <c r="E367" s="3">
        <v>29589.51</v>
      </c>
      <c r="F367" s="3">
        <f t="shared" si="10"/>
        <v>7477.269177000001</v>
      </c>
      <c r="G367" s="3">
        <f t="shared" si="11"/>
        <v>37066.779176999997</v>
      </c>
    </row>
    <row r="368" spans="1:7" x14ac:dyDescent="0.3">
      <c r="A368" t="s">
        <v>13039</v>
      </c>
      <c r="B368" t="s">
        <v>760</v>
      </c>
      <c r="C368" t="s">
        <v>761</v>
      </c>
      <c r="D368" s="1" t="s">
        <v>195</v>
      </c>
      <c r="E368" s="3">
        <v>32130.01</v>
      </c>
      <c r="F368" s="3">
        <f t="shared" si="10"/>
        <v>8119.2535270000008</v>
      </c>
      <c r="G368" s="3">
        <f t="shared" si="11"/>
        <v>40249.263527000003</v>
      </c>
    </row>
    <row r="369" spans="1:7" x14ac:dyDescent="0.3">
      <c r="A369" t="s">
        <v>13039</v>
      </c>
      <c r="B369" t="s">
        <v>762</v>
      </c>
      <c r="C369" t="s">
        <v>763</v>
      </c>
      <c r="D369" s="1" t="s">
        <v>195</v>
      </c>
      <c r="E369" s="3">
        <v>31820.22</v>
      </c>
      <c r="F369" s="3">
        <f t="shared" si="10"/>
        <v>8040.9695940000011</v>
      </c>
      <c r="G369" s="3">
        <f t="shared" si="11"/>
        <v>39861.189594000003</v>
      </c>
    </row>
    <row r="370" spans="1:7" x14ac:dyDescent="0.3">
      <c r="A370" t="s">
        <v>13039</v>
      </c>
      <c r="B370" t="s">
        <v>764</v>
      </c>
      <c r="C370" t="s">
        <v>765</v>
      </c>
      <c r="D370" s="1" t="s">
        <v>195</v>
      </c>
      <c r="E370" s="3">
        <v>39534.11</v>
      </c>
      <c r="F370" s="3">
        <f t="shared" si="10"/>
        <v>9990.2695970000022</v>
      </c>
      <c r="G370" s="3">
        <f t="shared" si="11"/>
        <v>49524.379597000006</v>
      </c>
    </row>
    <row r="371" spans="1:7" x14ac:dyDescent="0.3">
      <c r="A371" t="s">
        <v>13039</v>
      </c>
      <c r="B371" t="s">
        <v>766</v>
      </c>
      <c r="C371" t="s">
        <v>767</v>
      </c>
      <c r="D371" s="1" t="s">
        <v>195</v>
      </c>
      <c r="E371" s="3">
        <v>39208.230000000003</v>
      </c>
      <c r="F371" s="3">
        <f t="shared" si="10"/>
        <v>9907.919721000002</v>
      </c>
      <c r="G371" s="3">
        <f t="shared" si="11"/>
        <v>49116.149721000009</v>
      </c>
    </row>
    <row r="372" spans="1:7" x14ac:dyDescent="0.3">
      <c r="A372" t="s">
        <v>13039</v>
      </c>
      <c r="B372" t="s">
        <v>768</v>
      </c>
      <c r="C372" t="s">
        <v>769</v>
      </c>
      <c r="D372" s="1" t="s">
        <v>195</v>
      </c>
      <c r="E372" s="3">
        <v>46862.59</v>
      </c>
      <c r="F372" s="3">
        <f t="shared" si="10"/>
        <v>11842.176493000001</v>
      </c>
      <c r="G372" s="3">
        <f t="shared" si="11"/>
        <v>58704.766492999996</v>
      </c>
    </row>
    <row r="373" spans="1:7" x14ac:dyDescent="0.3">
      <c r="A373" t="s">
        <v>13039</v>
      </c>
      <c r="B373" t="s">
        <v>770</v>
      </c>
      <c r="C373" t="s">
        <v>771</v>
      </c>
      <c r="D373" s="1" t="s">
        <v>195</v>
      </c>
      <c r="E373" s="3">
        <v>46520.61</v>
      </c>
      <c r="F373" s="3">
        <f t="shared" si="10"/>
        <v>11755.758147000002</v>
      </c>
      <c r="G373" s="3">
        <f t="shared" si="11"/>
        <v>58276.368147000001</v>
      </c>
    </row>
    <row r="374" spans="1:7" x14ac:dyDescent="0.3">
      <c r="A374" t="s">
        <v>13039</v>
      </c>
      <c r="B374" t="s">
        <v>772</v>
      </c>
      <c r="C374" t="s">
        <v>773</v>
      </c>
      <c r="D374" s="1" t="s">
        <v>195</v>
      </c>
      <c r="E374" s="3">
        <v>49738.74</v>
      </c>
      <c r="F374" s="3">
        <f t="shared" si="10"/>
        <v>12568.979598000002</v>
      </c>
      <c r="G374" s="3">
        <f t="shared" si="11"/>
        <v>62307.719597999996</v>
      </c>
    </row>
    <row r="375" spans="1:7" x14ac:dyDescent="0.3">
      <c r="A375" t="s">
        <v>13039</v>
      </c>
      <c r="B375" t="s">
        <v>774</v>
      </c>
      <c r="C375" t="s">
        <v>775</v>
      </c>
      <c r="D375" s="1" t="s">
        <v>195</v>
      </c>
      <c r="E375" s="3">
        <v>49382.69</v>
      </c>
      <c r="F375" s="3">
        <f t="shared" si="10"/>
        <v>12479.005763000003</v>
      </c>
      <c r="G375" s="3">
        <f t="shared" si="11"/>
        <v>61861.695763000003</v>
      </c>
    </row>
    <row r="376" spans="1:7" x14ac:dyDescent="0.3">
      <c r="A376" t="s">
        <v>13039</v>
      </c>
      <c r="B376" t="s">
        <v>776</v>
      </c>
      <c r="C376" t="s">
        <v>777</v>
      </c>
      <c r="D376" s="1" t="s">
        <v>195</v>
      </c>
      <c r="E376" s="3">
        <v>53027.53</v>
      </c>
      <c r="F376" s="3">
        <f t="shared" si="10"/>
        <v>13400.056831000002</v>
      </c>
      <c r="G376" s="3">
        <f t="shared" si="11"/>
        <v>66427.586830999993</v>
      </c>
    </row>
    <row r="377" spans="1:7" x14ac:dyDescent="0.3">
      <c r="A377" t="s">
        <v>13039</v>
      </c>
      <c r="B377" t="s">
        <v>778</v>
      </c>
      <c r="C377" t="s">
        <v>779</v>
      </c>
      <c r="D377" s="1" t="s">
        <v>195</v>
      </c>
      <c r="E377" s="3">
        <v>52655.38</v>
      </c>
      <c r="F377" s="3">
        <f t="shared" si="10"/>
        <v>13306.014526000001</v>
      </c>
      <c r="G377" s="3">
        <f t="shared" si="11"/>
        <v>65961.394526000004</v>
      </c>
    </row>
    <row r="378" spans="1:7" x14ac:dyDescent="0.3">
      <c r="A378" t="s">
        <v>13039</v>
      </c>
      <c r="B378" t="s">
        <v>780</v>
      </c>
      <c r="C378" t="s">
        <v>781</v>
      </c>
      <c r="D378" s="1" t="s">
        <v>195</v>
      </c>
      <c r="E378" s="3">
        <v>7995.45</v>
      </c>
      <c r="F378" s="3">
        <f t="shared" si="10"/>
        <v>2020.4502150000003</v>
      </c>
      <c r="G378" s="3">
        <f t="shared" si="11"/>
        <v>10015.900215</v>
      </c>
    </row>
    <row r="379" spans="1:7" x14ac:dyDescent="0.3">
      <c r="A379" t="s">
        <v>13039</v>
      </c>
      <c r="B379" t="s">
        <v>782</v>
      </c>
      <c r="C379" t="s">
        <v>783</v>
      </c>
      <c r="D379" s="1" t="s">
        <v>195</v>
      </c>
      <c r="E379" s="3">
        <v>7893.72</v>
      </c>
      <c r="F379" s="3">
        <f t="shared" si="10"/>
        <v>1994.7430440000003</v>
      </c>
      <c r="G379" s="3">
        <f t="shared" si="11"/>
        <v>9888.4630440000001</v>
      </c>
    </row>
    <row r="380" spans="1:7" x14ac:dyDescent="0.3">
      <c r="A380" t="s">
        <v>13039</v>
      </c>
      <c r="B380" t="s">
        <v>784</v>
      </c>
      <c r="C380" t="s">
        <v>785</v>
      </c>
      <c r="D380" s="1" t="s">
        <v>195</v>
      </c>
      <c r="E380" s="3">
        <v>8840.91</v>
      </c>
      <c r="F380" s="3">
        <f t="shared" si="10"/>
        <v>2234.0979570000004</v>
      </c>
      <c r="G380" s="3">
        <f t="shared" si="11"/>
        <v>11075.007957</v>
      </c>
    </row>
    <row r="381" spans="1:7" x14ac:dyDescent="0.3">
      <c r="A381" t="s">
        <v>13039</v>
      </c>
      <c r="B381" t="s">
        <v>786</v>
      </c>
      <c r="C381" t="s">
        <v>787</v>
      </c>
      <c r="D381" s="1" t="s">
        <v>195</v>
      </c>
      <c r="E381" s="3">
        <v>8732.2800000000007</v>
      </c>
      <c r="F381" s="3">
        <f t="shared" si="10"/>
        <v>2206.6471560000005</v>
      </c>
      <c r="G381" s="3">
        <f t="shared" si="11"/>
        <v>10938.927156000002</v>
      </c>
    </row>
    <row r="382" spans="1:7" x14ac:dyDescent="0.3">
      <c r="A382" t="s">
        <v>13039</v>
      </c>
      <c r="B382" t="s">
        <v>788</v>
      </c>
      <c r="C382" t="s">
        <v>789</v>
      </c>
      <c r="D382" s="1" t="s">
        <v>195</v>
      </c>
      <c r="E382" s="3">
        <v>9691.9500000000007</v>
      </c>
      <c r="F382" s="3">
        <f t="shared" si="10"/>
        <v>2449.1557650000004</v>
      </c>
      <c r="G382" s="3">
        <f t="shared" si="11"/>
        <v>12141.105765</v>
      </c>
    </row>
    <row r="383" spans="1:7" x14ac:dyDescent="0.3">
      <c r="A383" t="s">
        <v>13039</v>
      </c>
      <c r="B383" t="s">
        <v>790</v>
      </c>
      <c r="C383" t="s">
        <v>791</v>
      </c>
      <c r="D383" s="1" t="s">
        <v>195</v>
      </c>
      <c r="E383" s="3">
        <v>9578.15</v>
      </c>
      <c r="F383" s="3">
        <f t="shared" si="10"/>
        <v>2420.3985050000001</v>
      </c>
      <c r="G383" s="3">
        <f t="shared" si="11"/>
        <v>11998.548504999999</v>
      </c>
    </row>
    <row r="384" spans="1:7" x14ac:dyDescent="0.3">
      <c r="A384" t="s">
        <v>13039</v>
      </c>
      <c r="B384" t="s">
        <v>792</v>
      </c>
      <c r="C384" t="s">
        <v>793</v>
      </c>
      <c r="D384" s="1" t="s">
        <v>195</v>
      </c>
      <c r="E384" s="3">
        <v>10308.02</v>
      </c>
      <c r="F384" s="3">
        <f t="shared" si="10"/>
        <v>2604.8366540000006</v>
      </c>
      <c r="G384" s="3">
        <f t="shared" si="11"/>
        <v>12912.856654000001</v>
      </c>
    </row>
    <row r="385" spans="1:7" x14ac:dyDescent="0.3">
      <c r="A385" t="s">
        <v>13039</v>
      </c>
      <c r="B385" t="s">
        <v>794</v>
      </c>
      <c r="C385" t="s">
        <v>795</v>
      </c>
      <c r="D385" s="1" t="s">
        <v>195</v>
      </c>
      <c r="E385" s="3">
        <v>10185.6</v>
      </c>
      <c r="F385" s="3">
        <f t="shared" si="10"/>
        <v>2573.9011200000004</v>
      </c>
      <c r="G385" s="3">
        <f t="shared" si="11"/>
        <v>12759.501120000001</v>
      </c>
    </row>
    <row r="386" spans="1:7" x14ac:dyDescent="0.3">
      <c r="A386" t="s">
        <v>13039</v>
      </c>
      <c r="B386" t="s">
        <v>796</v>
      </c>
      <c r="C386" t="s">
        <v>797</v>
      </c>
      <c r="D386" s="1" t="s">
        <v>195</v>
      </c>
      <c r="E386" s="3">
        <v>11152.73</v>
      </c>
      <c r="F386" s="3">
        <f t="shared" si="10"/>
        <v>2818.2948710000005</v>
      </c>
      <c r="G386" s="3">
        <f t="shared" si="11"/>
        <v>13971.024871</v>
      </c>
    </row>
    <row r="387" spans="1:7" x14ac:dyDescent="0.3">
      <c r="A387" t="s">
        <v>13039</v>
      </c>
      <c r="B387" t="s">
        <v>798</v>
      </c>
      <c r="C387" t="s">
        <v>799</v>
      </c>
      <c r="D387" s="1" t="s">
        <v>195</v>
      </c>
      <c r="E387" s="3">
        <v>11025.14</v>
      </c>
      <c r="F387" s="3">
        <f t="shared" si="10"/>
        <v>2786.0528780000004</v>
      </c>
      <c r="G387" s="3">
        <f t="shared" si="11"/>
        <v>13811.192878</v>
      </c>
    </row>
    <row r="388" spans="1:7" x14ac:dyDescent="0.3">
      <c r="A388" t="s">
        <v>13039</v>
      </c>
      <c r="B388" t="s">
        <v>800</v>
      </c>
      <c r="C388" t="s">
        <v>801</v>
      </c>
      <c r="D388" s="1" t="s">
        <v>195</v>
      </c>
      <c r="E388" s="3">
        <v>11449.11</v>
      </c>
      <c r="F388" s="3">
        <f t="shared" si="10"/>
        <v>2893.1900970000006</v>
      </c>
      <c r="G388" s="3">
        <f t="shared" si="11"/>
        <v>14342.300097000001</v>
      </c>
    </row>
    <row r="389" spans="1:7" x14ac:dyDescent="0.3">
      <c r="A389" t="s">
        <v>13039</v>
      </c>
      <c r="B389" t="s">
        <v>802</v>
      </c>
      <c r="C389" t="s">
        <v>803</v>
      </c>
      <c r="D389" s="1" t="s">
        <v>195</v>
      </c>
      <c r="E389" s="3">
        <v>11319.79</v>
      </c>
      <c r="F389" s="3">
        <f t="shared" si="10"/>
        <v>2860.5109330000005</v>
      </c>
      <c r="G389" s="3">
        <f t="shared" si="11"/>
        <v>14180.300933000002</v>
      </c>
    </row>
    <row r="390" spans="1:7" x14ac:dyDescent="0.3">
      <c r="A390" t="s">
        <v>13039</v>
      </c>
      <c r="B390" t="s">
        <v>804</v>
      </c>
      <c r="C390" t="s">
        <v>805</v>
      </c>
      <c r="D390" s="1" t="s">
        <v>195</v>
      </c>
      <c r="E390" s="3">
        <v>12083.46</v>
      </c>
      <c r="F390" s="3">
        <f t="shared" si="10"/>
        <v>3053.4903420000001</v>
      </c>
      <c r="G390" s="3">
        <f t="shared" si="11"/>
        <v>15136.950342</v>
      </c>
    </row>
    <row r="391" spans="1:7" x14ac:dyDescent="0.3">
      <c r="A391" t="s">
        <v>13039</v>
      </c>
      <c r="B391" t="s">
        <v>806</v>
      </c>
      <c r="C391" t="s">
        <v>807</v>
      </c>
      <c r="D391" s="1" t="s">
        <v>195</v>
      </c>
      <c r="E391" s="3">
        <v>11911.04</v>
      </c>
      <c r="F391" s="3">
        <f t="shared" ref="F391:F454" si="12">+E391*$F$4</f>
        <v>3009.9198080000006</v>
      </c>
      <c r="G391" s="3">
        <f t="shared" ref="G391:G454" si="13">+E391+F391</f>
        <v>14920.959808000001</v>
      </c>
    </row>
    <row r="392" spans="1:7" x14ac:dyDescent="0.3">
      <c r="A392" t="s">
        <v>13039</v>
      </c>
      <c r="B392" t="s">
        <v>808</v>
      </c>
      <c r="C392" t="s">
        <v>809</v>
      </c>
      <c r="D392" s="1" t="s">
        <v>195</v>
      </c>
      <c r="E392" s="3">
        <v>12629.94</v>
      </c>
      <c r="F392" s="3">
        <f t="shared" si="12"/>
        <v>3191.5858380000004</v>
      </c>
      <c r="G392" s="3">
        <f t="shared" si="13"/>
        <v>15821.525838000001</v>
      </c>
    </row>
    <row r="393" spans="1:7" x14ac:dyDescent="0.3">
      <c r="A393" t="s">
        <v>13039</v>
      </c>
      <c r="B393" t="s">
        <v>810</v>
      </c>
      <c r="C393" t="s">
        <v>811</v>
      </c>
      <c r="D393" s="1" t="s">
        <v>195</v>
      </c>
      <c r="E393" s="3">
        <v>12450.62</v>
      </c>
      <c r="F393" s="3">
        <f t="shared" si="12"/>
        <v>3146.2716740000005</v>
      </c>
      <c r="G393" s="3">
        <f t="shared" si="13"/>
        <v>15596.891674000002</v>
      </c>
    </row>
    <row r="394" spans="1:7" x14ac:dyDescent="0.3">
      <c r="A394" t="s">
        <v>13039</v>
      </c>
      <c r="B394" t="s">
        <v>812</v>
      </c>
      <c r="C394" t="s">
        <v>813</v>
      </c>
      <c r="D394" s="1" t="s">
        <v>195</v>
      </c>
      <c r="E394" s="3">
        <v>13231.97</v>
      </c>
      <c r="F394" s="3">
        <f t="shared" si="12"/>
        <v>3343.7188190000002</v>
      </c>
      <c r="G394" s="3">
        <f t="shared" si="13"/>
        <v>16575.688818999999</v>
      </c>
    </row>
    <row r="395" spans="1:7" x14ac:dyDescent="0.3">
      <c r="A395" t="s">
        <v>13039</v>
      </c>
      <c r="B395" t="s">
        <v>814</v>
      </c>
      <c r="C395" t="s">
        <v>815</v>
      </c>
      <c r="D395" s="1" t="s">
        <v>195</v>
      </c>
      <c r="E395" s="3">
        <v>13047.47</v>
      </c>
      <c r="F395" s="3">
        <f t="shared" si="12"/>
        <v>3297.0956690000003</v>
      </c>
      <c r="G395" s="3">
        <f t="shared" si="13"/>
        <v>16344.565669</v>
      </c>
    </row>
    <row r="396" spans="1:7" x14ac:dyDescent="0.3">
      <c r="A396" t="s">
        <v>13039</v>
      </c>
      <c r="B396" t="s">
        <v>816</v>
      </c>
      <c r="C396" t="s">
        <v>817</v>
      </c>
      <c r="D396" s="1" t="s">
        <v>195</v>
      </c>
      <c r="E396" s="3">
        <v>13806.68</v>
      </c>
      <c r="F396" s="3">
        <f t="shared" si="12"/>
        <v>3488.9480360000007</v>
      </c>
      <c r="G396" s="3">
        <f t="shared" si="13"/>
        <v>17295.628036000002</v>
      </c>
    </row>
    <row r="397" spans="1:7" x14ac:dyDescent="0.3">
      <c r="A397" t="s">
        <v>13039</v>
      </c>
      <c r="B397" t="s">
        <v>818</v>
      </c>
      <c r="C397" t="s">
        <v>819</v>
      </c>
      <c r="D397" s="1" t="s">
        <v>195</v>
      </c>
      <c r="E397" s="3">
        <v>13615.29</v>
      </c>
      <c r="F397" s="3">
        <f t="shared" si="12"/>
        <v>3440.5837830000005</v>
      </c>
      <c r="G397" s="3">
        <f t="shared" si="13"/>
        <v>17055.873783000003</v>
      </c>
    </row>
    <row r="398" spans="1:7" x14ac:dyDescent="0.3">
      <c r="A398" t="s">
        <v>13039</v>
      </c>
      <c r="B398" t="s">
        <v>820</v>
      </c>
      <c r="C398" t="s">
        <v>821</v>
      </c>
      <c r="D398" s="1" t="s">
        <v>195</v>
      </c>
      <c r="E398" s="3">
        <v>14633.6</v>
      </c>
      <c r="F398" s="3">
        <f t="shared" si="12"/>
        <v>3697.9107200000008</v>
      </c>
      <c r="G398" s="3">
        <f t="shared" si="13"/>
        <v>18331.510720000002</v>
      </c>
    </row>
    <row r="399" spans="1:7" x14ac:dyDescent="0.3">
      <c r="A399" t="s">
        <v>13039</v>
      </c>
      <c r="B399" t="s">
        <v>822</v>
      </c>
      <c r="C399" t="s">
        <v>823</v>
      </c>
      <c r="D399" s="1" t="s">
        <v>195</v>
      </c>
      <c r="E399" s="3">
        <v>14437.04</v>
      </c>
      <c r="F399" s="3">
        <f t="shared" si="12"/>
        <v>3648.2400080000007</v>
      </c>
      <c r="G399" s="3">
        <f t="shared" si="13"/>
        <v>18085.280008000002</v>
      </c>
    </row>
    <row r="400" spans="1:7" x14ac:dyDescent="0.3">
      <c r="A400" t="s">
        <v>13039</v>
      </c>
      <c r="B400" t="s">
        <v>824</v>
      </c>
      <c r="C400" t="s">
        <v>825</v>
      </c>
      <c r="D400" s="1" t="s">
        <v>195</v>
      </c>
      <c r="E400" s="3">
        <v>15274.19</v>
      </c>
      <c r="F400" s="3">
        <f t="shared" si="12"/>
        <v>3859.7878130000008</v>
      </c>
      <c r="G400" s="3">
        <f t="shared" si="13"/>
        <v>19133.977813000001</v>
      </c>
    </row>
    <row r="401" spans="1:7" x14ac:dyDescent="0.3">
      <c r="A401" t="s">
        <v>13039</v>
      </c>
      <c r="B401" t="s">
        <v>826</v>
      </c>
      <c r="C401" t="s">
        <v>827</v>
      </c>
      <c r="D401" s="1" t="s">
        <v>195</v>
      </c>
      <c r="E401" s="3">
        <v>15070.73</v>
      </c>
      <c r="F401" s="3">
        <f t="shared" si="12"/>
        <v>3808.3734710000003</v>
      </c>
      <c r="G401" s="3">
        <f t="shared" si="13"/>
        <v>18879.103470999999</v>
      </c>
    </row>
    <row r="402" spans="1:7" x14ac:dyDescent="0.3">
      <c r="A402" t="s">
        <v>13039</v>
      </c>
      <c r="B402" t="s">
        <v>828</v>
      </c>
      <c r="C402" t="s">
        <v>829</v>
      </c>
      <c r="D402" s="1" t="s">
        <v>195</v>
      </c>
      <c r="E402" s="3">
        <v>15869.96</v>
      </c>
      <c r="F402" s="3">
        <f t="shared" si="12"/>
        <v>4010.3388920000002</v>
      </c>
      <c r="G402" s="3">
        <f t="shared" si="13"/>
        <v>19880.298891999999</v>
      </c>
    </row>
    <row r="403" spans="1:7" x14ac:dyDescent="0.3">
      <c r="A403" t="s">
        <v>13039</v>
      </c>
      <c r="B403" t="s">
        <v>830</v>
      </c>
      <c r="C403" t="s">
        <v>831</v>
      </c>
      <c r="D403" s="1" t="s">
        <v>195</v>
      </c>
      <c r="E403" s="3">
        <v>15663.05</v>
      </c>
      <c r="F403" s="3">
        <f t="shared" si="12"/>
        <v>3958.0527350000002</v>
      </c>
      <c r="G403" s="3">
        <f t="shared" si="13"/>
        <v>19621.102735</v>
      </c>
    </row>
    <row r="404" spans="1:7" x14ac:dyDescent="0.3">
      <c r="A404" t="s">
        <v>13039</v>
      </c>
      <c r="B404" t="s">
        <v>832</v>
      </c>
      <c r="C404" t="s">
        <v>833</v>
      </c>
      <c r="D404" s="1" t="s">
        <v>195</v>
      </c>
      <c r="E404" s="3">
        <v>16446.650000000001</v>
      </c>
      <c r="F404" s="3">
        <f t="shared" si="12"/>
        <v>4156.0684550000005</v>
      </c>
      <c r="G404" s="3">
        <f t="shared" si="13"/>
        <v>20602.718455000002</v>
      </c>
    </row>
    <row r="405" spans="1:7" x14ac:dyDescent="0.3">
      <c r="A405" t="s">
        <v>13039</v>
      </c>
      <c r="B405" t="s">
        <v>834</v>
      </c>
      <c r="C405" t="s">
        <v>835</v>
      </c>
      <c r="D405" s="1" t="s">
        <v>195</v>
      </c>
      <c r="E405" s="3">
        <v>16234.56</v>
      </c>
      <c r="F405" s="3">
        <f t="shared" si="12"/>
        <v>4102.4733120000001</v>
      </c>
      <c r="G405" s="3">
        <f t="shared" si="13"/>
        <v>20337.033312</v>
      </c>
    </row>
    <row r="406" spans="1:7" x14ac:dyDescent="0.3">
      <c r="A406" t="s">
        <v>13039</v>
      </c>
      <c r="B406" t="s">
        <v>836</v>
      </c>
      <c r="C406" t="s">
        <v>837</v>
      </c>
      <c r="D406" s="1" t="s">
        <v>195</v>
      </c>
      <c r="E406" s="3">
        <v>17100.52</v>
      </c>
      <c r="F406" s="3">
        <f t="shared" si="12"/>
        <v>4321.3014040000007</v>
      </c>
      <c r="G406" s="3">
        <f t="shared" si="13"/>
        <v>21421.821404000002</v>
      </c>
    </row>
    <row r="407" spans="1:7" x14ac:dyDescent="0.3">
      <c r="A407" t="s">
        <v>13039</v>
      </c>
      <c r="B407" t="s">
        <v>838</v>
      </c>
      <c r="C407" t="s">
        <v>839</v>
      </c>
      <c r="D407" s="1" t="s">
        <v>195</v>
      </c>
      <c r="E407" s="3">
        <v>16843.04</v>
      </c>
      <c r="F407" s="3">
        <f t="shared" si="12"/>
        <v>4256.2362080000012</v>
      </c>
      <c r="G407" s="3">
        <f t="shared" si="13"/>
        <v>21099.276208000003</v>
      </c>
    </row>
    <row r="408" spans="1:7" x14ac:dyDescent="0.3">
      <c r="A408" t="s">
        <v>13039</v>
      </c>
      <c r="B408" t="s">
        <v>840</v>
      </c>
      <c r="C408" t="s">
        <v>841</v>
      </c>
      <c r="D408" s="1" t="s">
        <v>195</v>
      </c>
      <c r="E408" s="3">
        <v>17993.240000000002</v>
      </c>
      <c r="F408" s="3">
        <f t="shared" si="12"/>
        <v>4546.8917480000009</v>
      </c>
      <c r="G408" s="3">
        <f t="shared" si="13"/>
        <v>22540.131748000003</v>
      </c>
    </row>
    <row r="409" spans="1:7" x14ac:dyDescent="0.3">
      <c r="A409" t="s">
        <v>13039</v>
      </c>
      <c r="B409" t="s">
        <v>842</v>
      </c>
      <c r="C409" t="s">
        <v>843</v>
      </c>
      <c r="D409" s="1" t="s">
        <v>195</v>
      </c>
      <c r="E409" s="3">
        <v>17727.71</v>
      </c>
      <c r="F409" s="3">
        <f t="shared" si="12"/>
        <v>4479.7923170000004</v>
      </c>
      <c r="G409" s="3">
        <f t="shared" si="13"/>
        <v>22207.502316999999</v>
      </c>
    </row>
    <row r="410" spans="1:7" x14ac:dyDescent="0.3">
      <c r="A410" t="s">
        <v>13039</v>
      </c>
      <c r="B410" t="s">
        <v>844</v>
      </c>
      <c r="C410" t="s">
        <v>845</v>
      </c>
      <c r="D410" s="1" t="s">
        <v>195</v>
      </c>
      <c r="E410" s="3">
        <v>21982.62</v>
      </c>
      <c r="F410" s="3">
        <f t="shared" si="12"/>
        <v>5555.0080740000003</v>
      </c>
      <c r="G410" s="3">
        <f t="shared" si="13"/>
        <v>27537.628074</v>
      </c>
    </row>
    <row r="411" spans="1:7" x14ac:dyDescent="0.3">
      <c r="A411" t="s">
        <v>13039</v>
      </c>
      <c r="B411" t="s">
        <v>846</v>
      </c>
      <c r="C411" t="s">
        <v>847</v>
      </c>
      <c r="D411" s="1" t="s">
        <v>195</v>
      </c>
      <c r="E411" s="3">
        <v>21709.040000000001</v>
      </c>
      <c r="F411" s="3">
        <f t="shared" si="12"/>
        <v>5485.8744080000006</v>
      </c>
      <c r="G411" s="3">
        <f t="shared" si="13"/>
        <v>27194.914408000001</v>
      </c>
    </row>
    <row r="412" spans="1:7" x14ac:dyDescent="0.3">
      <c r="A412" t="s">
        <v>13039</v>
      </c>
      <c r="B412" t="s">
        <v>848</v>
      </c>
      <c r="C412" t="s">
        <v>849</v>
      </c>
      <c r="D412" s="1" t="s">
        <v>195</v>
      </c>
      <c r="E412" s="3">
        <v>22828.080000000002</v>
      </c>
      <c r="F412" s="3">
        <f t="shared" si="12"/>
        <v>5768.6558160000013</v>
      </c>
      <c r="G412" s="3">
        <f t="shared" si="13"/>
        <v>28596.735816000004</v>
      </c>
    </row>
    <row r="413" spans="1:7" x14ac:dyDescent="0.3">
      <c r="A413" t="s">
        <v>13039</v>
      </c>
      <c r="B413" t="s">
        <v>850</v>
      </c>
      <c r="C413" t="s">
        <v>851</v>
      </c>
      <c r="D413" s="1" t="s">
        <v>195</v>
      </c>
      <c r="E413" s="3">
        <v>22544.44</v>
      </c>
      <c r="F413" s="3">
        <f t="shared" si="12"/>
        <v>5696.979988</v>
      </c>
      <c r="G413" s="3">
        <f t="shared" si="13"/>
        <v>28241.419987999998</v>
      </c>
    </row>
    <row r="414" spans="1:7" x14ac:dyDescent="0.3">
      <c r="A414" t="s">
        <v>13039</v>
      </c>
      <c r="B414" t="s">
        <v>852</v>
      </c>
      <c r="C414" t="s">
        <v>853</v>
      </c>
      <c r="D414" s="1" t="s">
        <v>195</v>
      </c>
      <c r="E414" s="3">
        <v>23564.33</v>
      </c>
      <c r="F414" s="3">
        <f t="shared" si="12"/>
        <v>5954.7061910000011</v>
      </c>
      <c r="G414" s="3">
        <f t="shared" si="13"/>
        <v>29519.036191000003</v>
      </c>
    </row>
    <row r="415" spans="1:7" x14ac:dyDescent="0.3">
      <c r="A415" t="s">
        <v>13039</v>
      </c>
      <c r="B415" t="s">
        <v>854</v>
      </c>
      <c r="C415" t="s">
        <v>855</v>
      </c>
      <c r="D415" s="1" t="s">
        <v>195</v>
      </c>
      <c r="E415" s="3">
        <v>23272.639999999999</v>
      </c>
      <c r="F415" s="3">
        <f t="shared" si="12"/>
        <v>5880.9961280000007</v>
      </c>
      <c r="G415" s="3">
        <f t="shared" si="13"/>
        <v>29153.636127999998</v>
      </c>
    </row>
    <row r="416" spans="1:7" x14ac:dyDescent="0.3">
      <c r="A416" t="s">
        <v>13039</v>
      </c>
      <c r="B416" t="s">
        <v>856</v>
      </c>
      <c r="C416" t="s">
        <v>857</v>
      </c>
      <c r="D416" s="1" t="s">
        <v>195</v>
      </c>
      <c r="E416" s="3">
        <v>26649.47</v>
      </c>
      <c r="F416" s="3">
        <f t="shared" si="12"/>
        <v>6734.3210690000014</v>
      </c>
      <c r="G416" s="3">
        <f t="shared" si="13"/>
        <v>33383.791068999999</v>
      </c>
    </row>
    <row r="417" spans="1:7" x14ac:dyDescent="0.3">
      <c r="A417" t="s">
        <v>13039</v>
      </c>
      <c r="B417" t="s">
        <v>858</v>
      </c>
      <c r="C417" t="s">
        <v>859</v>
      </c>
      <c r="D417" s="1" t="s">
        <v>195</v>
      </c>
      <c r="E417" s="3">
        <v>26349.74</v>
      </c>
      <c r="F417" s="3">
        <f t="shared" si="12"/>
        <v>6658.5792980000015</v>
      </c>
      <c r="G417" s="3">
        <f t="shared" si="13"/>
        <v>33008.319298000002</v>
      </c>
    </row>
    <row r="418" spans="1:7" x14ac:dyDescent="0.3">
      <c r="A418" t="s">
        <v>13039</v>
      </c>
      <c r="B418" t="s">
        <v>860</v>
      </c>
      <c r="C418" t="s">
        <v>861</v>
      </c>
      <c r="D418" s="1" t="s">
        <v>195</v>
      </c>
      <c r="E418" s="3">
        <v>27064.9</v>
      </c>
      <c r="F418" s="3">
        <f t="shared" si="12"/>
        <v>6839.3002300000016</v>
      </c>
      <c r="G418" s="3">
        <f t="shared" si="13"/>
        <v>33904.200230000002</v>
      </c>
    </row>
    <row r="419" spans="1:7" x14ac:dyDescent="0.3">
      <c r="A419" t="s">
        <v>13039</v>
      </c>
      <c r="B419" t="s">
        <v>862</v>
      </c>
      <c r="C419" t="s">
        <v>863</v>
      </c>
      <c r="D419" s="1" t="s">
        <v>195</v>
      </c>
      <c r="E419" s="3">
        <v>26759.13</v>
      </c>
      <c r="F419" s="3">
        <f t="shared" si="12"/>
        <v>6762.0321510000012</v>
      </c>
      <c r="G419" s="3">
        <f t="shared" si="13"/>
        <v>33521.162151000004</v>
      </c>
    </row>
    <row r="420" spans="1:7" x14ac:dyDescent="0.3">
      <c r="A420" t="s">
        <v>13039</v>
      </c>
      <c r="B420" t="s">
        <v>864</v>
      </c>
      <c r="C420" t="s">
        <v>865</v>
      </c>
      <c r="D420" s="1" t="s">
        <v>195</v>
      </c>
      <c r="E420" s="3">
        <v>32345.82</v>
      </c>
      <c r="F420" s="3">
        <f t="shared" si="12"/>
        <v>8173.7887140000012</v>
      </c>
      <c r="G420" s="3">
        <f t="shared" si="13"/>
        <v>40519.608714000002</v>
      </c>
    </row>
    <row r="421" spans="1:7" x14ac:dyDescent="0.3">
      <c r="A421" t="s">
        <v>13039</v>
      </c>
      <c r="B421" t="s">
        <v>866</v>
      </c>
      <c r="C421" t="s">
        <v>867</v>
      </c>
      <c r="D421" s="1" t="s">
        <v>195</v>
      </c>
      <c r="E421" s="3">
        <v>32032</v>
      </c>
      <c r="F421" s="3">
        <f t="shared" si="12"/>
        <v>8094.4864000000016</v>
      </c>
      <c r="G421" s="3">
        <f t="shared" si="13"/>
        <v>40126.486400000002</v>
      </c>
    </row>
    <row r="422" spans="1:7" x14ac:dyDescent="0.3">
      <c r="A422" t="s">
        <v>13039</v>
      </c>
      <c r="B422" t="s">
        <v>868</v>
      </c>
      <c r="C422" t="s">
        <v>869</v>
      </c>
      <c r="D422" s="1" t="s">
        <v>195</v>
      </c>
      <c r="E422" s="3">
        <v>32878.1</v>
      </c>
      <c r="F422" s="3">
        <f t="shared" si="12"/>
        <v>8308.2958699999999</v>
      </c>
      <c r="G422" s="3">
        <f t="shared" si="13"/>
        <v>41186.39587</v>
      </c>
    </row>
    <row r="423" spans="1:7" x14ac:dyDescent="0.3">
      <c r="A423" t="s">
        <v>13039</v>
      </c>
      <c r="B423" t="s">
        <v>870</v>
      </c>
      <c r="C423" t="s">
        <v>871</v>
      </c>
      <c r="D423" s="1" t="s">
        <v>195</v>
      </c>
      <c r="E423" s="3">
        <v>32560.26</v>
      </c>
      <c r="F423" s="3">
        <f t="shared" si="12"/>
        <v>8227.9777020000001</v>
      </c>
      <c r="G423" s="3">
        <f t="shared" si="13"/>
        <v>40788.237701999999</v>
      </c>
    </row>
    <row r="424" spans="1:7" x14ac:dyDescent="0.3">
      <c r="A424" t="s">
        <v>13039</v>
      </c>
      <c r="B424" t="s">
        <v>872</v>
      </c>
      <c r="C424" t="s">
        <v>873</v>
      </c>
      <c r="D424" s="1" t="s">
        <v>195</v>
      </c>
      <c r="E424" s="3">
        <v>34138.79</v>
      </c>
      <c r="F424" s="3">
        <f t="shared" si="12"/>
        <v>8626.8722330000019</v>
      </c>
      <c r="G424" s="3">
        <f t="shared" si="13"/>
        <v>42765.662233000003</v>
      </c>
    </row>
    <row r="425" spans="1:7" x14ac:dyDescent="0.3">
      <c r="A425" t="s">
        <v>13039</v>
      </c>
      <c r="B425" t="s">
        <v>874</v>
      </c>
      <c r="C425" t="s">
        <v>875</v>
      </c>
      <c r="D425" s="1" t="s">
        <v>195</v>
      </c>
      <c r="E425" s="3">
        <v>33812.910000000003</v>
      </c>
      <c r="F425" s="3">
        <f t="shared" si="12"/>
        <v>8544.5223570000016</v>
      </c>
      <c r="G425" s="3">
        <f t="shared" si="13"/>
        <v>42357.432357000005</v>
      </c>
    </row>
    <row r="426" spans="1:7" x14ac:dyDescent="0.3">
      <c r="A426" t="s">
        <v>13039</v>
      </c>
      <c r="B426" t="s">
        <v>876</v>
      </c>
      <c r="C426" t="s">
        <v>877</v>
      </c>
      <c r="D426" s="1" t="s">
        <v>195</v>
      </c>
      <c r="E426" s="3">
        <v>34706.050000000003</v>
      </c>
      <c r="F426" s="3">
        <f t="shared" si="12"/>
        <v>8770.2188350000015</v>
      </c>
      <c r="G426" s="3">
        <f t="shared" si="13"/>
        <v>43476.268835000003</v>
      </c>
    </row>
    <row r="427" spans="1:7" x14ac:dyDescent="0.3">
      <c r="A427" t="s">
        <v>13039</v>
      </c>
      <c r="B427" t="s">
        <v>878</v>
      </c>
      <c r="C427" t="s">
        <v>879</v>
      </c>
      <c r="D427" s="1" t="s">
        <v>195</v>
      </c>
      <c r="E427" s="3">
        <v>34374.129999999997</v>
      </c>
      <c r="F427" s="3">
        <f t="shared" si="12"/>
        <v>8686.3426510000008</v>
      </c>
      <c r="G427" s="3">
        <f t="shared" si="13"/>
        <v>43060.472650999996</v>
      </c>
    </row>
    <row r="428" spans="1:7" x14ac:dyDescent="0.3">
      <c r="A428" t="s">
        <v>13039</v>
      </c>
      <c r="B428" t="s">
        <v>880</v>
      </c>
      <c r="C428" t="s">
        <v>881</v>
      </c>
      <c r="D428" s="1" t="s">
        <v>195</v>
      </c>
      <c r="E428" s="3">
        <v>46675.72</v>
      </c>
      <c r="F428" s="3">
        <f t="shared" si="12"/>
        <v>11794.954444000003</v>
      </c>
      <c r="G428" s="3">
        <f t="shared" si="13"/>
        <v>58470.674444000004</v>
      </c>
    </row>
    <row r="429" spans="1:7" x14ac:dyDescent="0.3">
      <c r="A429" t="s">
        <v>13039</v>
      </c>
      <c r="B429" t="s">
        <v>882</v>
      </c>
      <c r="C429" t="s">
        <v>883</v>
      </c>
      <c r="D429" s="1" t="s">
        <v>195</v>
      </c>
      <c r="E429" s="3">
        <v>46337.760000000002</v>
      </c>
      <c r="F429" s="3">
        <f t="shared" si="12"/>
        <v>11709.551952000002</v>
      </c>
      <c r="G429" s="3">
        <f t="shared" si="13"/>
        <v>58047.311952000004</v>
      </c>
    </row>
    <row r="430" spans="1:7" x14ac:dyDescent="0.3">
      <c r="A430" t="s">
        <v>13039</v>
      </c>
      <c r="B430" t="s">
        <v>884</v>
      </c>
      <c r="C430" t="s">
        <v>885</v>
      </c>
      <c r="D430" s="1" t="s">
        <v>195</v>
      </c>
      <c r="E430" s="3">
        <v>48624.65</v>
      </c>
      <c r="F430" s="3">
        <f t="shared" si="12"/>
        <v>12287.449055000003</v>
      </c>
      <c r="G430" s="3">
        <f t="shared" si="13"/>
        <v>60912.099055000006</v>
      </c>
    </row>
    <row r="431" spans="1:7" x14ac:dyDescent="0.3">
      <c r="A431" t="s">
        <v>13039</v>
      </c>
      <c r="B431" t="s">
        <v>886</v>
      </c>
      <c r="C431" t="s">
        <v>887</v>
      </c>
      <c r="D431" s="1" t="s">
        <v>195</v>
      </c>
      <c r="E431" s="3">
        <v>48278.65</v>
      </c>
      <c r="F431" s="3">
        <f t="shared" si="12"/>
        <v>12200.014855000001</v>
      </c>
      <c r="G431" s="3">
        <f t="shared" si="13"/>
        <v>60478.664855000003</v>
      </c>
    </row>
    <row r="432" spans="1:7" x14ac:dyDescent="0.3">
      <c r="A432" t="s">
        <v>13039</v>
      </c>
      <c r="B432" t="s">
        <v>888</v>
      </c>
      <c r="C432" t="s">
        <v>889</v>
      </c>
      <c r="D432" s="1" t="s">
        <v>195</v>
      </c>
      <c r="E432" s="3">
        <v>11271.66</v>
      </c>
      <c r="F432" s="3">
        <f t="shared" si="12"/>
        <v>2848.3484820000003</v>
      </c>
      <c r="G432" s="3">
        <f t="shared" si="13"/>
        <v>14120.008482000001</v>
      </c>
    </row>
    <row r="433" spans="1:7" x14ac:dyDescent="0.3">
      <c r="A433" t="s">
        <v>13039</v>
      </c>
      <c r="B433" t="s">
        <v>890</v>
      </c>
      <c r="C433" t="s">
        <v>891</v>
      </c>
      <c r="D433" s="1" t="s">
        <v>195</v>
      </c>
      <c r="E433" s="3">
        <v>11142.92</v>
      </c>
      <c r="F433" s="3">
        <f t="shared" si="12"/>
        <v>2815.8158840000006</v>
      </c>
      <c r="G433" s="3">
        <f t="shared" si="13"/>
        <v>13958.735884000002</v>
      </c>
    </row>
    <row r="434" spans="1:7" x14ac:dyDescent="0.3">
      <c r="A434" t="s">
        <v>13039</v>
      </c>
      <c r="B434" t="s">
        <v>892</v>
      </c>
      <c r="C434" t="s">
        <v>893</v>
      </c>
      <c r="D434" s="1" t="s">
        <v>195</v>
      </c>
      <c r="E434" s="3">
        <v>14672.16</v>
      </c>
      <c r="F434" s="3">
        <f t="shared" si="12"/>
        <v>3707.6548320000006</v>
      </c>
      <c r="G434" s="3">
        <f t="shared" si="13"/>
        <v>18379.814832</v>
      </c>
    </row>
    <row r="435" spans="1:7" x14ac:dyDescent="0.3">
      <c r="A435" t="s">
        <v>13039</v>
      </c>
      <c r="B435" t="s">
        <v>894</v>
      </c>
      <c r="C435" t="s">
        <v>895</v>
      </c>
      <c r="D435" s="1" t="s">
        <v>195</v>
      </c>
      <c r="E435" s="3">
        <v>14515.25</v>
      </c>
      <c r="F435" s="3">
        <f t="shared" si="12"/>
        <v>3668.0036750000004</v>
      </c>
      <c r="G435" s="3">
        <f t="shared" si="13"/>
        <v>18183.253675</v>
      </c>
    </row>
    <row r="436" spans="1:7" x14ac:dyDescent="0.3">
      <c r="A436" t="s">
        <v>13039</v>
      </c>
      <c r="B436" t="s">
        <v>896</v>
      </c>
      <c r="C436" t="s">
        <v>897</v>
      </c>
      <c r="D436" s="1" t="s">
        <v>195</v>
      </c>
      <c r="E436" s="3">
        <v>17091.45</v>
      </c>
      <c r="F436" s="3">
        <f t="shared" si="12"/>
        <v>4319.0094150000004</v>
      </c>
      <c r="G436" s="3">
        <f t="shared" si="13"/>
        <v>21410.459415000001</v>
      </c>
    </row>
    <row r="437" spans="1:7" x14ac:dyDescent="0.3">
      <c r="A437" t="s">
        <v>13039</v>
      </c>
      <c r="B437" t="s">
        <v>898</v>
      </c>
      <c r="C437" t="s">
        <v>899</v>
      </c>
      <c r="D437" s="1" t="s">
        <v>195</v>
      </c>
      <c r="E437" s="3">
        <v>16862.12</v>
      </c>
      <c r="F437" s="3">
        <f t="shared" si="12"/>
        <v>4261.0577240000002</v>
      </c>
      <c r="G437" s="3">
        <f t="shared" si="13"/>
        <v>21123.177724000001</v>
      </c>
    </row>
    <row r="438" spans="1:7" x14ac:dyDescent="0.3">
      <c r="A438" t="s">
        <v>13039</v>
      </c>
      <c r="B438" t="s">
        <v>900</v>
      </c>
      <c r="C438" t="s">
        <v>901</v>
      </c>
      <c r="D438" s="1" t="s">
        <v>195</v>
      </c>
      <c r="E438" s="3">
        <v>17981.189999999999</v>
      </c>
      <c r="F438" s="3">
        <f t="shared" si="12"/>
        <v>4543.8467129999999</v>
      </c>
      <c r="G438" s="3">
        <f t="shared" si="13"/>
        <v>22525.036712999998</v>
      </c>
    </row>
    <row r="439" spans="1:7" x14ac:dyDescent="0.3">
      <c r="A439" t="s">
        <v>13039</v>
      </c>
      <c r="B439" t="s">
        <v>902</v>
      </c>
      <c r="C439" t="s">
        <v>903</v>
      </c>
      <c r="D439" s="1" t="s">
        <v>195</v>
      </c>
      <c r="E439" s="3">
        <v>17743.82</v>
      </c>
      <c r="F439" s="3">
        <f t="shared" si="12"/>
        <v>4483.8633140000002</v>
      </c>
      <c r="G439" s="3">
        <f t="shared" si="13"/>
        <v>22227.683314000002</v>
      </c>
    </row>
    <row r="440" spans="1:7" x14ac:dyDescent="0.3">
      <c r="A440" t="s">
        <v>13039</v>
      </c>
      <c r="B440" t="s">
        <v>904</v>
      </c>
      <c r="C440" t="s">
        <v>905</v>
      </c>
      <c r="D440" s="1" t="s">
        <v>195</v>
      </c>
      <c r="E440" s="3">
        <v>18409.009999999998</v>
      </c>
      <c r="F440" s="3">
        <f t="shared" si="12"/>
        <v>4651.956827</v>
      </c>
      <c r="G440" s="3">
        <f t="shared" si="13"/>
        <v>23060.966826999997</v>
      </c>
    </row>
    <row r="441" spans="1:7" x14ac:dyDescent="0.3">
      <c r="A441" t="s">
        <v>13039</v>
      </c>
      <c r="B441" t="s">
        <v>906</v>
      </c>
      <c r="C441" t="s">
        <v>907</v>
      </c>
      <c r="D441" s="1" t="s">
        <v>195</v>
      </c>
      <c r="E441" s="3">
        <v>18167.62</v>
      </c>
      <c r="F441" s="3">
        <f t="shared" si="12"/>
        <v>4590.957574</v>
      </c>
      <c r="G441" s="3">
        <f t="shared" si="13"/>
        <v>22758.577573999999</v>
      </c>
    </row>
    <row r="442" spans="1:7" x14ac:dyDescent="0.3">
      <c r="A442" t="s">
        <v>13039</v>
      </c>
      <c r="B442" t="s">
        <v>908</v>
      </c>
      <c r="C442" t="s">
        <v>909</v>
      </c>
      <c r="D442" s="1" t="s">
        <v>195</v>
      </c>
      <c r="E442" s="3">
        <v>19049.72</v>
      </c>
      <c r="F442" s="3">
        <f t="shared" si="12"/>
        <v>4813.8642440000012</v>
      </c>
      <c r="G442" s="3">
        <f t="shared" si="13"/>
        <v>23863.584244000001</v>
      </c>
    </row>
    <row r="443" spans="1:7" x14ac:dyDescent="0.3">
      <c r="A443" t="s">
        <v>13039</v>
      </c>
      <c r="B443" t="s">
        <v>910</v>
      </c>
      <c r="C443" t="s">
        <v>911</v>
      </c>
      <c r="D443" s="1" t="s">
        <v>195</v>
      </c>
      <c r="E443" s="3">
        <v>18800.28</v>
      </c>
      <c r="F443" s="3">
        <f t="shared" si="12"/>
        <v>4750.8307560000003</v>
      </c>
      <c r="G443" s="3">
        <f t="shared" si="13"/>
        <v>23551.110755999998</v>
      </c>
    </row>
    <row r="444" spans="1:7" x14ac:dyDescent="0.3">
      <c r="A444" t="s">
        <v>13039</v>
      </c>
      <c r="B444" t="s">
        <v>912</v>
      </c>
      <c r="C444" t="s">
        <v>913</v>
      </c>
      <c r="D444" s="1" t="s">
        <v>195</v>
      </c>
      <c r="E444" s="3">
        <v>19660.53</v>
      </c>
      <c r="F444" s="3">
        <f t="shared" si="12"/>
        <v>4968.2159310000006</v>
      </c>
      <c r="G444" s="3">
        <f t="shared" si="13"/>
        <v>24628.745930999998</v>
      </c>
    </row>
    <row r="445" spans="1:7" x14ac:dyDescent="0.3">
      <c r="A445" t="s">
        <v>13039</v>
      </c>
      <c r="B445" t="s">
        <v>914</v>
      </c>
      <c r="C445" t="s">
        <v>915</v>
      </c>
      <c r="D445" s="1" t="s">
        <v>195</v>
      </c>
      <c r="E445" s="3">
        <v>19409.080000000002</v>
      </c>
      <c r="F445" s="3">
        <f t="shared" si="12"/>
        <v>4904.6745160000009</v>
      </c>
      <c r="G445" s="3">
        <f t="shared" si="13"/>
        <v>24313.754516000001</v>
      </c>
    </row>
    <row r="446" spans="1:7" x14ac:dyDescent="0.3">
      <c r="A446" t="s">
        <v>13039</v>
      </c>
      <c r="B446" t="s">
        <v>916</v>
      </c>
      <c r="C446" t="s">
        <v>917</v>
      </c>
      <c r="D446" s="1" t="s">
        <v>195</v>
      </c>
      <c r="E446" s="3">
        <v>20515.93</v>
      </c>
      <c r="F446" s="3">
        <f t="shared" si="12"/>
        <v>5184.3755110000011</v>
      </c>
      <c r="G446" s="3">
        <f t="shared" si="13"/>
        <v>25700.305511000002</v>
      </c>
    </row>
    <row r="447" spans="1:7" x14ac:dyDescent="0.3">
      <c r="A447" t="s">
        <v>13039</v>
      </c>
      <c r="B447" t="s">
        <v>918</v>
      </c>
      <c r="C447" t="s">
        <v>919</v>
      </c>
      <c r="D447" s="1" t="s">
        <v>195</v>
      </c>
      <c r="E447" s="3">
        <v>20258.439999999999</v>
      </c>
      <c r="F447" s="3">
        <f t="shared" si="12"/>
        <v>5119.3077880000001</v>
      </c>
      <c r="G447" s="3">
        <f t="shared" si="13"/>
        <v>25377.747788000001</v>
      </c>
    </row>
    <row r="448" spans="1:7" x14ac:dyDescent="0.3">
      <c r="A448" t="s">
        <v>13039</v>
      </c>
      <c r="B448" t="s">
        <v>920</v>
      </c>
      <c r="C448" t="s">
        <v>921</v>
      </c>
      <c r="D448" s="1" t="s">
        <v>195</v>
      </c>
      <c r="E448" s="3">
        <v>21113.67</v>
      </c>
      <c r="F448" s="3">
        <f t="shared" si="12"/>
        <v>5335.4244090000002</v>
      </c>
      <c r="G448" s="3">
        <f t="shared" si="13"/>
        <v>26449.094408999998</v>
      </c>
    </row>
    <row r="449" spans="1:7" x14ac:dyDescent="0.3">
      <c r="A449" t="s">
        <v>13039</v>
      </c>
      <c r="B449" t="s">
        <v>922</v>
      </c>
      <c r="C449" t="s">
        <v>923</v>
      </c>
      <c r="D449" s="1" t="s">
        <v>195</v>
      </c>
      <c r="E449" s="3">
        <v>20852.16</v>
      </c>
      <c r="F449" s="3">
        <f t="shared" si="12"/>
        <v>5269.3408320000008</v>
      </c>
      <c r="G449" s="3">
        <f t="shared" si="13"/>
        <v>26121.500832000002</v>
      </c>
    </row>
    <row r="450" spans="1:7" x14ac:dyDescent="0.3">
      <c r="A450" t="s">
        <v>13039</v>
      </c>
      <c r="B450" t="s">
        <v>924</v>
      </c>
      <c r="C450" t="s">
        <v>925</v>
      </c>
      <c r="D450" s="1" t="s">
        <v>195</v>
      </c>
      <c r="E450" s="3">
        <v>25884.97</v>
      </c>
      <c r="F450" s="3">
        <f t="shared" si="12"/>
        <v>6541.1319190000013</v>
      </c>
      <c r="G450" s="3">
        <f t="shared" si="13"/>
        <v>32426.101919000001</v>
      </c>
    </row>
    <row r="451" spans="1:7" x14ac:dyDescent="0.3">
      <c r="A451" t="s">
        <v>13039</v>
      </c>
      <c r="B451" t="s">
        <v>926</v>
      </c>
      <c r="C451" t="s">
        <v>927</v>
      </c>
      <c r="D451" s="1" t="s">
        <v>195</v>
      </c>
      <c r="E451" s="3">
        <v>25615.41</v>
      </c>
      <c r="F451" s="3">
        <f t="shared" si="12"/>
        <v>6473.0141070000009</v>
      </c>
      <c r="G451" s="3">
        <f t="shared" si="13"/>
        <v>32088.424106999999</v>
      </c>
    </row>
    <row r="452" spans="1:7" x14ac:dyDescent="0.3">
      <c r="A452" t="s">
        <v>13039</v>
      </c>
      <c r="B452" t="s">
        <v>928</v>
      </c>
      <c r="C452" t="s">
        <v>929</v>
      </c>
      <c r="D452" s="1" t="s">
        <v>195</v>
      </c>
      <c r="E452" s="3">
        <v>27327.25</v>
      </c>
      <c r="F452" s="3">
        <f t="shared" si="12"/>
        <v>6905.5960750000013</v>
      </c>
      <c r="G452" s="3">
        <f t="shared" si="13"/>
        <v>34232.846075000001</v>
      </c>
    </row>
    <row r="453" spans="1:7" x14ac:dyDescent="0.3">
      <c r="A453" t="s">
        <v>13039</v>
      </c>
      <c r="B453" t="s">
        <v>930</v>
      </c>
      <c r="C453" t="s">
        <v>931</v>
      </c>
      <c r="D453" s="1" t="s">
        <v>195</v>
      </c>
      <c r="E453" s="3">
        <v>27053.67</v>
      </c>
      <c r="F453" s="3">
        <f t="shared" si="12"/>
        <v>6836.4624090000007</v>
      </c>
      <c r="G453" s="3">
        <f t="shared" si="13"/>
        <v>33890.132408999998</v>
      </c>
    </row>
    <row r="454" spans="1:7" x14ac:dyDescent="0.3">
      <c r="A454" t="s">
        <v>13039</v>
      </c>
      <c r="B454" t="s">
        <v>932</v>
      </c>
      <c r="C454" t="s">
        <v>933</v>
      </c>
      <c r="D454" s="1" t="s">
        <v>195</v>
      </c>
      <c r="E454" s="3">
        <v>28140.47</v>
      </c>
      <c r="F454" s="3">
        <f t="shared" si="12"/>
        <v>7111.0967690000016</v>
      </c>
      <c r="G454" s="3">
        <f t="shared" si="13"/>
        <v>35251.566769000005</v>
      </c>
    </row>
    <row r="455" spans="1:7" x14ac:dyDescent="0.3">
      <c r="A455" t="s">
        <v>13039</v>
      </c>
      <c r="B455" t="s">
        <v>934</v>
      </c>
      <c r="C455" t="s">
        <v>935</v>
      </c>
      <c r="D455" s="1" t="s">
        <v>195</v>
      </c>
      <c r="E455" s="3">
        <v>27858.84</v>
      </c>
      <c r="F455" s="3">
        <f t="shared" ref="F455:F518" si="14">+E455*$F$4</f>
        <v>7039.9288680000009</v>
      </c>
      <c r="G455" s="3">
        <f t="shared" ref="G455:G518" si="15">+E455+F455</f>
        <v>34898.768867999999</v>
      </c>
    </row>
    <row r="456" spans="1:7" x14ac:dyDescent="0.3">
      <c r="A456" t="s">
        <v>13039</v>
      </c>
      <c r="B456" t="s">
        <v>936</v>
      </c>
      <c r="C456" t="s">
        <v>937</v>
      </c>
      <c r="D456" s="1" t="s">
        <v>195</v>
      </c>
      <c r="E456" s="3">
        <v>28934.84</v>
      </c>
      <c r="F456" s="3">
        <f t="shared" si="14"/>
        <v>7311.834068000001</v>
      </c>
      <c r="G456" s="3">
        <f t="shared" si="15"/>
        <v>36246.674068</v>
      </c>
    </row>
    <row r="457" spans="1:7" x14ac:dyDescent="0.3">
      <c r="A457" t="s">
        <v>13039</v>
      </c>
      <c r="B457" t="s">
        <v>938</v>
      </c>
      <c r="C457" t="s">
        <v>939</v>
      </c>
      <c r="D457" s="1" t="s">
        <v>195</v>
      </c>
      <c r="E457" s="3">
        <v>28647.18</v>
      </c>
      <c r="F457" s="3">
        <f t="shared" si="14"/>
        <v>7239.1423860000014</v>
      </c>
      <c r="G457" s="3">
        <f t="shared" si="15"/>
        <v>35886.322386</v>
      </c>
    </row>
    <row r="458" spans="1:7" x14ac:dyDescent="0.3">
      <c r="A458" t="s">
        <v>13039</v>
      </c>
      <c r="B458" t="s">
        <v>940</v>
      </c>
      <c r="C458" t="s">
        <v>941</v>
      </c>
      <c r="D458" s="1" t="s">
        <v>195</v>
      </c>
      <c r="E458" s="3">
        <v>29572.59</v>
      </c>
      <c r="F458" s="3">
        <f t="shared" si="14"/>
        <v>7472.9934930000009</v>
      </c>
      <c r="G458" s="3">
        <f t="shared" si="15"/>
        <v>37045.583492999998</v>
      </c>
    </row>
    <row r="459" spans="1:7" x14ac:dyDescent="0.3">
      <c r="A459" t="s">
        <v>13039</v>
      </c>
      <c r="B459" t="s">
        <v>942</v>
      </c>
      <c r="C459" t="s">
        <v>943</v>
      </c>
      <c r="D459" s="1" t="s">
        <v>195</v>
      </c>
      <c r="E459" s="3">
        <v>29280.91</v>
      </c>
      <c r="F459" s="3">
        <f t="shared" si="14"/>
        <v>7399.285957000001</v>
      </c>
      <c r="G459" s="3">
        <f t="shared" si="15"/>
        <v>36680.195957000004</v>
      </c>
    </row>
    <row r="460" spans="1:7" x14ac:dyDescent="0.3">
      <c r="A460" t="s">
        <v>13039</v>
      </c>
      <c r="B460" t="s">
        <v>944</v>
      </c>
      <c r="C460" t="s">
        <v>945</v>
      </c>
      <c r="D460" s="1" t="s">
        <v>195</v>
      </c>
      <c r="E460" s="3">
        <v>31202.07</v>
      </c>
      <c r="F460" s="3">
        <f t="shared" si="14"/>
        <v>7884.7630890000009</v>
      </c>
      <c r="G460" s="3">
        <f t="shared" si="15"/>
        <v>39086.833089</v>
      </c>
    </row>
    <row r="461" spans="1:7" x14ac:dyDescent="0.3">
      <c r="A461" t="s">
        <v>13039</v>
      </c>
      <c r="B461" t="s">
        <v>946</v>
      </c>
      <c r="C461" t="s">
        <v>947</v>
      </c>
      <c r="D461" s="1" t="s">
        <v>195</v>
      </c>
      <c r="E461" s="3">
        <v>30908.37</v>
      </c>
      <c r="F461" s="3">
        <f t="shared" si="14"/>
        <v>7810.5450990000008</v>
      </c>
      <c r="G461" s="3">
        <f t="shared" si="15"/>
        <v>38718.915098999998</v>
      </c>
    </row>
    <row r="462" spans="1:7" x14ac:dyDescent="0.3">
      <c r="A462" t="s">
        <v>13039</v>
      </c>
      <c r="B462" t="s">
        <v>948</v>
      </c>
      <c r="C462" t="s">
        <v>949</v>
      </c>
      <c r="D462" s="1" t="s">
        <v>195</v>
      </c>
      <c r="E462" s="3">
        <v>35857.550000000003</v>
      </c>
      <c r="F462" s="3">
        <f t="shared" si="14"/>
        <v>9061.2028850000024</v>
      </c>
      <c r="G462" s="3">
        <f t="shared" si="15"/>
        <v>44918.752885000009</v>
      </c>
    </row>
    <row r="463" spans="1:7" x14ac:dyDescent="0.3">
      <c r="A463" t="s">
        <v>13039</v>
      </c>
      <c r="B463" t="s">
        <v>950</v>
      </c>
      <c r="C463" t="s">
        <v>951</v>
      </c>
      <c r="D463" s="1" t="s">
        <v>195</v>
      </c>
      <c r="E463" s="3">
        <v>35549.78</v>
      </c>
      <c r="F463" s="3">
        <f t="shared" si="14"/>
        <v>8983.4294060000011</v>
      </c>
      <c r="G463" s="3">
        <f t="shared" si="15"/>
        <v>44533.209406000002</v>
      </c>
    </row>
    <row r="464" spans="1:7" x14ac:dyDescent="0.3">
      <c r="A464" t="s">
        <v>13039</v>
      </c>
      <c r="B464" t="s">
        <v>952</v>
      </c>
      <c r="C464" t="s">
        <v>953</v>
      </c>
      <c r="D464" s="1" t="s">
        <v>195</v>
      </c>
      <c r="E464" s="3">
        <v>42234.95</v>
      </c>
      <c r="F464" s="3">
        <f t="shared" si="14"/>
        <v>10672.771865000001</v>
      </c>
      <c r="G464" s="3">
        <f t="shared" si="15"/>
        <v>52907.721865</v>
      </c>
    </row>
    <row r="465" spans="1:7" x14ac:dyDescent="0.3">
      <c r="A465" t="s">
        <v>13039</v>
      </c>
      <c r="B465" t="s">
        <v>954</v>
      </c>
      <c r="C465" t="s">
        <v>955</v>
      </c>
      <c r="D465" s="1" t="s">
        <v>195</v>
      </c>
      <c r="E465" s="3">
        <v>41919.129999999997</v>
      </c>
      <c r="F465" s="3">
        <f t="shared" si="14"/>
        <v>10592.964151</v>
      </c>
      <c r="G465" s="3">
        <f t="shared" si="15"/>
        <v>52512.094150999998</v>
      </c>
    </row>
    <row r="466" spans="1:7" x14ac:dyDescent="0.3">
      <c r="A466" t="s">
        <v>13039</v>
      </c>
      <c r="B466" t="s">
        <v>956</v>
      </c>
      <c r="C466" t="s">
        <v>957</v>
      </c>
      <c r="D466" s="1" t="s">
        <v>195</v>
      </c>
      <c r="E466" s="3">
        <v>43249.17</v>
      </c>
      <c r="F466" s="3">
        <f t="shared" si="14"/>
        <v>10929.065259000001</v>
      </c>
      <c r="G466" s="3">
        <f t="shared" si="15"/>
        <v>54178.235259000001</v>
      </c>
    </row>
    <row r="467" spans="1:7" x14ac:dyDescent="0.3">
      <c r="A467" t="s">
        <v>13039</v>
      </c>
      <c r="B467" t="s">
        <v>958</v>
      </c>
      <c r="C467" t="s">
        <v>959</v>
      </c>
      <c r="D467" s="1" t="s">
        <v>195</v>
      </c>
      <c r="E467" s="3">
        <v>42927.31</v>
      </c>
      <c r="F467" s="3">
        <f t="shared" si="14"/>
        <v>10847.731237000002</v>
      </c>
      <c r="G467" s="3">
        <f t="shared" si="15"/>
        <v>53775.041236999998</v>
      </c>
    </row>
    <row r="468" spans="1:7" x14ac:dyDescent="0.3">
      <c r="A468" t="s">
        <v>13039</v>
      </c>
      <c r="B468" t="s">
        <v>960</v>
      </c>
      <c r="C468" t="s">
        <v>961</v>
      </c>
      <c r="D468" s="1" t="s">
        <v>195</v>
      </c>
      <c r="E468" s="3">
        <v>44461.440000000002</v>
      </c>
      <c r="F468" s="3">
        <f t="shared" si="14"/>
        <v>11235.405888000003</v>
      </c>
      <c r="G468" s="3">
        <f t="shared" si="15"/>
        <v>55696.845888000003</v>
      </c>
    </row>
    <row r="469" spans="1:7" x14ac:dyDescent="0.3">
      <c r="A469" t="s">
        <v>13039</v>
      </c>
      <c r="B469" t="s">
        <v>962</v>
      </c>
      <c r="C469" t="s">
        <v>963</v>
      </c>
      <c r="D469" s="1" t="s">
        <v>195</v>
      </c>
      <c r="E469" s="3">
        <v>44129.52</v>
      </c>
      <c r="F469" s="3">
        <f t="shared" si="14"/>
        <v>11151.529704</v>
      </c>
      <c r="G469" s="3">
        <f t="shared" si="15"/>
        <v>55281.049703999997</v>
      </c>
    </row>
    <row r="470" spans="1:7" x14ac:dyDescent="0.3">
      <c r="A470" t="s">
        <v>13039</v>
      </c>
      <c r="B470" t="s">
        <v>964</v>
      </c>
      <c r="C470" t="s">
        <v>965</v>
      </c>
      <c r="D470" s="1" t="s">
        <v>195</v>
      </c>
      <c r="E470" s="3">
        <v>5656.84</v>
      </c>
      <c r="F470" s="3">
        <f t="shared" si="14"/>
        <v>1429.4834680000001</v>
      </c>
      <c r="G470" s="3">
        <f t="shared" si="15"/>
        <v>7086.3234680000005</v>
      </c>
    </row>
    <row r="471" spans="1:7" x14ac:dyDescent="0.3">
      <c r="A471" t="s">
        <v>13039</v>
      </c>
      <c r="B471" t="s">
        <v>966</v>
      </c>
      <c r="C471" t="s">
        <v>967</v>
      </c>
      <c r="D471" s="1" t="s">
        <v>195</v>
      </c>
      <c r="E471" s="3">
        <v>5111.8500000000004</v>
      </c>
      <c r="F471" s="3">
        <f t="shared" si="14"/>
        <v>1291.7644950000004</v>
      </c>
      <c r="G471" s="3">
        <f t="shared" si="15"/>
        <v>6403.6144950000007</v>
      </c>
    </row>
    <row r="472" spans="1:7" x14ac:dyDescent="0.3">
      <c r="A472" t="s">
        <v>13039</v>
      </c>
      <c r="B472" t="s">
        <v>968</v>
      </c>
      <c r="C472" t="s">
        <v>969</v>
      </c>
      <c r="D472" s="1" t="s">
        <v>195</v>
      </c>
      <c r="E472" s="3">
        <v>6181.1</v>
      </c>
      <c r="F472" s="3">
        <f t="shared" si="14"/>
        <v>1561.9639700000002</v>
      </c>
      <c r="G472" s="3">
        <f t="shared" si="15"/>
        <v>7743.0639700000011</v>
      </c>
    </row>
    <row r="473" spans="1:7" x14ac:dyDescent="0.3">
      <c r="A473" t="s">
        <v>13039</v>
      </c>
      <c r="B473" t="s">
        <v>970</v>
      </c>
      <c r="C473" t="s">
        <v>971</v>
      </c>
      <c r="D473" s="1" t="s">
        <v>195</v>
      </c>
      <c r="E473" s="3">
        <v>5636.11</v>
      </c>
      <c r="F473" s="3">
        <f t="shared" si="14"/>
        <v>1424.244997</v>
      </c>
      <c r="G473" s="3">
        <f t="shared" si="15"/>
        <v>7060.3549969999995</v>
      </c>
    </row>
    <row r="474" spans="1:7" x14ac:dyDescent="0.3">
      <c r="A474" t="s">
        <v>13039</v>
      </c>
      <c r="B474" t="s">
        <v>972</v>
      </c>
      <c r="C474" t="s">
        <v>973</v>
      </c>
      <c r="D474" s="1" t="s">
        <v>195</v>
      </c>
      <c r="E474" s="3">
        <v>7013.01</v>
      </c>
      <c r="F474" s="3">
        <f t="shared" si="14"/>
        <v>1772.1876270000002</v>
      </c>
      <c r="G474" s="3">
        <f t="shared" si="15"/>
        <v>8785.1976270000014</v>
      </c>
    </row>
    <row r="475" spans="1:7" x14ac:dyDescent="0.3">
      <c r="A475" t="s">
        <v>13039</v>
      </c>
      <c r="B475" t="s">
        <v>974</v>
      </c>
      <c r="C475" t="s">
        <v>975</v>
      </c>
      <c r="D475" s="1" t="s">
        <v>195</v>
      </c>
      <c r="E475" s="3">
        <v>6468.01</v>
      </c>
      <c r="F475" s="3">
        <f t="shared" si="14"/>
        <v>1634.4661270000004</v>
      </c>
      <c r="G475" s="3">
        <f t="shared" si="15"/>
        <v>8102.4761270000008</v>
      </c>
    </row>
    <row r="476" spans="1:7" x14ac:dyDescent="0.3">
      <c r="A476" t="s">
        <v>13039</v>
      </c>
      <c r="B476" t="s">
        <v>976</v>
      </c>
      <c r="C476" t="s">
        <v>977</v>
      </c>
      <c r="D476" s="1" t="s">
        <v>195</v>
      </c>
      <c r="E476" s="3">
        <v>5449.8</v>
      </c>
      <c r="F476" s="3">
        <f t="shared" si="14"/>
        <v>1377.1644600000002</v>
      </c>
      <c r="G476" s="3">
        <f t="shared" si="15"/>
        <v>6826.9644600000001</v>
      </c>
    </row>
    <row r="477" spans="1:7" x14ac:dyDescent="0.3">
      <c r="A477" t="s">
        <v>13039</v>
      </c>
      <c r="B477" t="s">
        <v>978</v>
      </c>
      <c r="C477" t="s">
        <v>979</v>
      </c>
      <c r="D477" s="1" t="s">
        <v>195</v>
      </c>
      <c r="E477" s="3">
        <v>4964.47</v>
      </c>
      <c r="F477" s="3">
        <f t="shared" si="14"/>
        <v>1254.5215690000002</v>
      </c>
      <c r="G477" s="3">
        <f t="shared" si="15"/>
        <v>6218.9915690000007</v>
      </c>
    </row>
    <row r="478" spans="1:7" x14ac:dyDescent="0.3">
      <c r="A478" t="s">
        <v>13039</v>
      </c>
      <c r="B478" t="s">
        <v>980</v>
      </c>
      <c r="C478" t="s">
        <v>981</v>
      </c>
      <c r="D478" s="1" t="s">
        <v>195</v>
      </c>
      <c r="E478" s="3">
        <v>5974.06</v>
      </c>
      <c r="F478" s="3">
        <f t="shared" si="14"/>
        <v>1509.6449620000003</v>
      </c>
      <c r="G478" s="3">
        <f t="shared" si="15"/>
        <v>7483.7049620000007</v>
      </c>
    </row>
    <row r="479" spans="1:7" x14ac:dyDescent="0.3">
      <c r="A479" t="s">
        <v>13039</v>
      </c>
      <c r="B479" t="s">
        <v>982</v>
      </c>
      <c r="C479" t="s">
        <v>983</v>
      </c>
      <c r="D479" s="1" t="s">
        <v>195</v>
      </c>
      <c r="E479" s="3">
        <v>5488.72</v>
      </c>
      <c r="F479" s="3">
        <f t="shared" si="14"/>
        <v>1386.9995440000002</v>
      </c>
      <c r="G479" s="3">
        <f t="shared" si="15"/>
        <v>6875.7195440000005</v>
      </c>
    </row>
    <row r="480" spans="1:7" x14ac:dyDescent="0.3">
      <c r="A480" t="s">
        <v>13039</v>
      </c>
      <c r="B480" t="s">
        <v>984</v>
      </c>
      <c r="C480" t="s">
        <v>985</v>
      </c>
      <c r="D480" s="1" t="s">
        <v>195</v>
      </c>
      <c r="E480" s="3">
        <v>6805.97</v>
      </c>
      <c r="F480" s="3">
        <f t="shared" si="14"/>
        <v>1719.8686190000003</v>
      </c>
      <c r="G480" s="3">
        <f t="shared" si="15"/>
        <v>8525.8386190000001</v>
      </c>
    </row>
    <row r="481" spans="1:7" x14ac:dyDescent="0.3">
      <c r="A481" t="s">
        <v>13039</v>
      </c>
      <c r="B481" t="s">
        <v>986</v>
      </c>
      <c r="C481" t="s">
        <v>987</v>
      </c>
      <c r="D481" s="1" t="s">
        <v>195</v>
      </c>
      <c r="E481" s="3">
        <v>6320.63</v>
      </c>
      <c r="F481" s="3">
        <f t="shared" si="14"/>
        <v>1597.2232010000002</v>
      </c>
      <c r="G481" s="3">
        <f t="shared" si="15"/>
        <v>7917.8532009999999</v>
      </c>
    </row>
    <row r="482" spans="1:7" x14ac:dyDescent="0.3">
      <c r="A482" t="s">
        <v>13039</v>
      </c>
      <c r="B482" t="s">
        <v>988</v>
      </c>
      <c r="C482" t="s">
        <v>989</v>
      </c>
      <c r="D482" s="1" t="s">
        <v>195</v>
      </c>
      <c r="E482" s="3">
        <v>6414.19</v>
      </c>
      <c r="F482" s="3">
        <f t="shared" si="14"/>
        <v>1620.8658130000001</v>
      </c>
      <c r="G482" s="3">
        <f t="shared" si="15"/>
        <v>8035.0558129999999</v>
      </c>
    </row>
    <row r="483" spans="1:7" x14ac:dyDescent="0.3">
      <c r="A483" t="s">
        <v>13039</v>
      </c>
      <c r="B483" t="s">
        <v>990</v>
      </c>
      <c r="C483" t="s">
        <v>991</v>
      </c>
      <c r="D483" s="1" t="s">
        <v>195</v>
      </c>
      <c r="E483" s="3">
        <v>5826.92</v>
      </c>
      <c r="F483" s="3">
        <f t="shared" si="14"/>
        <v>1472.4626840000003</v>
      </c>
      <c r="G483" s="3">
        <f t="shared" si="15"/>
        <v>7299.3826840000002</v>
      </c>
    </row>
    <row r="484" spans="1:7" x14ac:dyDescent="0.3">
      <c r="A484" t="s">
        <v>13039</v>
      </c>
      <c r="B484" t="s">
        <v>992</v>
      </c>
      <c r="C484" t="s">
        <v>993</v>
      </c>
      <c r="D484" s="1" t="s">
        <v>195</v>
      </c>
      <c r="E484" s="3">
        <v>7098.93</v>
      </c>
      <c r="F484" s="3">
        <f t="shared" si="14"/>
        <v>1793.8996110000003</v>
      </c>
      <c r="G484" s="3">
        <f t="shared" si="15"/>
        <v>8892.829611000001</v>
      </c>
    </row>
    <row r="485" spans="1:7" x14ac:dyDescent="0.3">
      <c r="A485" t="s">
        <v>13039</v>
      </c>
      <c r="B485" t="s">
        <v>994</v>
      </c>
      <c r="C485" t="s">
        <v>995</v>
      </c>
      <c r="D485" s="1" t="s">
        <v>195</v>
      </c>
      <c r="E485" s="3">
        <v>6511.67</v>
      </c>
      <c r="F485" s="3">
        <f t="shared" si="14"/>
        <v>1645.4990090000003</v>
      </c>
      <c r="G485" s="3">
        <f t="shared" si="15"/>
        <v>8157.1690090000002</v>
      </c>
    </row>
    <row r="486" spans="1:7" x14ac:dyDescent="0.3">
      <c r="A486" t="s">
        <v>13039</v>
      </c>
      <c r="B486" t="s">
        <v>996</v>
      </c>
      <c r="C486" t="s">
        <v>997</v>
      </c>
      <c r="D486" s="1" t="s">
        <v>195</v>
      </c>
      <c r="E486" s="3">
        <v>8185.51</v>
      </c>
      <c r="F486" s="3">
        <f t="shared" si="14"/>
        <v>2068.4783770000004</v>
      </c>
      <c r="G486" s="3">
        <f t="shared" si="15"/>
        <v>10253.988377000001</v>
      </c>
    </row>
    <row r="487" spans="1:7" x14ac:dyDescent="0.3">
      <c r="A487" t="s">
        <v>13039</v>
      </c>
      <c r="B487" t="s">
        <v>998</v>
      </c>
      <c r="C487" t="s">
        <v>999</v>
      </c>
      <c r="D487" s="1" t="s">
        <v>195</v>
      </c>
      <c r="E487" s="3">
        <v>7598.24</v>
      </c>
      <c r="F487" s="3">
        <f t="shared" si="14"/>
        <v>1920.0752480000003</v>
      </c>
      <c r="G487" s="3">
        <f t="shared" si="15"/>
        <v>9518.3152480000008</v>
      </c>
    </row>
    <row r="488" spans="1:7" x14ac:dyDescent="0.3">
      <c r="A488" t="s">
        <v>13039</v>
      </c>
      <c r="B488" t="s">
        <v>1000</v>
      </c>
      <c r="C488" t="s">
        <v>1001</v>
      </c>
      <c r="D488" s="1" t="s">
        <v>195</v>
      </c>
      <c r="E488" s="3">
        <v>6180.83</v>
      </c>
      <c r="F488" s="3">
        <f t="shared" si="14"/>
        <v>1561.8957410000003</v>
      </c>
      <c r="G488" s="3">
        <f t="shared" si="15"/>
        <v>7742.7257410000002</v>
      </c>
    </row>
    <row r="489" spans="1:7" x14ac:dyDescent="0.3">
      <c r="A489" t="s">
        <v>13039</v>
      </c>
      <c r="B489" t="s">
        <v>1002</v>
      </c>
      <c r="C489" t="s">
        <v>1003</v>
      </c>
      <c r="D489" s="1" t="s">
        <v>195</v>
      </c>
      <c r="E489" s="3">
        <v>5659.58</v>
      </c>
      <c r="F489" s="3">
        <f t="shared" si="14"/>
        <v>1430.1758660000003</v>
      </c>
      <c r="G489" s="3">
        <f t="shared" si="15"/>
        <v>7089.7558660000004</v>
      </c>
    </row>
    <row r="490" spans="1:7" x14ac:dyDescent="0.3">
      <c r="A490" t="s">
        <v>13039</v>
      </c>
      <c r="B490" t="s">
        <v>1004</v>
      </c>
      <c r="C490" t="s">
        <v>1005</v>
      </c>
      <c r="D490" s="1" t="s">
        <v>195</v>
      </c>
      <c r="E490" s="3">
        <v>6865.58</v>
      </c>
      <c r="F490" s="3">
        <f t="shared" si="14"/>
        <v>1734.9320660000003</v>
      </c>
      <c r="G490" s="3">
        <f t="shared" si="15"/>
        <v>8600.5120659999993</v>
      </c>
    </row>
    <row r="491" spans="1:7" x14ac:dyDescent="0.3">
      <c r="A491" t="s">
        <v>13039</v>
      </c>
      <c r="B491" t="s">
        <v>1006</v>
      </c>
      <c r="C491" t="s">
        <v>1007</v>
      </c>
      <c r="D491" s="1" t="s">
        <v>195</v>
      </c>
      <c r="E491" s="3">
        <v>6344.32</v>
      </c>
      <c r="F491" s="3">
        <f t="shared" si="14"/>
        <v>1603.2096640000002</v>
      </c>
      <c r="G491" s="3">
        <f t="shared" si="15"/>
        <v>7947.5296639999997</v>
      </c>
    </row>
    <row r="492" spans="1:7" x14ac:dyDescent="0.3">
      <c r="A492" t="s">
        <v>13039</v>
      </c>
      <c r="B492" t="s">
        <v>1008</v>
      </c>
      <c r="C492" t="s">
        <v>1009</v>
      </c>
      <c r="D492" s="1" t="s">
        <v>195</v>
      </c>
      <c r="E492" s="3">
        <v>7952.15</v>
      </c>
      <c r="F492" s="3">
        <f t="shared" si="14"/>
        <v>2009.5083050000003</v>
      </c>
      <c r="G492" s="3">
        <f t="shared" si="15"/>
        <v>9961.6583050000008</v>
      </c>
    </row>
    <row r="493" spans="1:7" x14ac:dyDescent="0.3">
      <c r="A493" t="s">
        <v>13039</v>
      </c>
      <c r="B493" t="s">
        <v>1010</v>
      </c>
      <c r="C493" t="s">
        <v>1011</v>
      </c>
      <c r="D493" s="1" t="s">
        <v>195</v>
      </c>
      <c r="E493" s="3">
        <v>7430.9</v>
      </c>
      <c r="F493" s="3">
        <f t="shared" si="14"/>
        <v>1877.7884300000001</v>
      </c>
      <c r="G493" s="3">
        <f t="shared" si="15"/>
        <v>9308.6884300000002</v>
      </c>
    </row>
    <row r="494" spans="1:7" x14ac:dyDescent="0.3">
      <c r="A494" t="s">
        <v>13039</v>
      </c>
      <c r="B494" t="s">
        <v>1012</v>
      </c>
      <c r="C494" t="s">
        <v>1013</v>
      </c>
      <c r="D494" s="1" t="s">
        <v>195</v>
      </c>
      <c r="E494" s="3">
        <v>7691.8</v>
      </c>
      <c r="F494" s="3">
        <f t="shared" si="14"/>
        <v>1943.7178600000004</v>
      </c>
      <c r="G494" s="3">
        <f t="shared" si="15"/>
        <v>9635.5178599999999</v>
      </c>
    </row>
    <row r="495" spans="1:7" x14ac:dyDescent="0.3">
      <c r="A495" t="s">
        <v>13039</v>
      </c>
      <c r="B495" t="s">
        <v>1014</v>
      </c>
      <c r="C495" t="s">
        <v>1015</v>
      </c>
      <c r="D495" s="1" t="s">
        <v>195</v>
      </c>
      <c r="E495" s="3">
        <v>7074.15</v>
      </c>
      <c r="F495" s="3">
        <f t="shared" si="14"/>
        <v>1787.6377050000001</v>
      </c>
      <c r="G495" s="3">
        <f t="shared" si="15"/>
        <v>8861.7877049999988</v>
      </c>
    </row>
    <row r="496" spans="1:7" x14ac:dyDescent="0.3">
      <c r="A496" t="s">
        <v>13039</v>
      </c>
      <c r="B496" t="s">
        <v>1016</v>
      </c>
      <c r="C496" t="s">
        <v>1017</v>
      </c>
      <c r="D496" s="1" t="s">
        <v>195</v>
      </c>
      <c r="E496" s="3">
        <v>8558.43</v>
      </c>
      <c r="F496" s="3">
        <f t="shared" si="14"/>
        <v>2162.7152610000003</v>
      </c>
      <c r="G496" s="3">
        <f t="shared" si="15"/>
        <v>10721.145261000001</v>
      </c>
    </row>
    <row r="497" spans="1:7" x14ac:dyDescent="0.3">
      <c r="A497" t="s">
        <v>13039</v>
      </c>
      <c r="B497" t="s">
        <v>1018</v>
      </c>
      <c r="C497" t="s">
        <v>1019</v>
      </c>
      <c r="D497" s="1" t="s">
        <v>195</v>
      </c>
      <c r="E497" s="3">
        <v>7940.78</v>
      </c>
      <c r="F497" s="3">
        <f t="shared" si="14"/>
        <v>2006.6351060000002</v>
      </c>
      <c r="G497" s="3">
        <f t="shared" si="15"/>
        <v>9947.4151060000004</v>
      </c>
    </row>
    <row r="498" spans="1:7" x14ac:dyDescent="0.3">
      <c r="A498" t="s">
        <v>13039</v>
      </c>
      <c r="B498" t="s">
        <v>1020</v>
      </c>
      <c r="C498" t="s">
        <v>1021</v>
      </c>
      <c r="D498" s="1" t="s">
        <v>195</v>
      </c>
      <c r="E498" s="3">
        <v>9933.6200000000008</v>
      </c>
      <c r="F498" s="3">
        <f t="shared" si="14"/>
        <v>2510.2257740000005</v>
      </c>
      <c r="G498" s="3">
        <f t="shared" si="15"/>
        <v>12443.845774000001</v>
      </c>
    </row>
    <row r="499" spans="1:7" x14ac:dyDescent="0.3">
      <c r="A499" t="s">
        <v>13039</v>
      </c>
      <c r="B499" t="s">
        <v>1022</v>
      </c>
      <c r="C499" t="s">
        <v>1023</v>
      </c>
      <c r="D499" s="1" t="s">
        <v>195</v>
      </c>
      <c r="E499" s="3">
        <v>9315.9699999999993</v>
      </c>
      <c r="F499" s="3">
        <f t="shared" si="14"/>
        <v>2354.1456190000004</v>
      </c>
      <c r="G499" s="3">
        <f t="shared" si="15"/>
        <v>11670.115619</v>
      </c>
    </row>
    <row r="500" spans="1:7" x14ac:dyDescent="0.3">
      <c r="A500" t="s">
        <v>13039</v>
      </c>
      <c r="B500" t="s">
        <v>1024</v>
      </c>
      <c r="C500" t="s">
        <v>1025</v>
      </c>
      <c r="D500" s="1" t="s">
        <v>195</v>
      </c>
      <c r="E500" s="3">
        <v>7419.83</v>
      </c>
      <c r="F500" s="3">
        <f t="shared" si="14"/>
        <v>1874.9910410000002</v>
      </c>
      <c r="G500" s="3">
        <f t="shared" si="15"/>
        <v>9294.8210409999992</v>
      </c>
    </row>
    <row r="501" spans="1:7" x14ac:dyDescent="0.3">
      <c r="A501" t="s">
        <v>13039</v>
      </c>
      <c r="B501" t="s">
        <v>1026</v>
      </c>
      <c r="C501" t="s">
        <v>1027</v>
      </c>
      <c r="D501" s="1" t="s">
        <v>195</v>
      </c>
      <c r="E501" s="3">
        <v>6876.09</v>
      </c>
      <c r="F501" s="3">
        <f t="shared" si="14"/>
        <v>1737.5879430000002</v>
      </c>
      <c r="G501" s="3">
        <f t="shared" si="15"/>
        <v>8613.6779430000006</v>
      </c>
    </row>
    <row r="502" spans="1:7" x14ac:dyDescent="0.3">
      <c r="A502" t="s">
        <v>13039</v>
      </c>
      <c r="B502" t="s">
        <v>1028</v>
      </c>
      <c r="C502" t="s">
        <v>1029</v>
      </c>
      <c r="D502" s="1" t="s">
        <v>195</v>
      </c>
      <c r="E502" s="3">
        <v>8286.4599999999991</v>
      </c>
      <c r="F502" s="3">
        <f t="shared" si="14"/>
        <v>2093.9884419999998</v>
      </c>
      <c r="G502" s="3">
        <f t="shared" si="15"/>
        <v>10380.448441999999</v>
      </c>
    </row>
    <row r="503" spans="1:7" x14ac:dyDescent="0.3">
      <c r="A503" t="s">
        <v>13039</v>
      </c>
      <c r="B503" t="s">
        <v>1030</v>
      </c>
      <c r="C503" t="s">
        <v>1031</v>
      </c>
      <c r="D503" s="1" t="s">
        <v>195</v>
      </c>
      <c r="E503" s="3">
        <v>7742.72</v>
      </c>
      <c r="F503" s="3">
        <f t="shared" si="14"/>
        <v>1956.5853440000003</v>
      </c>
      <c r="G503" s="3">
        <f t="shared" si="15"/>
        <v>9699.3053440000003</v>
      </c>
    </row>
    <row r="504" spans="1:7" x14ac:dyDescent="0.3">
      <c r="A504" t="s">
        <v>13039</v>
      </c>
      <c r="B504" t="s">
        <v>1032</v>
      </c>
      <c r="C504" t="s">
        <v>1033</v>
      </c>
      <c r="D504" s="1" t="s">
        <v>195</v>
      </c>
      <c r="E504" s="3">
        <v>9661.66</v>
      </c>
      <c r="F504" s="3">
        <f t="shared" si="14"/>
        <v>2441.5014820000001</v>
      </c>
      <c r="G504" s="3">
        <f t="shared" si="15"/>
        <v>12103.161482</v>
      </c>
    </row>
    <row r="505" spans="1:7" x14ac:dyDescent="0.3">
      <c r="A505" t="s">
        <v>13039</v>
      </c>
      <c r="B505" t="s">
        <v>1034</v>
      </c>
      <c r="C505" t="s">
        <v>1035</v>
      </c>
      <c r="D505" s="1" t="s">
        <v>195</v>
      </c>
      <c r="E505" s="3">
        <v>9117.92</v>
      </c>
      <c r="F505" s="3">
        <f t="shared" si="14"/>
        <v>2304.0983840000004</v>
      </c>
      <c r="G505" s="3">
        <f t="shared" si="15"/>
        <v>11422.018384000001</v>
      </c>
    </row>
    <row r="506" spans="1:7" x14ac:dyDescent="0.3">
      <c r="A506" t="s">
        <v>13039</v>
      </c>
      <c r="B506" t="s">
        <v>1036</v>
      </c>
      <c r="C506" t="s">
        <v>1037</v>
      </c>
      <c r="D506" s="1" t="s">
        <v>195</v>
      </c>
      <c r="E506" s="3">
        <v>8740.43</v>
      </c>
      <c r="F506" s="3">
        <f t="shared" si="14"/>
        <v>2208.7066610000002</v>
      </c>
      <c r="G506" s="3">
        <f t="shared" si="15"/>
        <v>10949.136661</v>
      </c>
    </row>
    <row r="507" spans="1:7" x14ac:dyDescent="0.3">
      <c r="A507" t="s">
        <v>13039</v>
      </c>
      <c r="B507" t="s">
        <v>1038</v>
      </c>
      <c r="C507" t="s">
        <v>1039</v>
      </c>
      <c r="D507" s="1" t="s">
        <v>195</v>
      </c>
      <c r="E507" s="3">
        <v>8028.21</v>
      </c>
      <c r="F507" s="3">
        <f t="shared" si="14"/>
        <v>2028.7286670000003</v>
      </c>
      <c r="G507" s="3">
        <f t="shared" si="15"/>
        <v>10056.938667</v>
      </c>
    </row>
    <row r="508" spans="1:7" x14ac:dyDescent="0.3">
      <c r="A508" t="s">
        <v>13039</v>
      </c>
      <c r="B508" t="s">
        <v>1040</v>
      </c>
      <c r="C508" t="s">
        <v>1041</v>
      </c>
      <c r="D508" s="1" t="s">
        <v>195</v>
      </c>
      <c r="E508" s="3">
        <v>9810.34</v>
      </c>
      <c r="F508" s="3">
        <f t="shared" si="14"/>
        <v>2479.0729180000003</v>
      </c>
      <c r="G508" s="3">
        <f t="shared" si="15"/>
        <v>12289.412918</v>
      </c>
    </row>
    <row r="509" spans="1:7" x14ac:dyDescent="0.3">
      <c r="A509" t="s">
        <v>13039</v>
      </c>
      <c r="B509" t="s">
        <v>1042</v>
      </c>
      <c r="C509" t="s">
        <v>1043</v>
      </c>
      <c r="D509" s="1" t="s">
        <v>195</v>
      </c>
      <c r="E509" s="3">
        <v>9098.1299999999992</v>
      </c>
      <c r="F509" s="3">
        <f t="shared" si="14"/>
        <v>2299.0974510000001</v>
      </c>
      <c r="G509" s="3">
        <f t="shared" si="15"/>
        <v>11397.227450999999</v>
      </c>
    </row>
    <row r="510" spans="1:7" x14ac:dyDescent="0.3">
      <c r="A510" t="s">
        <v>13039</v>
      </c>
      <c r="B510" t="s">
        <v>1044</v>
      </c>
      <c r="C510" t="s">
        <v>1045</v>
      </c>
      <c r="D510" s="1" t="s">
        <v>195</v>
      </c>
      <c r="E510" s="3">
        <v>11508.12</v>
      </c>
      <c r="F510" s="3">
        <f t="shared" si="14"/>
        <v>2908.1019240000005</v>
      </c>
      <c r="G510" s="3">
        <f t="shared" si="15"/>
        <v>14416.221924000001</v>
      </c>
    </row>
    <row r="511" spans="1:7" x14ac:dyDescent="0.3">
      <c r="A511" t="s">
        <v>13039</v>
      </c>
      <c r="B511" t="s">
        <v>1046</v>
      </c>
      <c r="C511" t="s">
        <v>1047</v>
      </c>
      <c r="D511" s="1" t="s">
        <v>195</v>
      </c>
      <c r="E511" s="3">
        <v>10795.9</v>
      </c>
      <c r="F511" s="3">
        <f t="shared" si="14"/>
        <v>2728.1239300000002</v>
      </c>
      <c r="G511" s="3">
        <f t="shared" si="15"/>
        <v>13524.023929999999</v>
      </c>
    </row>
    <row r="512" spans="1:7" x14ac:dyDescent="0.3">
      <c r="A512" t="s">
        <v>13039</v>
      </c>
      <c r="B512" t="s">
        <v>1048</v>
      </c>
      <c r="C512" t="s">
        <v>1049</v>
      </c>
      <c r="D512" s="1" t="s">
        <v>195</v>
      </c>
      <c r="E512" s="3">
        <v>8429.8700000000008</v>
      </c>
      <c r="F512" s="3">
        <f t="shared" si="14"/>
        <v>2130.2281490000005</v>
      </c>
      <c r="G512" s="3">
        <f t="shared" si="15"/>
        <v>10560.098149000001</v>
      </c>
    </row>
    <row r="513" spans="1:7" x14ac:dyDescent="0.3">
      <c r="A513" t="s">
        <v>13039</v>
      </c>
      <c r="B513" t="s">
        <v>1050</v>
      </c>
      <c r="C513" t="s">
        <v>1051</v>
      </c>
      <c r="D513" s="1" t="s">
        <v>195</v>
      </c>
      <c r="E513" s="3">
        <v>7802.53</v>
      </c>
      <c r="F513" s="3">
        <f t="shared" si="14"/>
        <v>1971.6993310000003</v>
      </c>
      <c r="G513" s="3">
        <f t="shared" si="15"/>
        <v>9774.2293310000005</v>
      </c>
    </row>
    <row r="514" spans="1:7" x14ac:dyDescent="0.3">
      <c r="A514" t="s">
        <v>13039</v>
      </c>
      <c r="B514" t="s">
        <v>1052</v>
      </c>
      <c r="C514" t="s">
        <v>1053</v>
      </c>
      <c r="D514" s="1" t="s">
        <v>195</v>
      </c>
      <c r="E514" s="3">
        <v>9499.7800000000007</v>
      </c>
      <c r="F514" s="3">
        <f t="shared" si="14"/>
        <v>2400.5944060000006</v>
      </c>
      <c r="G514" s="3">
        <f t="shared" si="15"/>
        <v>11900.374406000001</v>
      </c>
    </row>
    <row r="515" spans="1:7" x14ac:dyDescent="0.3">
      <c r="A515" t="s">
        <v>13039</v>
      </c>
      <c r="B515" t="s">
        <v>1054</v>
      </c>
      <c r="C515" t="s">
        <v>1055</v>
      </c>
      <c r="D515" s="1" t="s">
        <v>195</v>
      </c>
      <c r="E515" s="3">
        <v>8872.44</v>
      </c>
      <c r="F515" s="3">
        <f t="shared" si="14"/>
        <v>2242.0655880000004</v>
      </c>
      <c r="G515" s="3">
        <f t="shared" si="15"/>
        <v>11114.505588</v>
      </c>
    </row>
    <row r="516" spans="1:7" x14ac:dyDescent="0.3">
      <c r="A516" t="s">
        <v>13039</v>
      </c>
      <c r="B516" t="s">
        <v>1056</v>
      </c>
      <c r="C516" t="s">
        <v>1057</v>
      </c>
      <c r="D516" s="1" t="s">
        <v>195</v>
      </c>
      <c r="E516" s="3">
        <v>11197.56</v>
      </c>
      <c r="F516" s="3">
        <f t="shared" si="14"/>
        <v>2829.6234120000004</v>
      </c>
      <c r="G516" s="3">
        <f t="shared" si="15"/>
        <v>14027.183412</v>
      </c>
    </row>
    <row r="517" spans="1:7" x14ac:dyDescent="0.3">
      <c r="A517" t="s">
        <v>13039</v>
      </c>
      <c r="B517" t="s">
        <v>1058</v>
      </c>
      <c r="C517" t="s">
        <v>1059</v>
      </c>
      <c r="D517" s="1" t="s">
        <v>195</v>
      </c>
      <c r="E517" s="3">
        <v>10570.21</v>
      </c>
      <c r="F517" s="3">
        <f t="shared" si="14"/>
        <v>2671.092067</v>
      </c>
      <c r="G517" s="3">
        <f t="shared" si="15"/>
        <v>13241.302066999999</v>
      </c>
    </row>
    <row r="518" spans="1:7" x14ac:dyDescent="0.3">
      <c r="A518" t="s">
        <v>13039</v>
      </c>
      <c r="B518" t="s">
        <v>1060</v>
      </c>
      <c r="C518" t="s">
        <v>1061</v>
      </c>
      <c r="D518" s="1" t="s">
        <v>195</v>
      </c>
      <c r="E518" s="3">
        <v>9904.8700000000008</v>
      </c>
      <c r="F518" s="3">
        <f t="shared" si="14"/>
        <v>2502.9606490000006</v>
      </c>
      <c r="G518" s="3">
        <f t="shared" si="15"/>
        <v>12407.830649000001</v>
      </c>
    </row>
    <row r="519" spans="1:7" x14ac:dyDescent="0.3">
      <c r="A519" t="s">
        <v>13039</v>
      </c>
      <c r="B519" t="s">
        <v>1062</v>
      </c>
      <c r="C519" t="s">
        <v>1063</v>
      </c>
      <c r="D519" s="1" t="s">
        <v>195</v>
      </c>
      <c r="E519" s="3">
        <v>9121.94</v>
      </c>
      <c r="F519" s="3">
        <f t="shared" ref="F519:F582" si="16">+E519*$F$4</f>
        <v>2305.1142380000006</v>
      </c>
      <c r="G519" s="3">
        <f t="shared" ref="G519:G582" si="17">+E519+F519</f>
        <v>11427.054238000001</v>
      </c>
    </row>
    <row r="520" spans="1:7" x14ac:dyDescent="0.3">
      <c r="A520" t="s">
        <v>13039</v>
      </c>
      <c r="B520" t="s">
        <v>1064</v>
      </c>
      <c r="C520" t="s">
        <v>1065</v>
      </c>
      <c r="D520" s="1" t="s">
        <v>195</v>
      </c>
      <c r="E520" s="3">
        <v>11199.47</v>
      </c>
      <c r="F520" s="3">
        <f t="shared" si="16"/>
        <v>2830.1060690000004</v>
      </c>
      <c r="G520" s="3">
        <f t="shared" si="17"/>
        <v>14029.576068999999</v>
      </c>
    </row>
    <row r="521" spans="1:7" x14ac:dyDescent="0.3">
      <c r="A521" t="s">
        <v>13039</v>
      </c>
      <c r="B521" t="s">
        <v>1066</v>
      </c>
      <c r="C521" t="s">
        <v>1067</v>
      </c>
      <c r="D521" s="1" t="s">
        <v>195</v>
      </c>
      <c r="E521" s="3">
        <v>10416.540000000001</v>
      </c>
      <c r="F521" s="3">
        <f t="shared" si="16"/>
        <v>2632.2596580000004</v>
      </c>
      <c r="G521" s="3">
        <f t="shared" si="17"/>
        <v>13048.799658000002</v>
      </c>
    </row>
    <row r="522" spans="1:7" x14ac:dyDescent="0.3">
      <c r="A522" t="s">
        <v>13039</v>
      </c>
      <c r="B522" t="s">
        <v>1068</v>
      </c>
      <c r="C522" t="s">
        <v>1069</v>
      </c>
      <c r="D522" s="1" t="s">
        <v>195</v>
      </c>
      <c r="E522" s="3">
        <v>13253.78</v>
      </c>
      <c r="F522" s="3">
        <f t="shared" si="16"/>
        <v>3349.2302060000006</v>
      </c>
      <c r="G522" s="3">
        <f t="shared" si="17"/>
        <v>16603.010206000003</v>
      </c>
    </row>
    <row r="523" spans="1:7" x14ac:dyDescent="0.3">
      <c r="A523" t="s">
        <v>13039</v>
      </c>
      <c r="B523" t="s">
        <v>1070</v>
      </c>
      <c r="C523" t="s">
        <v>1071</v>
      </c>
      <c r="D523" s="1" t="s">
        <v>195</v>
      </c>
      <c r="E523" s="3">
        <v>12470.85</v>
      </c>
      <c r="F523" s="3">
        <f t="shared" si="16"/>
        <v>3151.3837950000006</v>
      </c>
      <c r="G523" s="3">
        <f t="shared" si="17"/>
        <v>15622.233795</v>
      </c>
    </row>
    <row r="524" spans="1:7" x14ac:dyDescent="0.3">
      <c r="A524" t="s">
        <v>13039</v>
      </c>
      <c r="B524" t="s">
        <v>1072</v>
      </c>
      <c r="C524" t="s">
        <v>1073</v>
      </c>
      <c r="D524" s="1" t="s">
        <v>195</v>
      </c>
      <c r="E524" s="3">
        <v>9562.73</v>
      </c>
      <c r="F524" s="3">
        <f t="shared" si="16"/>
        <v>2416.5018710000004</v>
      </c>
      <c r="G524" s="3">
        <f t="shared" si="17"/>
        <v>11979.231871</v>
      </c>
    </row>
    <row r="525" spans="1:7" x14ac:dyDescent="0.3">
      <c r="A525" t="s">
        <v>13039</v>
      </c>
      <c r="B525" t="s">
        <v>1074</v>
      </c>
      <c r="C525" t="s">
        <v>1075</v>
      </c>
      <c r="D525" s="1" t="s">
        <v>195</v>
      </c>
      <c r="E525" s="3">
        <v>8873.23</v>
      </c>
      <c r="F525" s="3">
        <f t="shared" si="16"/>
        <v>2242.2652210000001</v>
      </c>
      <c r="G525" s="3">
        <f t="shared" si="17"/>
        <v>11115.495220999999</v>
      </c>
    </row>
    <row r="526" spans="1:7" x14ac:dyDescent="0.3">
      <c r="A526" t="s">
        <v>13039</v>
      </c>
      <c r="B526" t="s">
        <v>1076</v>
      </c>
      <c r="C526" t="s">
        <v>1077</v>
      </c>
      <c r="D526" s="1" t="s">
        <v>195</v>
      </c>
      <c r="E526" s="3">
        <v>10857.33</v>
      </c>
      <c r="F526" s="3">
        <f t="shared" si="16"/>
        <v>2743.6472910000002</v>
      </c>
      <c r="G526" s="3">
        <f t="shared" si="17"/>
        <v>13600.977290999999</v>
      </c>
    </row>
    <row r="527" spans="1:7" x14ac:dyDescent="0.3">
      <c r="A527" t="s">
        <v>13039</v>
      </c>
      <c r="B527" t="s">
        <v>1078</v>
      </c>
      <c r="C527" t="s">
        <v>1079</v>
      </c>
      <c r="D527" s="1" t="s">
        <v>195</v>
      </c>
      <c r="E527" s="3">
        <v>10167.83</v>
      </c>
      <c r="F527" s="3">
        <f t="shared" si="16"/>
        <v>2569.4106410000004</v>
      </c>
      <c r="G527" s="3">
        <f t="shared" si="17"/>
        <v>12737.240641</v>
      </c>
    </row>
    <row r="528" spans="1:7" x14ac:dyDescent="0.3">
      <c r="A528" t="s">
        <v>13039</v>
      </c>
      <c r="B528" t="s">
        <v>1080</v>
      </c>
      <c r="C528" t="s">
        <v>1081</v>
      </c>
      <c r="D528" s="1" t="s">
        <v>195</v>
      </c>
      <c r="E528" s="3">
        <v>12911.63</v>
      </c>
      <c r="F528" s="3">
        <f t="shared" si="16"/>
        <v>3262.7689010000004</v>
      </c>
      <c r="G528" s="3">
        <f t="shared" si="17"/>
        <v>16174.398901</v>
      </c>
    </row>
    <row r="529" spans="1:7" x14ac:dyDescent="0.3">
      <c r="A529" t="s">
        <v>13039</v>
      </c>
      <c r="B529" t="s">
        <v>1082</v>
      </c>
      <c r="C529" t="s">
        <v>1083</v>
      </c>
      <c r="D529" s="1" t="s">
        <v>195</v>
      </c>
      <c r="E529" s="3">
        <v>12222.14</v>
      </c>
      <c r="F529" s="3">
        <f t="shared" si="16"/>
        <v>3088.5347780000002</v>
      </c>
      <c r="G529" s="3">
        <f t="shared" si="17"/>
        <v>15310.674778000001</v>
      </c>
    </row>
    <row r="530" spans="1:7" x14ac:dyDescent="0.3">
      <c r="A530" t="s">
        <v>13039</v>
      </c>
      <c r="B530" t="s">
        <v>1084</v>
      </c>
      <c r="C530" t="s">
        <v>1085</v>
      </c>
      <c r="D530" s="1" t="s">
        <v>195</v>
      </c>
      <c r="E530" s="3">
        <v>12608.96</v>
      </c>
      <c r="F530" s="3">
        <f t="shared" si="16"/>
        <v>3186.2841920000001</v>
      </c>
      <c r="G530" s="3">
        <f t="shared" si="17"/>
        <v>15795.244191999998</v>
      </c>
    </row>
    <row r="531" spans="1:7" x14ac:dyDescent="0.3">
      <c r="A531" t="s">
        <v>13039</v>
      </c>
      <c r="B531" t="s">
        <v>1086</v>
      </c>
      <c r="C531" t="s">
        <v>1087</v>
      </c>
      <c r="D531" s="1" t="s">
        <v>195</v>
      </c>
      <c r="E531" s="3">
        <v>10359.540000000001</v>
      </c>
      <c r="F531" s="3">
        <f t="shared" si="16"/>
        <v>2617.8557580000006</v>
      </c>
      <c r="G531" s="3">
        <f t="shared" si="17"/>
        <v>12977.395758000002</v>
      </c>
    </row>
    <row r="532" spans="1:7" x14ac:dyDescent="0.3">
      <c r="A532" t="s">
        <v>13039</v>
      </c>
      <c r="B532" t="s">
        <v>1088</v>
      </c>
      <c r="C532" t="s">
        <v>1089</v>
      </c>
      <c r="D532" s="1" t="s">
        <v>195</v>
      </c>
      <c r="E532" s="3">
        <v>14149.64</v>
      </c>
      <c r="F532" s="3">
        <f t="shared" si="16"/>
        <v>3575.6140280000004</v>
      </c>
      <c r="G532" s="3">
        <f t="shared" si="17"/>
        <v>17725.254027999999</v>
      </c>
    </row>
    <row r="533" spans="1:7" x14ac:dyDescent="0.3">
      <c r="A533" t="s">
        <v>13039</v>
      </c>
      <c r="B533" t="s">
        <v>1090</v>
      </c>
      <c r="C533" t="s">
        <v>1091</v>
      </c>
      <c r="D533" s="1" t="s">
        <v>195</v>
      </c>
      <c r="E533" s="3">
        <v>11900.21</v>
      </c>
      <c r="F533" s="3">
        <f t="shared" si="16"/>
        <v>3007.1830670000004</v>
      </c>
      <c r="G533" s="3">
        <f t="shared" si="17"/>
        <v>14907.393066999999</v>
      </c>
    </row>
    <row r="534" spans="1:7" x14ac:dyDescent="0.3">
      <c r="A534" t="s">
        <v>13039</v>
      </c>
      <c r="B534" t="s">
        <v>1092</v>
      </c>
      <c r="C534" t="s">
        <v>1093</v>
      </c>
      <c r="D534" s="1" t="s">
        <v>195</v>
      </c>
      <c r="E534" s="3">
        <v>16594.43</v>
      </c>
      <c r="F534" s="3">
        <f t="shared" si="16"/>
        <v>4193.4124610000008</v>
      </c>
      <c r="G534" s="3">
        <f t="shared" si="17"/>
        <v>20787.842461</v>
      </c>
    </row>
    <row r="535" spans="1:7" x14ac:dyDescent="0.3">
      <c r="A535" t="s">
        <v>13039</v>
      </c>
      <c r="B535" t="s">
        <v>1094</v>
      </c>
      <c r="C535" t="s">
        <v>1095</v>
      </c>
      <c r="D535" s="1" t="s">
        <v>195</v>
      </c>
      <c r="E535" s="3">
        <v>14345.01</v>
      </c>
      <c r="F535" s="3">
        <f t="shared" si="16"/>
        <v>3624.9840270000004</v>
      </c>
      <c r="G535" s="3">
        <f t="shared" si="17"/>
        <v>17969.994027000001</v>
      </c>
    </row>
    <row r="536" spans="1:7" x14ac:dyDescent="0.3">
      <c r="A536" t="s">
        <v>13039</v>
      </c>
      <c r="B536" t="s">
        <v>1096</v>
      </c>
      <c r="C536" t="s">
        <v>1097</v>
      </c>
      <c r="D536" s="1" t="s">
        <v>195</v>
      </c>
      <c r="E536" s="3">
        <v>12059.97</v>
      </c>
      <c r="F536" s="3">
        <f t="shared" si="16"/>
        <v>3047.5544190000001</v>
      </c>
      <c r="G536" s="3">
        <f t="shared" si="17"/>
        <v>15107.524418999999</v>
      </c>
    </row>
    <row r="537" spans="1:7" x14ac:dyDescent="0.3">
      <c r="A537" t="s">
        <v>13039</v>
      </c>
      <c r="B537" t="s">
        <v>1098</v>
      </c>
      <c r="C537" t="s">
        <v>1099</v>
      </c>
      <c r="D537" s="1" t="s">
        <v>195</v>
      </c>
      <c r="E537" s="3">
        <v>10084.719999999999</v>
      </c>
      <c r="F537" s="3">
        <f t="shared" si="16"/>
        <v>2548.4087440000003</v>
      </c>
      <c r="G537" s="3">
        <f t="shared" si="17"/>
        <v>12633.128744</v>
      </c>
    </row>
    <row r="538" spans="1:7" x14ac:dyDescent="0.3">
      <c r="A538" t="s">
        <v>13039</v>
      </c>
      <c r="B538" t="s">
        <v>1100</v>
      </c>
      <c r="C538" t="s">
        <v>1101</v>
      </c>
      <c r="D538" s="1" t="s">
        <v>195</v>
      </c>
      <c r="E538" s="3">
        <v>13600.65</v>
      </c>
      <c r="F538" s="3">
        <f t="shared" si="16"/>
        <v>3436.8842550000004</v>
      </c>
      <c r="G538" s="3">
        <f t="shared" si="17"/>
        <v>17037.534254999999</v>
      </c>
    </row>
    <row r="539" spans="1:7" x14ac:dyDescent="0.3">
      <c r="A539" t="s">
        <v>13039</v>
      </c>
      <c r="B539" t="s">
        <v>1102</v>
      </c>
      <c r="C539" t="s">
        <v>1103</v>
      </c>
      <c r="D539" s="1" t="s">
        <v>195</v>
      </c>
      <c r="E539" s="3">
        <v>11625.4</v>
      </c>
      <c r="F539" s="3">
        <f t="shared" si="16"/>
        <v>2937.7385800000002</v>
      </c>
      <c r="G539" s="3">
        <f t="shared" si="17"/>
        <v>14563.138579999999</v>
      </c>
    </row>
    <row r="540" spans="1:7" x14ac:dyDescent="0.3">
      <c r="A540" t="s">
        <v>13039</v>
      </c>
      <c r="B540" t="s">
        <v>1104</v>
      </c>
      <c r="C540" t="s">
        <v>1105</v>
      </c>
      <c r="D540" s="1" t="s">
        <v>195</v>
      </c>
      <c r="E540" s="3">
        <v>16045.44</v>
      </c>
      <c r="F540" s="3">
        <f t="shared" si="16"/>
        <v>4054.6826880000008</v>
      </c>
      <c r="G540" s="3">
        <f t="shared" si="17"/>
        <v>20100.122688000003</v>
      </c>
    </row>
    <row r="541" spans="1:7" x14ac:dyDescent="0.3">
      <c r="A541" t="s">
        <v>13039</v>
      </c>
      <c r="B541" t="s">
        <v>1106</v>
      </c>
      <c r="C541" t="s">
        <v>1107</v>
      </c>
      <c r="D541" s="1" t="s">
        <v>195</v>
      </c>
      <c r="E541" s="3">
        <v>14070.19</v>
      </c>
      <c r="F541" s="3">
        <f t="shared" si="16"/>
        <v>3555.5370130000006</v>
      </c>
      <c r="G541" s="3">
        <f t="shared" si="17"/>
        <v>17625.727013</v>
      </c>
    </row>
    <row r="542" spans="1:7" x14ac:dyDescent="0.3">
      <c r="A542" t="s">
        <v>13039</v>
      </c>
      <c r="B542" t="s">
        <v>1108</v>
      </c>
      <c r="C542" t="s">
        <v>1109</v>
      </c>
      <c r="D542" s="1" t="s">
        <v>195</v>
      </c>
      <c r="E542" s="3">
        <v>13850.07</v>
      </c>
      <c r="F542" s="3">
        <f t="shared" si="16"/>
        <v>3499.9126890000002</v>
      </c>
      <c r="G542" s="3">
        <f t="shared" si="17"/>
        <v>17349.982689</v>
      </c>
    </row>
    <row r="543" spans="1:7" x14ac:dyDescent="0.3">
      <c r="A543" t="s">
        <v>13039</v>
      </c>
      <c r="B543" t="s">
        <v>1110</v>
      </c>
      <c r="C543" t="s">
        <v>1111</v>
      </c>
      <c r="D543" s="1" t="s">
        <v>195</v>
      </c>
      <c r="E543" s="3">
        <v>11389.84</v>
      </c>
      <c r="F543" s="3">
        <f t="shared" si="16"/>
        <v>2878.2125680000004</v>
      </c>
      <c r="G543" s="3">
        <f t="shared" si="17"/>
        <v>14268.052568000001</v>
      </c>
    </row>
    <row r="544" spans="1:7" x14ac:dyDescent="0.3">
      <c r="A544" t="s">
        <v>13039</v>
      </c>
      <c r="B544" t="s">
        <v>1112</v>
      </c>
      <c r="C544" t="s">
        <v>1113</v>
      </c>
      <c r="D544" s="1" t="s">
        <v>195</v>
      </c>
      <c r="E544" s="3">
        <v>15658.23</v>
      </c>
      <c r="F544" s="3">
        <f t="shared" si="16"/>
        <v>3956.8347210000006</v>
      </c>
      <c r="G544" s="3">
        <f t="shared" si="17"/>
        <v>19615.064720999999</v>
      </c>
    </row>
    <row r="545" spans="1:7" x14ac:dyDescent="0.3">
      <c r="A545" t="s">
        <v>13039</v>
      </c>
      <c r="B545" t="s">
        <v>1114</v>
      </c>
      <c r="C545" t="s">
        <v>1115</v>
      </c>
      <c r="D545" s="1" t="s">
        <v>195</v>
      </c>
      <c r="E545" s="3">
        <v>13198</v>
      </c>
      <c r="F545" s="3">
        <f t="shared" si="16"/>
        <v>3335.1346000000003</v>
      </c>
      <c r="G545" s="3">
        <f t="shared" si="17"/>
        <v>16533.134600000001</v>
      </c>
    </row>
    <row r="546" spans="1:7" x14ac:dyDescent="0.3">
      <c r="A546" t="s">
        <v>13039</v>
      </c>
      <c r="B546" t="s">
        <v>1116</v>
      </c>
      <c r="C546" t="s">
        <v>1117</v>
      </c>
      <c r="D546" s="1" t="s">
        <v>195</v>
      </c>
      <c r="E546" s="3">
        <v>18527.46</v>
      </c>
      <c r="F546" s="3">
        <f t="shared" si="16"/>
        <v>4681.889142</v>
      </c>
      <c r="G546" s="3">
        <f t="shared" si="17"/>
        <v>23209.349141999999</v>
      </c>
    </row>
    <row r="547" spans="1:7" x14ac:dyDescent="0.3">
      <c r="A547" t="s">
        <v>13039</v>
      </c>
      <c r="B547" t="s">
        <v>1118</v>
      </c>
      <c r="C547" t="s">
        <v>1119</v>
      </c>
      <c r="D547" s="1" t="s">
        <v>195</v>
      </c>
      <c r="E547" s="3">
        <v>16067.23</v>
      </c>
      <c r="F547" s="3">
        <f t="shared" si="16"/>
        <v>4060.1890210000006</v>
      </c>
      <c r="G547" s="3">
        <f t="shared" si="17"/>
        <v>20127.419021000002</v>
      </c>
    </row>
    <row r="548" spans="1:7" x14ac:dyDescent="0.3">
      <c r="A548" t="s">
        <v>13039</v>
      </c>
      <c r="B548" t="s">
        <v>1120</v>
      </c>
      <c r="C548" t="s">
        <v>1121</v>
      </c>
      <c r="D548" s="1" t="s">
        <v>195</v>
      </c>
      <c r="E548" s="3">
        <v>13255.84</v>
      </c>
      <c r="F548" s="3">
        <f t="shared" si="16"/>
        <v>3349.7507680000003</v>
      </c>
      <c r="G548" s="3">
        <f t="shared" si="17"/>
        <v>16605.590768000002</v>
      </c>
    </row>
    <row r="549" spans="1:7" x14ac:dyDescent="0.3">
      <c r="A549" t="s">
        <v>13039</v>
      </c>
      <c r="B549" t="s">
        <v>1122</v>
      </c>
      <c r="C549" t="s">
        <v>1123</v>
      </c>
      <c r="D549" s="1" t="s">
        <v>195</v>
      </c>
      <c r="E549" s="3">
        <v>11093.53</v>
      </c>
      <c r="F549" s="3">
        <f t="shared" si="16"/>
        <v>2803.3350310000005</v>
      </c>
      <c r="G549" s="3">
        <f t="shared" si="17"/>
        <v>13896.865031000001</v>
      </c>
    </row>
    <row r="550" spans="1:7" x14ac:dyDescent="0.3">
      <c r="A550" t="s">
        <v>13039</v>
      </c>
      <c r="B550" t="s">
        <v>1124</v>
      </c>
      <c r="C550" t="s">
        <v>1125</v>
      </c>
      <c r="D550" s="1" t="s">
        <v>195</v>
      </c>
      <c r="E550" s="3">
        <v>15064</v>
      </c>
      <c r="F550" s="3">
        <f t="shared" si="16"/>
        <v>3806.6728000000007</v>
      </c>
      <c r="G550" s="3">
        <f t="shared" si="17"/>
        <v>18870.6728</v>
      </c>
    </row>
    <row r="551" spans="1:7" x14ac:dyDescent="0.3">
      <c r="A551" t="s">
        <v>13039</v>
      </c>
      <c r="B551" t="s">
        <v>1126</v>
      </c>
      <c r="C551" t="s">
        <v>1127</v>
      </c>
      <c r="D551" s="1" t="s">
        <v>195</v>
      </c>
      <c r="E551" s="3">
        <v>12901.69</v>
      </c>
      <c r="F551" s="3">
        <f t="shared" si="16"/>
        <v>3260.2570630000005</v>
      </c>
      <c r="G551" s="3">
        <f t="shared" si="17"/>
        <v>16161.947063000001</v>
      </c>
    </row>
    <row r="552" spans="1:7" x14ac:dyDescent="0.3">
      <c r="A552" t="s">
        <v>13039</v>
      </c>
      <c r="B552" t="s">
        <v>1128</v>
      </c>
      <c r="C552" t="s">
        <v>1129</v>
      </c>
      <c r="D552" s="1" t="s">
        <v>195</v>
      </c>
      <c r="E552" s="3">
        <v>17933.240000000002</v>
      </c>
      <c r="F552" s="3">
        <f t="shared" si="16"/>
        <v>4531.7297480000007</v>
      </c>
      <c r="G552" s="3">
        <f t="shared" si="17"/>
        <v>22464.969748000003</v>
      </c>
    </row>
    <row r="553" spans="1:7" x14ac:dyDescent="0.3">
      <c r="A553" t="s">
        <v>13039</v>
      </c>
      <c r="B553" t="s">
        <v>1130</v>
      </c>
      <c r="C553" t="s">
        <v>1131</v>
      </c>
      <c r="D553" s="1" t="s">
        <v>195</v>
      </c>
      <c r="E553" s="3">
        <v>15770.93</v>
      </c>
      <c r="F553" s="3">
        <f t="shared" si="16"/>
        <v>3985.3140110000008</v>
      </c>
      <c r="G553" s="3">
        <f t="shared" si="17"/>
        <v>19756.244011000003</v>
      </c>
    </row>
    <row r="554" spans="1:7" x14ac:dyDescent="0.3">
      <c r="A554" t="s">
        <v>13039</v>
      </c>
      <c r="B554" t="s">
        <v>1132</v>
      </c>
      <c r="C554" t="s">
        <v>1133</v>
      </c>
      <c r="D554" s="1" t="s">
        <v>195</v>
      </c>
      <c r="E554" s="3">
        <v>15358.72</v>
      </c>
      <c r="F554" s="3">
        <f t="shared" si="16"/>
        <v>3881.1485440000006</v>
      </c>
      <c r="G554" s="3">
        <f t="shared" si="17"/>
        <v>19239.868544000001</v>
      </c>
    </row>
    <row r="555" spans="1:7" x14ac:dyDescent="0.3">
      <c r="A555" t="s">
        <v>13039</v>
      </c>
      <c r="B555" t="s">
        <v>1134</v>
      </c>
      <c r="C555" t="s">
        <v>1135</v>
      </c>
      <c r="D555" s="1" t="s">
        <v>195</v>
      </c>
      <c r="E555" s="3">
        <v>12664.69</v>
      </c>
      <c r="F555" s="3">
        <f t="shared" si="16"/>
        <v>3200.3671630000008</v>
      </c>
      <c r="G555" s="3">
        <f t="shared" si="17"/>
        <v>15865.057163000001</v>
      </c>
    </row>
    <row r="556" spans="1:7" x14ac:dyDescent="0.3">
      <c r="A556" t="s">
        <v>13039</v>
      </c>
      <c r="B556" t="s">
        <v>1136</v>
      </c>
      <c r="C556" t="s">
        <v>1137</v>
      </c>
      <c r="D556" s="1" t="s">
        <v>195</v>
      </c>
      <c r="E556" s="3">
        <v>17455.759999999998</v>
      </c>
      <c r="F556" s="3">
        <f t="shared" si="16"/>
        <v>4411.0705520000001</v>
      </c>
      <c r="G556" s="3">
        <f t="shared" si="17"/>
        <v>21866.830551999999</v>
      </c>
    </row>
    <row r="557" spans="1:7" x14ac:dyDescent="0.3">
      <c r="A557" t="s">
        <v>13039</v>
      </c>
      <c r="B557" t="s">
        <v>1138</v>
      </c>
      <c r="C557" t="s">
        <v>1139</v>
      </c>
      <c r="D557" s="1" t="s">
        <v>195</v>
      </c>
      <c r="E557" s="3">
        <v>14761.72</v>
      </c>
      <c r="F557" s="3">
        <f t="shared" si="16"/>
        <v>3730.2866440000003</v>
      </c>
      <c r="G557" s="3">
        <f t="shared" si="17"/>
        <v>18492.006644000001</v>
      </c>
    </row>
    <row r="558" spans="1:7" x14ac:dyDescent="0.3">
      <c r="A558" t="s">
        <v>13039</v>
      </c>
      <c r="B558" t="s">
        <v>1140</v>
      </c>
      <c r="C558" t="s">
        <v>1141</v>
      </c>
      <c r="D558" s="1" t="s">
        <v>195</v>
      </c>
      <c r="E558" s="3">
        <v>20783.400000000001</v>
      </c>
      <c r="F558" s="3">
        <f t="shared" si="16"/>
        <v>5251.9651800000011</v>
      </c>
      <c r="G558" s="3">
        <f t="shared" si="17"/>
        <v>26035.365180000001</v>
      </c>
    </row>
    <row r="559" spans="1:7" x14ac:dyDescent="0.3">
      <c r="A559" t="s">
        <v>13039</v>
      </c>
      <c r="B559" t="s">
        <v>1142</v>
      </c>
      <c r="C559" t="s">
        <v>1143</v>
      </c>
      <c r="D559" s="1" t="s">
        <v>195</v>
      </c>
      <c r="E559" s="3">
        <v>18089.36</v>
      </c>
      <c r="F559" s="3">
        <f t="shared" si="16"/>
        <v>4571.1812720000007</v>
      </c>
      <c r="G559" s="3">
        <f t="shared" si="17"/>
        <v>22660.541272000002</v>
      </c>
    </row>
    <row r="560" spans="1:7" x14ac:dyDescent="0.3">
      <c r="A560" t="s">
        <v>13039</v>
      </c>
      <c r="B560" t="s">
        <v>1144</v>
      </c>
      <c r="C560" t="s">
        <v>1145</v>
      </c>
      <c r="D560" s="1" t="s">
        <v>195</v>
      </c>
      <c r="E560" s="3">
        <v>14711.04</v>
      </c>
      <c r="F560" s="3">
        <f t="shared" si="16"/>
        <v>3717.479808000001</v>
      </c>
      <c r="G560" s="3">
        <f t="shared" si="17"/>
        <v>18428.519808000001</v>
      </c>
    </row>
    <row r="561" spans="1:7" x14ac:dyDescent="0.3">
      <c r="A561" t="s">
        <v>13039</v>
      </c>
      <c r="B561" t="s">
        <v>1146</v>
      </c>
      <c r="C561" t="s">
        <v>1147</v>
      </c>
      <c r="D561" s="1" t="s">
        <v>195</v>
      </c>
      <c r="E561" s="3">
        <v>12342.29</v>
      </c>
      <c r="F561" s="3">
        <f t="shared" si="16"/>
        <v>3118.8966830000008</v>
      </c>
      <c r="G561" s="3">
        <f t="shared" si="17"/>
        <v>15461.186683000002</v>
      </c>
    </row>
    <row r="562" spans="1:7" x14ac:dyDescent="0.3">
      <c r="A562" t="s">
        <v>13039</v>
      </c>
      <c r="B562" t="s">
        <v>1148</v>
      </c>
      <c r="C562" t="s">
        <v>1149</v>
      </c>
      <c r="D562" s="1" t="s">
        <v>195</v>
      </c>
      <c r="E562" s="3">
        <v>16808.07</v>
      </c>
      <c r="F562" s="3">
        <f t="shared" si="16"/>
        <v>4247.3992890000009</v>
      </c>
      <c r="G562" s="3">
        <f t="shared" si="17"/>
        <v>21055.469289000001</v>
      </c>
    </row>
    <row r="563" spans="1:7" x14ac:dyDescent="0.3">
      <c r="A563" t="s">
        <v>13039</v>
      </c>
      <c r="B563" t="s">
        <v>1150</v>
      </c>
      <c r="C563" t="s">
        <v>1151</v>
      </c>
      <c r="D563" s="1" t="s">
        <v>195</v>
      </c>
      <c r="E563" s="3">
        <v>14439.32</v>
      </c>
      <c r="F563" s="3">
        <f t="shared" si="16"/>
        <v>3648.8161640000003</v>
      </c>
      <c r="G563" s="3">
        <f t="shared" si="17"/>
        <v>18088.136164</v>
      </c>
    </row>
    <row r="564" spans="1:7" x14ac:dyDescent="0.3">
      <c r="A564" t="s">
        <v>13039</v>
      </c>
      <c r="B564" t="s">
        <v>1152</v>
      </c>
      <c r="C564" t="s">
        <v>1153</v>
      </c>
      <c r="D564" s="1" t="s">
        <v>195</v>
      </c>
      <c r="E564" s="3">
        <v>20135.71</v>
      </c>
      <c r="F564" s="3">
        <f t="shared" si="16"/>
        <v>5088.2939170000009</v>
      </c>
      <c r="G564" s="3">
        <f t="shared" si="17"/>
        <v>25224.003917000002</v>
      </c>
    </row>
    <row r="565" spans="1:7" x14ac:dyDescent="0.3">
      <c r="A565" t="s">
        <v>13039</v>
      </c>
      <c r="B565" t="s">
        <v>1154</v>
      </c>
      <c r="C565" t="s">
        <v>1155</v>
      </c>
      <c r="D565" s="1" t="s">
        <v>195</v>
      </c>
      <c r="E565" s="3">
        <v>17766.96</v>
      </c>
      <c r="F565" s="3">
        <f t="shared" si="16"/>
        <v>4489.7107920000008</v>
      </c>
      <c r="G565" s="3">
        <f t="shared" si="17"/>
        <v>22256.670792000001</v>
      </c>
    </row>
    <row r="566" spans="1:7" x14ac:dyDescent="0.3">
      <c r="A566" t="s">
        <v>13039</v>
      </c>
      <c r="B566" t="s">
        <v>1156</v>
      </c>
      <c r="C566" t="s">
        <v>1157</v>
      </c>
      <c r="D566" s="1" t="s">
        <v>195</v>
      </c>
      <c r="E566" s="3">
        <v>16555.189999999999</v>
      </c>
      <c r="F566" s="3">
        <f t="shared" si="16"/>
        <v>4183.496513</v>
      </c>
      <c r="G566" s="3">
        <f t="shared" si="17"/>
        <v>20738.686513000001</v>
      </c>
    </row>
    <row r="567" spans="1:7" x14ac:dyDescent="0.3">
      <c r="A567" t="s">
        <v>13039</v>
      </c>
      <c r="B567" t="s">
        <v>1158</v>
      </c>
      <c r="C567" t="s">
        <v>1159</v>
      </c>
      <c r="D567" s="1" t="s">
        <v>195</v>
      </c>
      <c r="E567" s="3">
        <v>13684.22</v>
      </c>
      <c r="F567" s="3">
        <f t="shared" si="16"/>
        <v>3458.0023940000005</v>
      </c>
      <c r="G567" s="3">
        <f t="shared" si="17"/>
        <v>17142.222394</v>
      </c>
    </row>
    <row r="568" spans="1:7" x14ac:dyDescent="0.3">
      <c r="A568" t="s">
        <v>13039</v>
      </c>
      <c r="B568" t="s">
        <v>1160</v>
      </c>
      <c r="C568" t="s">
        <v>1161</v>
      </c>
      <c r="D568" s="1" t="s">
        <v>195</v>
      </c>
      <c r="E568" s="3">
        <v>18962.5</v>
      </c>
      <c r="F568" s="3">
        <f t="shared" si="16"/>
        <v>4791.8237500000005</v>
      </c>
      <c r="G568" s="3">
        <f t="shared" si="17"/>
        <v>23754.32375</v>
      </c>
    </row>
    <row r="569" spans="1:7" x14ac:dyDescent="0.3">
      <c r="A569" t="s">
        <v>13039</v>
      </c>
      <c r="B569" t="s">
        <v>1162</v>
      </c>
      <c r="C569" t="s">
        <v>1163</v>
      </c>
      <c r="D569" s="1" t="s">
        <v>195</v>
      </c>
      <c r="E569" s="3">
        <v>16091.53</v>
      </c>
      <c r="F569" s="3">
        <f t="shared" si="16"/>
        <v>4066.3296310000005</v>
      </c>
      <c r="G569" s="3">
        <f t="shared" si="17"/>
        <v>20157.859630999999</v>
      </c>
    </row>
    <row r="570" spans="1:7" x14ac:dyDescent="0.3">
      <c r="A570" t="s">
        <v>13039</v>
      </c>
      <c r="B570" t="s">
        <v>1164</v>
      </c>
      <c r="C570" t="s">
        <v>1165</v>
      </c>
      <c r="D570" s="1" t="s">
        <v>195</v>
      </c>
      <c r="E570" s="3">
        <v>22782.49</v>
      </c>
      <c r="F570" s="3">
        <f t="shared" si="16"/>
        <v>5757.1352230000011</v>
      </c>
      <c r="G570" s="3">
        <f t="shared" si="17"/>
        <v>28539.625223000003</v>
      </c>
    </row>
    <row r="571" spans="1:7" x14ac:dyDescent="0.3">
      <c r="A571" t="s">
        <v>13039</v>
      </c>
      <c r="B571" t="s">
        <v>1166</v>
      </c>
      <c r="C571" t="s">
        <v>1167</v>
      </c>
      <c r="D571" s="1" t="s">
        <v>195</v>
      </c>
      <c r="E571" s="3">
        <v>19911.52</v>
      </c>
      <c r="F571" s="3">
        <f t="shared" si="16"/>
        <v>5031.6411040000012</v>
      </c>
      <c r="G571" s="3">
        <f t="shared" si="17"/>
        <v>24943.161104000003</v>
      </c>
    </row>
    <row r="572" spans="1:7" x14ac:dyDescent="0.3">
      <c r="A572" t="s">
        <v>13039</v>
      </c>
      <c r="B572" t="s">
        <v>1168</v>
      </c>
      <c r="C572" t="s">
        <v>1169</v>
      </c>
      <c r="D572" s="1" t="s">
        <v>195</v>
      </c>
      <c r="E572" s="3">
        <v>15862.27</v>
      </c>
      <c r="F572" s="3">
        <f t="shared" si="16"/>
        <v>4008.3956290000006</v>
      </c>
      <c r="G572" s="3">
        <f t="shared" si="17"/>
        <v>19870.665629000003</v>
      </c>
    </row>
    <row r="573" spans="1:7" x14ac:dyDescent="0.3">
      <c r="A573" t="s">
        <v>13039</v>
      </c>
      <c r="B573" t="s">
        <v>1170</v>
      </c>
      <c r="C573" t="s">
        <v>1171</v>
      </c>
      <c r="D573" s="1" t="s">
        <v>195</v>
      </c>
      <c r="E573" s="3">
        <v>13338.79</v>
      </c>
      <c r="F573" s="3">
        <f t="shared" si="16"/>
        <v>3370.7122330000007</v>
      </c>
      <c r="G573" s="3">
        <f t="shared" si="17"/>
        <v>16709.502233000003</v>
      </c>
    </row>
    <row r="574" spans="1:7" x14ac:dyDescent="0.3">
      <c r="A574" t="s">
        <v>13039</v>
      </c>
      <c r="B574" t="s">
        <v>1172</v>
      </c>
      <c r="C574" t="s">
        <v>1173</v>
      </c>
      <c r="D574" s="1" t="s">
        <v>195</v>
      </c>
      <c r="E574" s="3">
        <v>18269.580000000002</v>
      </c>
      <c r="F574" s="3">
        <f t="shared" si="16"/>
        <v>4616.722866000001</v>
      </c>
      <c r="G574" s="3">
        <f t="shared" si="17"/>
        <v>22886.302866000002</v>
      </c>
    </row>
    <row r="575" spans="1:7" x14ac:dyDescent="0.3">
      <c r="A575" t="s">
        <v>13039</v>
      </c>
      <c r="B575" t="s">
        <v>1174</v>
      </c>
      <c r="C575" t="s">
        <v>1175</v>
      </c>
      <c r="D575" s="1" t="s">
        <v>195</v>
      </c>
      <c r="E575" s="3">
        <v>15746.1</v>
      </c>
      <c r="F575" s="3">
        <f t="shared" si="16"/>
        <v>3979.0394700000006</v>
      </c>
      <c r="G575" s="3">
        <f t="shared" si="17"/>
        <v>19725.139470000002</v>
      </c>
    </row>
    <row r="576" spans="1:7" x14ac:dyDescent="0.3">
      <c r="A576" t="s">
        <v>13039</v>
      </c>
      <c r="B576" t="s">
        <v>1176</v>
      </c>
      <c r="C576" t="s">
        <v>1177</v>
      </c>
      <c r="D576" s="1" t="s">
        <v>195</v>
      </c>
      <c r="E576" s="3">
        <v>22089.57</v>
      </c>
      <c r="F576" s="3">
        <f t="shared" si="16"/>
        <v>5582.0343390000007</v>
      </c>
      <c r="G576" s="3">
        <f t="shared" si="17"/>
        <v>27671.604339000001</v>
      </c>
    </row>
    <row r="577" spans="1:7" x14ac:dyDescent="0.3">
      <c r="A577" t="s">
        <v>13039</v>
      </c>
      <c r="B577" t="s">
        <v>1178</v>
      </c>
      <c r="C577" t="s">
        <v>1179</v>
      </c>
      <c r="D577" s="1" t="s">
        <v>195</v>
      </c>
      <c r="E577" s="3">
        <v>19566.09</v>
      </c>
      <c r="F577" s="3">
        <f t="shared" si="16"/>
        <v>4944.3509430000004</v>
      </c>
      <c r="G577" s="3">
        <f t="shared" si="17"/>
        <v>24510.440943000001</v>
      </c>
    </row>
    <row r="578" spans="1:7" x14ac:dyDescent="0.3">
      <c r="A578" t="s">
        <v>13039</v>
      </c>
      <c r="B578" t="s">
        <v>1180</v>
      </c>
      <c r="C578" t="s">
        <v>1181</v>
      </c>
      <c r="D578" s="1" t="s">
        <v>195</v>
      </c>
      <c r="E578" s="3">
        <v>18132.28</v>
      </c>
      <c r="F578" s="3">
        <f t="shared" si="16"/>
        <v>4582.0271560000001</v>
      </c>
      <c r="G578" s="3">
        <f t="shared" si="17"/>
        <v>22714.307155999999</v>
      </c>
    </row>
    <row r="579" spans="1:7" x14ac:dyDescent="0.3">
      <c r="A579" t="s">
        <v>13039</v>
      </c>
      <c r="B579" t="s">
        <v>1182</v>
      </c>
      <c r="C579" t="s">
        <v>1183</v>
      </c>
      <c r="D579" s="1" t="s">
        <v>195</v>
      </c>
      <c r="E579" s="3">
        <v>15061.55</v>
      </c>
      <c r="F579" s="3">
        <f t="shared" si="16"/>
        <v>3806.0536850000003</v>
      </c>
      <c r="G579" s="3">
        <f t="shared" si="17"/>
        <v>18867.603684999998</v>
      </c>
    </row>
    <row r="580" spans="1:7" x14ac:dyDescent="0.3">
      <c r="A580" t="s">
        <v>13039</v>
      </c>
      <c r="B580" t="s">
        <v>1184</v>
      </c>
      <c r="C580" t="s">
        <v>1185</v>
      </c>
      <c r="D580" s="1" t="s">
        <v>195</v>
      </c>
      <c r="E580" s="3">
        <v>20871.27</v>
      </c>
      <c r="F580" s="3">
        <f t="shared" si="16"/>
        <v>5274.1699290000006</v>
      </c>
      <c r="G580" s="3">
        <f t="shared" si="17"/>
        <v>26145.439929</v>
      </c>
    </row>
    <row r="581" spans="1:7" x14ac:dyDescent="0.3">
      <c r="A581" t="s">
        <v>13039</v>
      </c>
      <c r="B581" t="s">
        <v>1186</v>
      </c>
      <c r="C581" t="s">
        <v>1187</v>
      </c>
      <c r="D581" s="1" t="s">
        <v>195</v>
      </c>
      <c r="E581" s="3">
        <v>17800.53</v>
      </c>
      <c r="F581" s="3">
        <f t="shared" si="16"/>
        <v>4498.1939310000007</v>
      </c>
      <c r="G581" s="3">
        <f t="shared" si="17"/>
        <v>22298.723931</v>
      </c>
    </row>
    <row r="582" spans="1:7" x14ac:dyDescent="0.3">
      <c r="A582" t="s">
        <v>13039</v>
      </c>
      <c r="B582" t="s">
        <v>1188</v>
      </c>
      <c r="C582" t="s">
        <v>1189</v>
      </c>
      <c r="D582" s="1" t="s">
        <v>195</v>
      </c>
      <c r="E582" s="3">
        <v>25217.57</v>
      </c>
      <c r="F582" s="3">
        <f t="shared" si="16"/>
        <v>6372.4799390000007</v>
      </c>
      <c r="G582" s="3">
        <f t="shared" si="17"/>
        <v>31590.049939</v>
      </c>
    </row>
    <row r="583" spans="1:7" x14ac:dyDescent="0.3">
      <c r="A583" t="s">
        <v>13039</v>
      </c>
      <c r="B583" t="s">
        <v>1190</v>
      </c>
      <c r="C583" t="s">
        <v>1191</v>
      </c>
      <c r="D583" s="1" t="s">
        <v>195</v>
      </c>
      <c r="E583" s="3">
        <v>22146.84</v>
      </c>
      <c r="F583" s="3">
        <f t="shared" ref="F583:F646" si="18">+E583*$F$4</f>
        <v>5596.5064680000005</v>
      </c>
      <c r="G583" s="3">
        <f t="shared" ref="G583:G646" si="19">+E583+F583</f>
        <v>27743.346468</v>
      </c>
    </row>
    <row r="584" spans="1:7" x14ac:dyDescent="0.3">
      <c r="A584" t="s">
        <v>13039</v>
      </c>
      <c r="B584" t="s">
        <v>1192</v>
      </c>
      <c r="C584" t="s">
        <v>1193</v>
      </c>
      <c r="D584" s="1" t="s">
        <v>195</v>
      </c>
      <c r="E584" s="3">
        <v>17385.900000000001</v>
      </c>
      <c r="F584" s="3">
        <f t="shared" si="18"/>
        <v>4393.4169300000012</v>
      </c>
      <c r="G584" s="3">
        <f t="shared" si="19"/>
        <v>21779.316930000001</v>
      </c>
    </row>
    <row r="585" spans="1:7" x14ac:dyDescent="0.3">
      <c r="A585" t="s">
        <v>13039</v>
      </c>
      <c r="B585" t="s">
        <v>1194</v>
      </c>
      <c r="C585" t="s">
        <v>1195</v>
      </c>
      <c r="D585" s="1" t="s">
        <v>195</v>
      </c>
      <c r="E585" s="3">
        <v>14688.48</v>
      </c>
      <c r="F585" s="3">
        <f t="shared" si="18"/>
        <v>3711.7788960000003</v>
      </c>
      <c r="G585" s="3">
        <f t="shared" si="19"/>
        <v>18400.258895999999</v>
      </c>
    </row>
    <row r="586" spans="1:7" x14ac:dyDescent="0.3">
      <c r="A586" t="s">
        <v>13039</v>
      </c>
      <c r="B586" t="s">
        <v>1196</v>
      </c>
      <c r="C586" t="s">
        <v>1197</v>
      </c>
      <c r="D586" s="1" t="s">
        <v>195</v>
      </c>
      <c r="E586" s="3">
        <v>20124.89</v>
      </c>
      <c r="F586" s="3">
        <f t="shared" si="18"/>
        <v>5085.5597030000008</v>
      </c>
      <c r="G586" s="3">
        <f t="shared" si="19"/>
        <v>25210.449702999998</v>
      </c>
    </row>
    <row r="587" spans="1:7" x14ac:dyDescent="0.3">
      <c r="A587" t="s">
        <v>13039</v>
      </c>
      <c r="B587" t="s">
        <v>1198</v>
      </c>
      <c r="C587" t="s">
        <v>1199</v>
      </c>
      <c r="D587" s="1" t="s">
        <v>195</v>
      </c>
      <c r="E587" s="3">
        <v>17427.47</v>
      </c>
      <c r="F587" s="3">
        <f t="shared" si="18"/>
        <v>4403.9216690000012</v>
      </c>
      <c r="G587" s="3">
        <f t="shared" si="19"/>
        <v>21831.391669000004</v>
      </c>
    </row>
    <row r="588" spans="1:7" x14ac:dyDescent="0.3">
      <c r="A588" t="s">
        <v>13039</v>
      </c>
      <c r="B588" t="s">
        <v>1200</v>
      </c>
      <c r="C588" t="s">
        <v>1201</v>
      </c>
      <c r="D588" s="1" t="s">
        <v>195</v>
      </c>
      <c r="E588" s="3">
        <v>24471.19</v>
      </c>
      <c r="F588" s="3">
        <f t="shared" si="18"/>
        <v>6183.869713000001</v>
      </c>
      <c r="G588" s="3">
        <f t="shared" si="19"/>
        <v>30655.059712999999</v>
      </c>
    </row>
    <row r="589" spans="1:7" x14ac:dyDescent="0.3">
      <c r="A589" t="s">
        <v>13039</v>
      </c>
      <c r="B589" t="s">
        <v>1202</v>
      </c>
      <c r="C589" t="s">
        <v>1203</v>
      </c>
      <c r="D589" s="1" t="s">
        <v>195</v>
      </c>
      <c r="E589" s="3">
        <v>21773.77</v>
      </c>
      <c r="F589" s="3">
        <f t="shared" si="18"/>
        <v>5502.2316790000004</v>
      </c>
      <c r="G589" s="3">
        <f t="shared" si="19"/>
        <v>27276.001679000001</v>
      </c>
    </row>
    <row r="590" spans="1:7" x14ac:dyDescent="0.3">
      <c r="A590" t="s">
        <v>13039</v>
      </c>
      <c r="B590" t="s">
        <v>1204</v>
      </c>
      <c r="C590" t="s">
        <v>1205</v>
      </c>
      <c r="D590" s="1" t="s">
        <v>195</v>
      </c>
      <c r="E590" s="3">
        <v>19802.95</v>
      </c>
      <c r="F590" s="3">
        <f t="shared" si="18"/>
        <v>5004.2054650000009</v>
      </c>
      <c r="G590" s="3">
        <f t="shared" si="19"/>
        <v>24807.155465000003</v>
      </c>
    </row>
    <row r="591" spans="1:7" x14ac:dyDescent="0.3">
      <c r="A591" t="s">
        <v>13039</v>
      </c>
      <c r="B591" t="s">
        <v>1206</v>
      </c>
      <c r="C591" t="s">
        <v>1207</v>
      </c>
      <c r="D591" s="1" t="s">
        <v>195</v>
      </c>
      <c r="E591" s="3">
        <v>17816.54</v>
      </c>
      <c r="F591" s="3">
        <f t="shared" si="18"/>
        <v>4502.2396580000004</v>
      </c>
      <c r="G591" s="3">
        <f t="shared" si="19"/>
        <v>22318.779657999999</v>
      </c>
    </row>
    <row r="592" spans="1:7" x14ac:dyDescent="0.3">
      <c r="A592" t="s">
        <v>13039</v>
      </c>
      <c r="B592" t="s">
        <v>1208</v>
      </c>
      <c r="C592" t="s">
        <v>1209</v>
      </c>
      <c r="D592" s="1" t="s">
        <v>195</v>
      </c>
      <c r="E592" s="3">
        <v>22895</v>
      </c>
      <c r="F592" s="3">
        <f t="shared" si="18"/>
        <v>5785.5665000000008</v>
      </c>
      <c r="G592" s="3">
        <f t="shared" si="19"/>
        <v>28680.566500000001</v>
      </c>
    </row>
    <row r="593" spans="1:7" x14ac:dyDescent="0.3">
      <c r="A593" t="s">
        <v>13039</v>
      </c>
      <c r="B593" t="s">
        <v>1210</v>
      </c>
      <c r="C593" t="s">
        <v>1211</v>
      </c>
      <c r="D593" s="1" t="s">
        <v>195</v>
      </c>
      <c r="E593" s="3">
        <v>20908.59</v>
      </c>
      <c r="F593" s="3">
        <f t="shared" si="18"/>
        <v>5283.6006930000012</v>
      </c>
      <c r="G593" s="3">
        <f t="shared" si="19"/>
        <v>26192.190693</v>
      </c>
    </row>
    <row r="594" spans="1:7" x14ac:dyDescent="0.3">
      <c r="A594" t="s">
        <v>13039</v>
      </c>
      <c r="B594" t="s">
        <v>1212</v>
      </c>
      <c r="C594" t="s">
        <v>1213</v>
      </c>
      <c r="D594" s="1" t="s">
        <v>195</v>
      </c>
      <c r="E594" s="3">
        <v>27801.57</v>
      </c>
      <c r="F594" s="3">
        <f t="shared" si="18"/>
        <v>7025.4567390000011</v>
      </c>
      <c r="G594" s="3">
        <f t="shared" si="19"/>
        <v>34827.026739000001</v>
      </c>
    </row>
    <row r="595" spans="1:7" x14ac:dyDescent="0.3">
      <c r="A595" t="s">
        <v>13039</v>
      </c>
      <c r="B595" t="s">
        <v>1214</v>
      </c>
      <c r="C595" t="s">
        <v>1215</v>
      </c>
      <c r="D595" s="1" t="s">
        <v>195</v>
      </c>
      <c r="E595" s="3">
        <v>25815.16</v>
      </c>
      <c r="F595" s="3">
        <f t="shared" si="18"/>
        <v>6523.4909320000006</v>
      </c>
      <c r="G595" s="3">
        <f t="shared" si="19"/>
        <v>32338.650932</v>
      </c>
    </row>
    <row r="596" spans="1:7" x14ac:dyDescent="0.3">
      <c r="A596" t="s">
        <v>13039</v>
      </c>
      <c r="B596" t="s">
        <v>1216</v>
      </c>
      <c r="C596" t="s">
        <v>1217</v>
      </c>
      <c r="D596" s="1" t="s">
        <v>195</v>
      </c>
      <c r="E596" s="3">
        <v>19011.330000000002</v>
      </c>
      <c r="F596" s="3">
        <f t="shared" si="18"/>
        <v>4804.1630910000013</v>
      </c>
      <c r="G596" s="3">
        <f t="shared" si="19"/>
        <v>23815.493091000004</v>
      </c>
    </row>
    <row r="597" spans="1:7" x14ac:dyDescent="0.3">
      <c r="A597" t="s">
        <v>13039</v>
      </c>
      <c r="B597" t="s">
        <v>1218</v>
      </c>
      <c r="C597" t="s">
        <v>1219</v>
      </c>
      <c r="D597" s="1" t="s">
        <v>195</v>
      </c>
      <c r="E597" s="3">
        <v>17270.87</v>
      </c>
      <c r="F597" s="3">
        <f t="shared" si="18"/>
        <v>4364.348849</v>
      </c>
      <c r="G597" s="3">
        <f t="shared" si="19"/>
        <v>21635.218848999997</v>
      </c>
    </row>
    <row r="598" spans="1:7" x14ac:dyDescent="0.3">
      <c r="A598" t="s">
        <v>13039</v>
      </c>
      <c r="B598" t="s">
        <v>1220</v>
      </c>
      <c r="C598" t="s">
        <v>1221</v>
      </c>
      <c r="D598" s="1" t="s">
        <v>195</v>
      </c>
      <c r="E598" s="3">
        <v>22103.38</v>
      </c>
      <c r="F598" s="3">
        <f t="shared" si="18"/>
        <v>5585.5241260000012</v>
      </c>
      <c r="G598" s="3">
        <f t="shared" si="19"/>
        <v>27688.904126000001</v>
      </c>
    </row>
    <row r="599" spans="1:7" x14ac:dyDescent="0.3">
      <c r="A599" t="s">
        <v>13039</v>
      </c>
      <c r="B599" t="s">
        <v>1222</v>
      </c>
      <c r="C599" t="s">
        <v>1223</v>
      </c>
      <c r="D599" s="1" t="s">
        <v>195</v>
      </c>
      <c r="E599" s="3">
        <v>20362.919999999998</v>
      </c>
      <c r="F599" s="3">
        <f t="shared" si="18"/>
        <v>5145.7098839999999</v>
      </c>
      <c r="G599" s="3">
        <f t="shared" si="19"/>
        <v>25508.629883999998</v>
      </c>
    </row>
    <row r="600" spans="1:7" x14ac:dyDescent="0.3">
      <c r="A600" t="s">
        <v>13039</v>
      </c>
      <c r="B600" t="s">
        <v>1224</v>
      </c>
      <c r="C600" t="s">
        <v>1225</v>
      </c>
      <c r="D600" s="1" t="s">
        <v>195</v>
      </c>
      <c r="E600" s="3">
        <v>27009.95</v>
      </c>
      <c r="F600" s="3">
        <f t="shared" si="18"/>
        <v>6825.4143650000015</v>
      </c>
      <c r="G600" s="3">
        <f t="shared" si="19"/>
        <v>33835.364365000001</v>
      </c>
    </row>
    <row r="601" spans="1:7" x14ac:dyDescent="0.3">
      <c r="A601" t="s">
        <v>13039</v>
      </c>
      <c r="B601" t="s">
        <v>1226</v>
      </c>
      <c r="C601" t="s">
        <v>1227</v>
      </c>
      <c r="D601" s="1" t="s">
        <v>195</v>
      </c>
      <c r="E601" s="3">
        <v>25269.49</v>
      </c>
      <c r="F601" s="3">
        <f t="shared" si="18"/>
        <v>6385.6001230000011</v>
      </c>
      <c r="G601" s="3">
        <f t="shared" si="19"/>
        <v>31655.090123000002</v>
      </c>
    </row>
    <row r="602" spans="1:7" x14ac:dyDescent="0.3">
      <c r="A602" t="s">
        <v>13039</v>
      </c>
      <c r="B602" t="s">
        <v>1228</v>
      </c>
      <c r="C602" t="s">
        <v>1229</v>
      </c>
      <c r="D602" s="1" t="s">
        <v>195</v>
      </c>
      <c r="E602" s="3">
        <v>21932.67</v>
      </c>
      <c r="F602" s="3">
        <f t="shared" si="18"/>
        <v>5542.3857090000001</v>
      </c>
      <c r="G602" s="3">
        <f t="shared" si="19"/>
        <v>27475.055709</v>
      </c>
    </row>
    <row r="603" spans="1:7" x14ac:dyDescent="0.3">
      <c r="A603" t="s">
        <v>13039</v>
      </c>
      <c r="B603" t="s">
        <v>1230</v>
      </c>
      <c r="C603" t="s">
        <v>1231</v>
      </c>
      <c r="D603" s="1" t="s">
        <v>195</v>
      </c>
      <c r="E603" s="3">
        <v>18860.61</v>
      </c>
      <c r="F603" s="3">
        <f t="shared" si="18"/>
        <v>4766.0761470000007</v>
      </c>
      <c r="G603" s="3">
        <f t="shared" si="19"/>
        <v>23626.686147</v>
      </c>
    </row>
    <row r="604" spans="1:7" x14ac:dyDescent="0.3">
      <c r="A604" t="s">
        <v>13039</v>
      </c>
      <c r="B604" t="s">
        <v>1232</v>
      </c>
      <c r="C604" t="s">
        <v>1233</v>
      </c>
      <c r="D604" s="1" t="s">
        <v>195</v>
      </c>
      <c r="E604" s="3">
        <v>25399.19</v>
      </c>
      <c r="F604" s="3">
        <f t="shared" si="18"/>
        <v>6418.3753130000005</v>
      </c>
      <c r="G604" s="3">
        <f t="shared" si="19"/>
        <v>31817.565312999999</v>
      </c>
    </row>
    <row r="605" spans="1:7" x14ac:dyDescent="0.3">
      <c r="A605" t="s">
        <v>13039</v>
      </c>
      <c r="B605" t="s">
        <v>1234</v>
      </c>
      <c r="C605" t="s">
        <v>1235</v>
      </c>
      <c r="D605" s="1" t="s">
        <v>195</v>
      </c>
      <c r="E605" s="3">
        <v>22327.14</v>
      </c>
      <c r="F605" s="3">
        <f t="shared" si="18"/>
        <v>5642.0682780000006</v>
      </c>
      <c r="G605" s="3">
        <f t="shared" si="19"/>
        <v>27969.208277999998</v>
      </c>
    </row>
    <row r="606" spans="1:7" x14ac:dyDescent="0.3">
      <c r="A606" t="s">
        <v>13039</v>
      </c>
      <c r="B606" t="s">
        <v>1236</v>
      </c>
      <c r="C606" t="s">
        <v>1237</v>
      </c>
      <c r="D606" s="1" t="s">
        <v>195</v>
      </c>
      <c r="E606" s="3">
        <v>30899.98</v>
      </c>
      <c r="F606" s="3">
        <f t="shared" si="18"/>
        <v>7808.424946000001</v>
      </c>
      <c r="G606" s="3">
        <f t="shared" si="19"/>
        <v>38708.404946000002</v>
      </c>
    </row>
    <row r="607" spans="1:7" x14ac:dyDescent="0.3">
      <c r="A607" t="s">
        <v>13039</v>
      </c>
      <c r="B607" t="s">
        <v>1238</v>
      </c>
      <c r="C607" t="s">
        <v>1239</v>
      </c>
      <c r="D607" s="1" t="s">
        <v>195</v>
      </c>
      <c r="E607" s="3">
        <v>27827.93</v>
      </c>
      <c r="F607" s="3">
        <f t="shared" si="18"/>
        <v>7032.1179110000012</v>
      </c>
      <c r="G607" s="3">
        <f t="shared" si="19"/>
        <v>34860.047911000001</v>
      </c>
    </row>
    <row r="608" spans="1:7" x14ac:dyDescent="0.3">
      <c r="A608" t="s">
        <v>13039</v>
      </c>
      <c r="B608" t="s">
        <v>1240</v>
      </c>
      <c r="C608" t="s">
        <v>1241</v>
      </c>
      <c r="D608" s="1" t="s">
        <v>195</v>
      </c>
      <c r="E608" s="3">
        <v>23318.35</v>
      </c>
      <c r="F608" s="3">
        <f t="shared" si="18"/>
        <v>5892.5470450000003</v>
      </c>
      <c r="G608" s="3">
        <f t="shared" si="19"/>
        <v>29210.897044999998</v>
      </c>
    </row>
    <row r="609" spans="1:7" x14ac:dyDescent="0.3">
      <c r="A609" t="s">
        <v>13039</v>
      </c>
      <c r="B609" t="s">
        <v>1242</v>
      </c>
      <c r="C609" t="s">
        <v>1243</v>
      </c>
      <c r="D609" s="1" t="s">
        <v>195</v>
      </c>
      <c r="E609" s="3">
        <v>20040.849999999999</v>
      </c>
      <c r="F609" s="3">
        <f t="shared" si="18"/>
        <v>5064.322795</v>
      </c>
      <c r="G609" s="3">
        <f t="shared" si="19"/>
        <v>25105.172794999999</v>
      </c>
    </row>
    <row r="610" spans="1:7" x14ac:dyDescent="0.3">
      <c r="A610" t="s">
        <v>13039</v>
      </c>
      <c r="B610" t="s">
        <v>1244</v>
      </c>
      <c r="C610" t="s">
        <v>1245</v>
      </c>
      <c r="D610" s="1" t="s">
        <v>195</v>
      </c>
      <c r="E610" s="3">
        <v>27180.75</v>
      </c>
      <c r="F610" s="3">
        <f t="shared" si="18"/>
        <v>6868.5755250000011</v>
      </c>
      <c r="G610" s="3">
        <f t="shared" si="19"/>
        <v>34049.325525</v>
      </c>
    </row>
    <row r="611" spans="1:7" x14ac:dyDescent="0.3">
      <c r="A611" t="s">
        <v>13039</v>
      </c>
      <c r="B611" t="s">
        <v>1246</v>
      </c>
      <c r="C611" t="s">
        <v>1247</v>
      </c>
      <c r="D611" s="1" t="s">
        <v>195</v>
      </c>
      <c r="E611" s="3">
        <v>23903.25</v>
      </c>
      <c r="F611" s="3">
        <f t="shared" si="18"/>
        <v>6040.3512750000009</v>
      </c>
      <c r="G611" s="3">
        <f t="shared" si="19"/>
        <v>29943.601275000001</v>
      </c>
    </row>
    <row r="612" spans="1:7" x14ac:dyDescent="0.3">
      <c r="A612" t="s">
        <v>13039</v>
      </c>
      <c r="B612" t="s">
        <v>1248</v>
      </c>
      <c r="C612" t="s">
        <v>1249</v>
      </c>
      <c r="D612" s="1" t="s">
        <v>195</v>
      </c>
      <c r="E612" s="3">
        <v>33309.71</v>
      </c>
      <c r="F612" s="3">
        <f t="shared" si="18"/>
        <v>8417.3637170000002</v>
      </c>
      <c r="G612" s="3">
        <f t="shared" si="19"/>
        <v>41727.073716999999</v>
      </c>
    </row>
    <row r="613" spans="1:7" x14ac:dyDescent="0.3">
      <c r="A613" t="s">
        <v>13039</v>
      </c>
      <c r="B613" t="s">
        <v>1250</v>
      </c>
      <c r="C613" t="s">
        <v>1251</v>
      </c>
      <c r="D613" s="1" t="s">
        <v>195</v>
      </c>
      <c r="E613" s="3">
        <v>30032.21</v>
      </c>
      <c r="F613" s="3">
        <f t="shared" si="18"/>
        <v>7589.1394670000009</v>
      </c>
      <c r="G613" s="3">
        <f t="shared" si="19"/>
        <v>37621.349467</v>
      </c>
    </row>
    <row r="614" spans="1:7" x14ac:dyDescent="0.3">
      <c r="A614" t="s">
        <v>13039</v>
      </c>
      <c r="B614" t="s">
        <v>1252</v>
      </c>
      <c r="C614" t="s">
        <v>1253</v>
      </c>
      <c r="D614" s="1" t="s">
        <v>195</v>
      </c>
      <c r="E614" s="3">
        <v>25174.12</v>
      </c>
      <c r="F614" s="3">
        <f t="shared" si="18"/>
        <v>6361.5001240000011</v>
      </c>
      <c r="G614" s="3">
        <f t="shared" si="19"/>
        <v>31535.620124000001</v>
      </c>
    </row>
    <row r="615" spans="1:7" x14ac:dyDescent="0.3">
      <c r="A615" t="s">
        <v>13039</v>
      </c>
      <c r="B615" t="s">
        <v>1254</v>
      </c>
      <c r="C615" t="s">
        <v>1255</v>
      </c>
      <c r="D615" s="1" t="s">
        <v>195</v>
      </c>
      <c r="E615" s="3">
        <v>21643.57</v>
      </c>
      <c r="F615" s="3">
        <f t="shared" si="18"/>
        <v>5469.3301390000006</v>
      </c>
      <c r="G615" s="3">
        <f t="shared" si="19"/>
        <v>27112.900139000001</v>
      </c>
    </row>
    <row r="616" spans="1:7" x14ac:dyDescent="0.3">
      <c r="A616" t="s">
        <v>13039</v>
      </c>
      <c r="B616" t="s">
        <v>1256</v>
      </c>
      <c r="C616" t="s">
        <v>1257</v>
      </c>
      <c r="D616" s="1" t="s">
        <v>195</v>
      </c>
      <c r="E616" s="3">
        <v>29453.79</v>
      </c>
      <c r="F616" s="3">
        <f t="shared" si="18"/>
        <v>7442.9727330000014</v>
      </c>
      <c r="G616" s="3">
        <f t="shared" si="19"/>
        <v>36896.762733000003</v>
      </c>
    </row>
    <row r="617" spans="1:7" x14ac:dyDescent="0.3">
      <c r="A617" t="s">
        <v>13039</v>
      </c>
      <c r="B617" t="s">
        <v>1258</v>
      </c>
      <c r="C617" t="s">
        <v>1259</v>
      </c>
      <c r="D617" s="1" t="s">
        <v>195</v>
      </c>
      <c r="E617" s="3">
        <v>25923.24</v>
      </c>
      <c r="F617" s="3">
        <f t="shared" si="18"/>
        <v>6550.802748000001</v>
      </c>
      <c r="G617" s="3">
        <f t="shared" si="19"/>
        <v>32474.042748000003</v>
      </c>
    </row>
    <row r="618" spans="1:7" x14ac:dyDescent="0.3">
      <c r="A618" t="s">
        <v>13039</v>
      </c>
      <c r="B618" t="s">
        <v>1260</v>
      </c>
      <c r="C618" t="s">
        <v>1261</v>
      </c>
      <c r="D618" s="1" t="s">
        <v>195</v>
      </c>
      <c r="E618" s="3">
        <v>36244.879999999997</v>
      </c>
      <c r="F618" s="3">
        <f t="shared" si="18"/>
        <v>9159.0811760000015</v>
      </c>
      <c r="G618" s="3">
        <f t="shared" si="19"/>
        <v>45403.961175999997</v>
      </c>
    </row>
    <row r="619" spans="1:7" x14ac:dyDescent="0.3">
      <c r="A619" t="s">
        <v>13039</v>
      </c>
      <c r="B619" t="s">
        <v>1262</v>
      </c>
      <c r="C619" t="s">
        <v>1263</v>
      </c>
      <c r="D619" s="1" t="s">
        <v>195</v>
      </c>
      <c r="E619" s="3">
        <v>32714.33</v>
      </c>
      <c r="F619" s="3">
        <f t="shared" si="18"/>
        <v>8266.9111910000011</v>
      </c>
      <c r="G619" s="3">
        <f t="shared" si="19"/>
        <v>40981.241191000001</v>
      </c>
    </row>
    <row r="620" spans="1:7" x14ac:dyDescent="0.3">
      <c r="A620" t="s">
        <v>13039</v>
      </c>
      <c r="B620" t="s">
        <v>1264</v>
      </c>
      <c r="C620" t="s">
        <v>1265</v>
      </c>
      <c r="D620" s="1" t="s">
        <v>195</v>
      </c>
      <c r="E620" s="3">
        <v>26554.49</v>
      </c>
      <c r="F620" s="3">
        <f t="shared" si="18"/>
        <v>6710.3196230000012</v>
      </c>
      <c r="G620" s="3">
        <f t="shared" si="19"/>
        <v>33264.809623000001</v>
      </c>
    </row>
    <row r="621" spans="1:7" x14ac:dyDescent="0.3">
      <c r="A621" t="s">
        <v>13039</v>
      </c>
      <c r="B621" t="s">
        <v>1266</v>
      </c>
      <c r="C621" t="s">
        <v>1267</v>
      </c>
      <c r="D621" s="1" t="s">
        <v>195</v>
      </c>
      <c r="E621" s="3">
        <v>22885.14</v>
      </c>
      <c r="F621" s="3">
        <f t="shared" si="18"/>
        <v>5783.0748780000004</v>
      </c>
      <c r="G621" s="3">
        <f t="shared" si="19"/>
        <v>28668.214877999999</v>
      </c>
    </row>
    <row r="622" spans="1:7" x14ac:dyDescent="0.3">
      <c r="A622" t="s">
        <v>13039</v>
      </c>
      <c r="B622" t="s">
        <v>1268</v>
      </c>
      <c r="C622" t="s">
        <v>1269</v>
      </c>
      <c r="D622" s="1" t="s">
        <v>195</v>
      </c>
      <c r="E622" s="3">
        <v>31272.82</v>
      </c>
      <c r="F622" s="3">
        <f t="shared" si="18"/>
        <v>7902.641614000001</v>
      </c>
      <c r="G622" s="3">
        <f t="shared" si="19"/>
        <v>39175.461614</v>
      </c>
    </row>
    <row r="623" spans="1:7" x14ac:dyDescent="0.3">
      <c r="A623" t="s">
        <v>13039</v>
      </c>
      <c r="B623" t="s">
        <v>1270</v>
      </c>
      <c r="C623" t="s">
        <v>1271</v>
      </c>
      <c r="D623" s="1" t="s">
        <v>195</v>
      </c>
      <c r="E623" s="3">
        <v>27603.46</v>
      </c>
      <c r="F623" s="3">
        <f t="shared" si="18"/>
        <v>6975.3943420000005</v>
      </c>
      <c r="G623" s="3">
        <f t="shared" si="19"/>
        <v>34578.854341999999</v>
      </c>
    </row>
    <row r="624" spans="1:7" x14ac:dyDescent="0.3">
      <c r="A624" t="s">
        <v>13039</v>
      </c>
      <c r="B624" t="s">
        <v>1272</v>
      </c>
      <c r="C624" t="s">
        <v>1273</v>
      </c>
      <c r="D624" s="1" t="s">
        <v>195</v>
      </c>
      <c r="E624" s="3">
        <v>38760</v>
      </c>
      <c r="F624" s="3">
        <f t="shared" si="18"/>
        <v>9794.6520000000019</v>
      </c>
      <c r="G624" s="3">
        <f t="shared" si="19"/>
        <v>48554.652000000002</v>
      </c>
    </row>
    <row r="625" spans="1:7" x14ac:dyDescent="0.3">
      <c r="A625" t="s">
        <v>13039</v>
      </c>
      <c r="B625" t="s">
        <v>1274</v>
      </c>
      <c r="C625" t="s">
        <v>1275</v>
      </c>
      <c r="D625" s="1" t="s">
        <v>195</v>
      </c>
      <c r="E625" s="3">
        <v>35090.65</v>
      </c>
      <c r="F625" s="3">
        <f t="shared" si="18"/>
        <v>8867.4072550000019</v>
      </c>
      <c r="G625" s="3">
        <f t="shared" si="19"/>
        <v>43958.057255000007</v>
      </c>
    </row>
    <row r="626" spans="1:7" x14ac:dyDescent="0.3">
      <c r="A626" t="s">
        <v>13039</v>
      </c>
      <c r="B626" t="s">
        <v>1276</v>
      </c>
      <c r="C626" t="s">
        <v>1277</v>
      </c>
      <c r="D626" s="1" t="s">
        <v>195</v>
      </c>
      <c r="E626" s="3">
        <v>28399.72</v>
      </c>
      <c r="F626" s="3">
        <f t="shared" si="18"/>
        <v>7176.6092440000011</v>
      </c>
      <c r="G626" s="3">
        <f t="shared" si="19"/>
        <v>35576.329244</v>
      </c>
    </row>
    <row r="627" spans="1:7" x14ac:dyDescent="0.3">
      <c r="A627" t="s">
        <v>13039</v>
      </c>
      <c r="B627" t="s">
        <v>1278</v>
      </c>
      <c r="C627" t="s">
        <v>1279</v>
      </c>
      <c r="D627" s="1" t="s">
        <v>195</v>
      </c>
      <c r="E627" s="3">
        <v>26892.27</v>
      </c>
      <c r="F627" s="3">
        <f t="shared" si="18"/>
        <v>6795.6766290000014</v>
      </c>
      <c r="G627" s="3">
        <f t="shared" si="19"/>
        <v>33687.946628999998</v>
      </c>
    </row>
    <row r="628" spans="1:7" x14ac:dyDescent="0.3">
      <c r="A628" t="s">
        <v>13039</v>
      </c>
      <c r="B628" t="s">
        <v>1280</v>
      </c>
      <c r="C628" t="s">
        <v>1281</v>
      </c>
      <c r="D628" s="1" t="s">
        <v>195</v>
      </c>
      <c r="E628" s="3">
        <v>33578.11</v>
      </c>
      <c r="F628" s="3">
        <f t="shared" si="18"/>
        <v>8485.1883970000017</v>
      </c>
      <c r="G628" s="3">
        <f t="shared" si="19"/>
        <v>42063.298397000006</v>
      </c>
    </row>
    <row r="629" spans="1:7" x14ac:dyDescent="0.3">
      <c r="A629" t="s">
        <v>13039</v>
      </c>
      <c r="B629" t="s">
        <v>1282</v>
      </c>
      <c r="C629" t="s">
        <v>1283</v>
      </c>
      <c r="D629" s="1" t="s">
        <v>195</v>
      </c>
      <c r="E629" s="3">
        <v>32070.66</v>
      </c>
      <c r="F629" s="3">
        <f t="shared" si="18"/>
        <v>8104.2557820000011</v>
      </c>
      <c r="G629" s="3">
        <f t="shared" si="19"/>
        <v>40174.915782000004</v>
      </c>
    </row>
    <row r="630" spans="1:7" x14ac:dyDescent="0.3">
      <c r="A630" t="s">
        <v>13039</v>
      </c>
      <c r="B630" t="s">
        <v>1284</v>
      </c>
      <c r="C630" t="s">
        <v>1285</v>
      </c>
      <c r="D630" s="1" t="s">
        <v>195</v>
      </c>
      <c r="E630" s="3">
        <v>41795.339999999997</v>
      </c>
      <c r="F630" s="3">
        <f t="shared" si="18"/>
        <v>10561.682418</v>
      </c>
      <c r="G630" s="3">
        <f t="shared" si="19"/>
        <v>52357.022417999993</v>
      </c>
    </row>
    <row r="631" spans="1:7" x14ac:dyDescent="0.3">
      <c r="A631" t="s">
        <v>13039</v>
      </c>
      <c r="B631" t="s">
        <v>1286</v>
      </c>
      <c r="C631" t="s">
        <v>1287</v>
      </c>
      <c r="D631" s="1" t="s">
        <v>195</v>
      </c>
      <c r="E631" s="3">
        <v>40287.89</v>
      </c>
      <c r="F631" s="3">
        <f t="shared" si="18"/>
        <v>10180.749803000001</v>
      </c>
      <c r="G631" s="3">
        <f t="shared" si="19"/>
        <v>50468.639802999998</v>
      </c>
    </row>
    <row r="632" spans="1:7" x14ac:dyDescent="0.3">
      <c r="A632" t="s">
        <v>13039</v>
      </c>
      <c r="B632" t="s">
        <v>1288</v>
      </c>
      <c r="C632" t="s">
        <v>1289</v>
      </c>
      <c r="D632" s="1" t="s">
        <v>195</v>
      </c>
      <c r="E632" s="3">
        <v>30485.4</v>
      </c>
      <c r="F632" s="3">
        <f t="shared" si="18"/>
        <v>7703.6605800000016</v>
      </c>
      <c r="G632" s="3">
        <f t="shared" si="19"/>
        <v>38189.060580000005</v>
      </c>
    </row>
    <row r="633" spans="1:7" x14ac:dyDescent="0.3">
      <c r="A633" t="s">
        <v>13039</v>
      </c>
      <c r="B633" t="s">
        <v>1290</v>
      </c>
      <c r="C633" t="s">
        <v>1291</v>
      </c>
      <c r="D633" s="1" t="s">
        <v>195</v>
      </c>
      <c r="E633" s="3">
        <v>28868.19</v>
      </c>
      <c r="F633" s="3">
        <f t="shared" si="18"/>
        <v>7294.9916130000011</v>
      </c>
      <c r="G633" s="3">
        <f t="shared" si="19"/>
        <v>36163.181613000001</v>
      </c>
    </row>
    <row r="634" spans="1:7" x14ac:dyDescent="0.3">
      <c r="A634" t="s">
        <v>13039</v>
      </c>
      <c r="B634" t="s">
        <v>1292</v>
      </c>
      <c r="C634" t="s">
        <v>1293</v>
      </c>
      <c r="D634" s="1" t="s">
        <v>195</v>
      </c>
      <c r="E634" s="3">
        <v>36145.26</v>
      </c>
      <c r="F634" s="3">
        <f t="shared" si="18"/>
        <v>9133.9072020000021</v>
      </c>
      <c r="G634" s="3">
        <f t="shared" si="19"/>
        <v>45279.167202000004</v>
      </c>
    </row>
    <row r="635" spans="1:7" x14ac:dyDescent="0.3">
      <c r="A635" t="s">
        <v>13039</v>
      </c>
      <c r="B635" t="s">
        <v>1294</v>
      </c>
      <c r="C635" t="s">
        <v>1295</v>
      </c>
      <c r="D635" s="1" t="s">
        <v>195</v>
      </c>
      <c r="E635" s="3">
        <v>34528.04</v>
      </c>
      <c r="F635" s="3">
        <f t="shared" si="18"/>
        <v>8725.235708000002</v>
      </c>
      <c r="G635" s="3">
        <f t="shared" si="19"/>
        <v>43253.275708000001</v>
      </c>
    </row>
    <row r="636" spans="1:7" x14ac:dyDescent="0.3">
      <c r="A636" t="s">
        <v>13039</v>
      </c>
      <c r="B636" t="s">
        <v>1296</v>
      </c>
      <c r="C636" t="s">
        <v>1297</v>
      </c>
      <c r="D636" s="1" t="s">
        <v>195</v>
      </c>
      <c r="E636" s="3">
        <v>45126.49</v>
      </c>
      <c r="F636" s="3">
        <f t="shared" si="18"/>
        <v>11403.464023</v>
      </c>
      <c r="G636" s="3">
        <f t="shared" si="19"/>
        <v>56529.954022999998</v>
      </c>
    </row>
    <row r="637" spans="1:7" x14ac:dyDescent="0.3">
      <c r="A637" t="s">
        <v>13039</v>
      </c>
      <c r="B637" t="s">
        <v>1298</v>
      </c>
      <c r="C637" t="s">
        <v>1299</v>
      </c>
      <c r="D637" s="1" t="s">
        <v>195</v>
      </c>
      <c r="E637" s="3">
        <v>43509.27</v>
      </c>
      <c r="F637" s="3">
        <f t="shared" si="18"/>
        <v>10994.792529</v>
      </c>
      <c r="G637" s="3">
        <f t="shared" si="19"/>
        <v>54504.062528999995</v>
      </c>
    </row>
    <row r="638" spans="1:7" x14ac:dyDescent="0.3">
      <c r="A638" t="s">
        <v>13039</v>
      </c>
      <c r="B638" t="s">
        <v>1300</v>
      </c>
      <c r="C638" t="s">
        <v>1301</v>
      </c>
      <c r="D638" s="1" t="s">
        <v>195</v>
      </c>
      <c r="E638" s="3">
        <v>32434.29</v>
      </c>
      <c r="F638" s="3">
        <f t="shared" si="18"/>
        <v>8196.1450830000013</v>
      </c>
      <c r="G638" s="3">
        <f t="shared" si="19"/>
        <v>40630.435083000004</v>
      </c>
    </row>
    <row r="639" spans="1:7" x14ac:dyDescent="0.3">
      <c r="A639" t="s">
        <v>13039</v>
      </c>
      <c r="B639" t="s">
        <v>1302</v>
      </c>
      <c r="C639" t="s">
        <v>1303</v>
      </c>
      <c r="D639" s="1" t="s">
        <v>195</v>
      </c>
      <c r="E639" s="3">
        <v>30795.61</v>
      </c>
      <c r="F639" s="3">
        <f t="shared" si="18"/>
        <v>7782.0506470000009</v>
      </c>
      <c r="G639" s="3">
        <f t="shared" si="19"/>
        <v>38577.660647000004</v>
      </c>
    </row>
    <row r="640" spans="1:7" x14ac:dyDescent="0.3">
      <c r="A640" t="s">
        <v>13039</v>
      </c>
      <c r="B640" t="s">
        <v>1304</v>
      </c>
      <c r="C640" t="s">
        <v>1305</v>
      </c>
      <c r="D640" s="1" t="s">
        <v>195</v>
      </c>
      <c r="E640" s="3">
        <v>38597</v>
      </c>
      <c r="F640" s="3">
        <f t="shared" si="18"/>
        <v>9753.4619000000021</v>
      </c>
      <c r="G640" s="3">
        <f t="shared" si="19"/>
        <v>48350.461900000002</v>
      </c>
    </row>
    <row r="641" spans="1:7" x14ac:dyDescent="0.3">
      <c r="A641" t="s">
        <v>13039</v>
      </c>
      <c r="B641" t="s">
        <v>1306</v>
      </c>
      <c r="C641" t="s">
        <v>1307</v>
      </c>
      <c r="D641" s="1" t="s">
        <v>195</v>
      </c>
      <c r="E641" s="3">
        <v>36958.32</v>
      </c>
      <c r="F641" s="3">
        <f t="shared" si="18"/>
        <v>9339.3674640000008</v>
      </c>
      <c r="G641" s="3">
        <f t="shared" si="19"/>
        <v>46297.687464000002</v>
      </c>
    </row>
    <row r="642" spans="1:7" x14ac:dyDescent="0.3">
      <c r="A642" t="s">
        <v>13039</v>
      </c>
      <c r="B642" t="s">
        <v>1308</v>
      </c>
      <c r="C642" t="s">
        <v>1309</v>
      </c>
      <c r="D642" s="1" t="s">
        <v>195</v>
      </c>
      <c r="E642" s="3">
        <v>48376.18</v>
      </c>
      <c r="F642" s="3">
        <f t="shared" si="18"/>
        <v>12224.660686000001</v>
      </c>
      <c r="G642" s="3">
        <f t="shared" si="19"/>
        <v>60600.840686000003</v>
      </c>
    </row>
    <row r="643" spans="1:7" x14ac:dyDescent="0.3">
      <c r="A643" t="s">
        <v>13039</v>
      </c>
      <c r="B643" t="s">
        <v>1310</v>
      </c>
      <c r="C643" t="s">
        <v>1311</v>
      </c>
      <c r="D643" s="1" t="s">
        <v>195</v>
      </c>
      <c r="E643" s="3">
        <v>46737.5</v>
      </c>
      <c r="F643" s="3">
        <f t="shared" si="18"/>
        <v>11810.566250000002</v>
      </c>
      <c r="G643" s="3">
        <f t="shared" si="19"/>
        <v>58548.066250000003</v>
      </c>
    </row>
    <row r="644" spans="1:7" x14ac:dyDescent="0.3">
      <c r="A644" t="s">
        <v>13039</v>
      </c>
      <c r="B644" t="s">
        <v>1312</v>
      </c>
      <c r="C644" t="s">
        <v>1313</v>
      </c>
      <c r="D644" s="1" t="s">
        <v>195</v>
      </c>
      <c r="E644" s="3">
        <v>35731.370000000003</v>
      </c>
      <c r="F644" s="3">
        <f t="shared" si="18"/>
        <v>9029.3171990000028</v>
      </c>
      <c r="G644" s="3">
        <f t="shared" si="19"/>
        <v>44760.687199000007</v>
      </c>
    </row>
    <row r="645" spans="1:7" x14ac:dyDescent="0.3">
      <c r="A645" t="s">
        <v>13039</v>
      </c>
      <c r="B645" t="s">
        <v>1314</v>
      </c>
      <c r="C645" t="s">
        <v>1315</v>
      </c>
      <c r="D645" s="1" t="s">
        <v>195</v>
      </c>
      <c r="E645" s="3">
        <v>34034.79</v>
      </c>
      <c r="F645" s="3">
        <f t="shared" si="18"/>
        <v>8600.5914330000014</v>
      </c>
      <c r="G645" s="3">
        <f t="shared" si="19"/>
        <v>42635.381433000002</v>
      </c>
    </row>
    <row r="646" spans="1:7" x14ac:dyDescent="0.3">
      <c r="A646" t="s">
        <v>13039</v>
      </c>
      <c r="B646" t="s">
        <v>1316</v>
      </c>
      <c r="C646" t="s">
        <v>1317</v>
      </c>
      <c r="D646" s="1" t="s">
        <v>195</v>
      </c>
      <c r="E646" s="3">
        <v>42418.34</v>
      </c>
      <c r="F646" s="3">
        <f t="shared" si="18"/>
        <v>10719.114518</v>
      </c>
      <c r="G646" s="3">
        <f t="shared" si="19"/>
        <v>53137.454517999999</v>
      </c>
    </row>
    <row r="647" spans="1:7" x14ac:dyDescent="0.3">
      <c r="A647" t="s">
        <v>13039</v>
      </c>
      <c r="B647" t="s">
        <v>1318</v>
      </c>
      <c r="C647" t="s">
        <v>1319</v>
      </c>
      <c r="D647" s="1" t="s">
        <v>195</v>
      </c>
      <c r="E647" s="3">
        <v>40721.769999999997</v>
      </c>
      <c r="F647" s="3">
        <f t="shared" ref="F647:F710" si="20">+E647*$F$4</f>
        <v>10290.391279000001</v>
      </c>
      <c r="G647" s="3">
        <f t="shared" ref="G647:G710" si="21">+E647+F647</f>
        <v>51012.161279</v>
      </c>
    </row>
    <row r="648" spans="1:7" x14ac:dyDescent="0.3">
      <c r="A648" t="s">
        <v>13039</v>
      </c>
      <c r="B648" t="s">
        <v>1320</v>
      </c>
      <c r="C648" t="s">
        <v>1321</v>
      </c>
      <c r="D648" s="1" t="s">
        <v>195</v>
      </c>
      <c r="E648" s="3">
        <v>53029.42</v>
      </c>
      <c r="F648" s="3">
        <f t="shared" si="20"/>
        <v>13400.534434000001</v>
      </c>
      <c r="G648" s="3">
        <f t="shared" si="21"/>
        <v>66429.954433999999</v>
      </c>
    </row>
    <row r="649" spans="1:7" x14ac:dyDescent="0.3">
      <c r="A649" t="s">
        <v>13039</v>
      </c>
      <c r="B649" t="s">
        <v>1322</v>
      </c>
      <c r="C649" t="s">
        <v>1323</v>
      </c>
      <c r="D649" s="1" t="s">
        <v>195</v>
      </c>
      <c r="E649" s="3">
        <v>51332.85</v>
      </c>
      <c r="F649" s="3">
        <f t="shared" si="20"/>
        <v>12971.811195000002</v>
      </c>
      <c r="G649" s="3">
        <f t="shared" si="21"/>
        <v>64304.661195000001</v>
      </c>
    </row>
    <row r="650" spans="1:7" x14ac:dyDescent="0.3">
      <c r="A650" t="s">
        <v>13039</v>
      </c>
      <c r="B650" t="s">
        <v>1324</v>
      </c>
      <c r="C650" t="s">
        <v>1325</v>
      </c>
      <c r="D650" s="1" t="s">
        <v>195</v>
      </c>
      <c r="E650" s="3">
        <v>37926.080000000002</v>
      </c>
      <c r="F650" s="3">
        <f t="shared" si="20"/>
        <v>9583.9204160000027</v>
      </c>
      <c r="G650" s="3">
        <f t="shared" si="21"/>
        <v>47510.000416000003</v>
      </c>
    </row>
    <row r="651" spans="1:7" x14ac:dyDescent="0.3">
      <c r="A651" t="s">
        <v>13039</v>
      </c>
      <c r="B651" t="s">
        <v>1326</v>
      </c>
      <c r="C651" t="s">
        <v>1327</v>
      </c>
      <c r="D651" s="1" t="s">
        <v>195</v>
      </c>
      <c r="E651" s="3">
        <v>36138.97</v>
      </c>
      <c r="F651" s="3">
        <f t="shared" si="20"/>
        <v>9132.3177190000024</v>
      </c>
      <c r="G651" s="3">
        <f t="shared" si="21"/>
        <v>45271.287719</v>
      </c>
    </row>
    <row r="652" spans="1:7" x14ac:dyDescent="0.3">
      <c r="A652" t="s">
        <v>13039</v>
      </c>
      <c r="B652" t="s">
        <v>1328</v>
      </c>
      <c r="C652" t="s">
        <v>1329</v>
      </c>
      <c r="D652" s="1" t="s">
        <v>195</v>
      </c>
      <c r="E652" s="3">
        <v>45158.71</v>
      </c>
      <c r="F652" s="3">
        <f t="shared" si="20"/>
        <v>11411.606017000002</v>
      </c>
      <c r="G652" s="3">
        <f t="shared" si="21"/>
        <v>56570.316017000005</v>
      </c>
    </row>
    <row r="653" spans="1:7" x14ac:dyDescent="0.3">
      <c r="A653" t="s">
        <v>13039</v>
      </c>
      <c r="B653" t="s">
        <v>1330</v>
      </c>
      <c r="C653" t="s">
        <v>1331</v>
      </c>
      <c r="D653" s="1" t="s">
        <v>195</v>
      </c>
      <c r="E653" s="3">
        <v>43371.6</v>
      </c>
      <c r="F653" s="3">
        <f t="shared" si="20"/>
        <v>10960.003320000002</v>
      </c>
      <c r="G653" s="3">
        <f t="shared" si="21"/>
        <v>54331.603320000002</v>
      </c>
    </row>
    <row r="654" spans="1:7" x14ac:dyDescent="0.3">
      <c r="A654" t="s">
        <v>13039</v>
      </c>
      <c r="B654" t="s">
        <v>1332</v>
      </c>
      <c r="C654" t="s">
        <v>1333</v>
      </c>
      <c r="D654" s="1" t="s">
        <v>195</v>
      </c>
      <c r="E654" s="3">
        <v>56635.66</v>
      </c>
      <c r="F654" s="3">
        <f t="shared" si="20"/>
        <v>14311.831282000003</v>
      </c>
      <c r="G654" s="3">
        <f t="shared" si="21"/>
        <v>70947.491282000003</v>
      </c>
    </row>
    <row r="655" spans="1:7" x14ac:dyDescent="0.3">
      <c r="A655" t="s">
        <v>13039</v>
      </c>
      <c r="B655" t="s">
        <v>1334</v>
      </c>
      <c r="C655" t="s">
        <v>1335</v>
      </c>
      <c r="D655" s="1" t="s">
        <v>195</v>
      </c>
      <c r="E655" s="3">
        <v>54848.56</v>
      </c>
      <c r="F655" s="3">
        <f t="shared" si="20"/>
        <v>13860.231112000001</v>
      </c>
      <c r="G655" s="3">
        <f t="shared" si="21"/>
        <v>68708.791112000006</v>
      </c>
    </row>
    <row r="656" spans="1:7" x14ac:dyDescent="0.3">
      <c r="A656" t="s">
        <v>13039</v>
      </c>
      <c r="B656" t="s">
        <v>1336</v>
      </c>
      <c r="C656" t="s">
        <v>1337</v>
      </c>
      <c r="D656" s="1" t="s">
        <v>427</v>
      </c>
      <c r="E656" s="3">
        <v>15.79</v>
      </c>
      <c r="F656" s="3">
        <f t="shared" si="20"/>
        <v>3.9901330000000002</v>
      </c>
      <c r="G656" s="3">
        <f t="shared" si="21"/>
        <v>19.780132999999999</v>
      </c>
    </row>
    <row r="657" spans="1:7" x14ac:dyDescent="0.3">
      <c r="A657" t="s">
        <v>13039</v>
      </c>
      <c r="B657" t="s">
        <v>1338</v>
      </c>
      <c r="C657" t="s">
        <v>1339</v>
      </c>
      <c r="D657" s="1" t="s">
        <v>38</v>
      </c>
      <c r="E657" s="3">
        <v>13671.18</v>
      </c>
      <c r="F657" s="3">
        <f t="shared" si="20"/>
        <v>3454.7071860000005</v>
      </c>
      <c r="G657" s="3">
        <f t="shared" si="21"/>
        <v>17125.887186</v>
      </c>
    </row>
    <row r="658" spans="1:7" x14ac:dyDescent="0.3">
      <c r="A658" t="s">
        <v>13039</v>
      </c>
      <c r="B658" t="s">
        <v>1340</v>
      </c>
      <c r="C658" t="s">
        <v>1341</v>
      </c>
      <c r="D658" s="1" t="s">
        <v>38</v>
      </c>
      <c r="E658" s="3">
        <v>12202.65</v>
      </c>
      <c r="F658" s="3">
        <f t="shared" si="20"/>
        <v>3083.6096550000002</v>
      </c>
      <c r="G658" s="3">
        <f t="shared" si="21"/>
        <v>15286.259655</v>
      </c>
    </row>
    <row r="659" spans="1:7" x14ac:dyDescent="0.3">
      <c r="A659" t="s">
        <v>13039</v>
      </c>
      <c r="B659" t="s">
        <v>1342</v>
      </c>
      <c r="C659" t="s">
        <v>1343</v>
      </c>
      <c r="D659" s="1" t="s">
        <v>38</v>
      </c>
      <c r="E659" s="3">
        <v>14989.05</v>
      </c>
      <c r="F659" s="3">
        <f t="shared" si="20"/>
        <v>3787.7329350000005</v>
      </c>
      <c r="G659" s="3">
        <f t="shared" si="21"/>
        <v>18776.782934999999</v>
      </c>
    </row>
    <row r="660" spans="1:7" x14ac:dyDescent="0.3">
      <c r="A660" t="s">
        <v>13039</v>
      </c>
      <c r="B660" t="s">
        <v>1344</v>
      </c>
      <c r="C660" t="s">
        <v>1345</v>
      </c>
      <c r="D660" s="1" t="s">
        <v>38</v>
      </c>
      <c r="E660" s="3">
        <v>13406.76</v>
      </c>
      <c r="F660" s="3">
        <f t="shared" si="20"/>
        <v>3387.8882520000006</v>
      </c>
      <c r="G660" s="3">
        <f t="shared" si="21"/>
        <v>16794.648251999999</v>
      </c>
    </row>
    <row r="661" spans="1:7" x14ac:dyDescent="0.3">
      <c r="A661" t="s">
        <v>13039</v>
      </c>
      <c r="B661" t="s">
        <v>1346</v>
      </c>
      <c r="C661" t="s">
        <v>1347</v>
      </c>
      <c r="D661" s="1" t="s">
        <v>38</v>
      </c>
      <c r="E661" s="3">
        <v>15996.49</v>
      </c>
      <c r="F661" s="3">
        <f t="shared" si="20"/>
        <v>4042.3130230000006</v>
      </c>
      <c r="G661" s="3">
        <f t="shared" si="21"/>
        <v>20038.803023</v>
      </c>
    </row>
    <row r="662" spans="1:7" x14ac:dyDescent="0.3">
      <c r="A662" t="s">
        <v>13039</v>
      </c>
      <c r="B662" t="s">
        <v>1348</v>
      </c>
      <c r="C662" t="s">
        <v>1349</v>
      </c>
      <c r="D662" s="1" t="s">
        <v>38</v>
      </c>
      <c r="E662" s="3">
        <v>14213.13</v>
      </c>
      <c r="F662" s="3">
        <f t="shared" si="20"/>
        <v>3591.6579510000001</v>
      </c>
      <c r="G662" s="3">
        <f t="shared" si="21"/>
        <v>17804.787950999998</v>
      </c>
    </row>
    <row r="663" spans="1:7" x14ac:dyDescent="0.3">
      <c r="A663" t="s">
        <v>13039</v>
      </c>
      <c r="B663" t="s">
        <v>1350</v>
      </c>
      <c r="C663" t="s">
        <v>1351</v>
      </c>
      <c r="D663" s="1" t="s">
        <v>38</v>
      </c>
      <c r="E663" s="3">
        <v>20073.45</v>
      </c>
      <c r="F663" s="3">
        <f t="shared" si="20"/>
        <v>5072.5608150000007</v>
      </c>
      <c r="G663" s="3">
        <f t="shared" si="21"/>
        <v>25146.010815000001</v>
      </c>
    </row>
    <row r="664" spans="1:7" x14ac:dyDescent="0.3">
      <c r="A664" t="s">
        <v>13039</v>
      </c>
      <c r="B664" t="s">
        <v>1352</v>
      </c>
      <c r="C664" t="s">
        <v>1353</v>
      </c>
      <c r="D664" s="1" t="s">
        <v>38</v>
      </c>
      <c r="E664" s="3">
        <v>17890.95</v>
      </c>
      <c r="F664" s="3">
        <f t="shared" si="20"/>
        <v>4521.0430650000008</v>
      </c>
      <c r="G664" s="3">
        <f t="shared" si="21"/>
        <v>22411.993065000002</v>
      </c>
    </row>
    <row r="665" spans="1:7" x14ac:dyDescent="0.3">
      <c r="A665" t="s">
        <v>13039</v>
      </c>
      <c r="B665" t="s">
        <v>1354</v>
      </c>
      <c r="C665" t="s">
        <v>1355</v>
      </c>
      <c r="D665" s="1" t="s">
        <v>38</v>
      </c>
      <c r="E665" s="3">
        <v>21189.3</v>
      </c>
      <c r="F665" s="3">
        <f t="shared" si="20"/>
        <v>5354.5361100000009</v>
      </c>
      <c r="G665" s="3">
        <f t="shared" si="21"/>
        <v>26543.83611</v>
      </c>
    </row>
    <row r="666" spans="1:7" x14ac:dyDescent="0.3">
      <c r="A666" t="s">
        <v>13039</v>
      </c>
      <c r="B666" t="s">
        <v>1356</v>
      </c>
      <c r="C666" t="s">
        <v>1357</v>
      </c>
      <c r="D666" s="1" t="s">
        <v>38</v>
      </c>
      <c r="E666" s="3">
        <v>18721.349999999999</v>
      </c>
      <c r="F666" s="3">
        <f t="shared" si="20"/>
        <v>4730.8851450000002</v>
      </c>
      <c r="G666" s="3">
        <f t="shared" si="21"/>
        <v>23452.235144999999</v>
      </c>
    </row>
    <row r="667" spans="1:7" x14ac:dyDescent="0.3">
      <c r="A667" t="s">
        <v>13039</v>
      </c>
      <c r="B667" t="s">
        <v>1358</v>
      </c>
      <c r="C667" t="s">
        <v>1359</v>
      </c>
      <c r="D667" s="1" t="s">
        <v>38</v>
      </c>
      <c r="E667" s="3">
        <v>23254.77</v>
      </c>
      <c r="F667" s="3">
        <f t="shared" si="20"/>
        <v>5876.4803790000005</v>
      </c>
      <c r="G667" s="3">
        <f t="shared" si="21"/>
        <v>29131.250379000001</v>
      </c>
    </row>
    <row r="668" spans="1:7" x14ac:dyDescent="0.3">
      <c r="A668" t="s">
        <v>13039</v>
      </c>
      <c r="B668" t="s">
        <v>1360</v>
      </c>
      <c r="C668" t="s">
        <v>1361</v>
      </c>
      <c r="D668" s="1" t="s">
        <v>38</v>
      </c>
      <c r="E668" s="3">
        <v>20612.77</v>
      </c>
      <c r="F668" s="3">
        <f t="shared" si="20"/>
        <v>5208.8469790000008</v>
      </c>
      <c r="G668" s="3">
        <f t="shared" si="21"/>
        <v>25821.616979000002</v>
      </c>
    </row>
    <row r="669" spans="1:7" x14ac:dyDescent="0.3">
      <c r="A669" t="s">
        <v>13039</v>
      </c>
      <c r="B669" t="s">
        <v>1362</v>
      </c>
      <c r="C669" t="s">
        <v>1363</v>
      </c>
      <c r="D669" s="1" t="s">
        <v>38</v>
      </c>
      <c r="E669" s="3">
        <v>24974.03</v>
      </c>
      <c r="F669" s="3">
        <f t="shared" si="20"/>
        <v>6310.9373810000006</v>
      </c>
      <c r="G669" s="3">
        <f t="shared" si="21"/>
        <v>31284.967380999999</v>
      </c>
    </row>
    <row r="670" spans="1:7" x14ac:dyDescent="0.3">
      <c r="A670" t="s">
        <v>13039</v>
      </c>
      <c r="B670" t="s">
        <v>1364</v>
      </c>
      <c r="C670" t="s">
        <v>1365</v>
      </c>
      <c r="D670" s="1" t="s">
        <v>38</v>
      </c>
      <c r="E670" s="3">
        <v>22082.05</v>
      </c>
      <c r="F670" s="3">
        <f t="shared" si="20"/>
        <v>5580.1340350000009</v>
      </c>
      <c r="G670" s="3">
        <f t="shared" si="21"/>
        <v>27662.184034999998</v>
      </c>
    </row>
    <row r="671" spans="1:7" x14ac:dyDescent="0.3">
      <c r="A671" t="s">
        <v>13039</v>
      </c>
      <c r="B671" t="s">
        <v>1366</v>
      </c>
      <c r="C671" t="s">
        <v>1367</v>
      </c>
      <c r="D671" s="1" t="s">
        <v>38</v>
      </c>
      <c r="E671" s="3">
        <v>31718.33</v>
      </c>
      <c r="F671" s="3">
        <f t="shared" si="20"/>
        <v>8015.2219910000013</v>
      </c>
      <c r="G671" s="3">
        <f t="shared" si="21"/>
        <v>39733.551991</v>
      </c>
    </row>
    <row r="672" spans="1:7" x14ac:dyDescent="0.3">
      <c r="A672" t="s">
        <v>13039</v>
      </c>
      <c r="B672" t="s">
        <v>1368</v>
      </c>
      <c r="C672" t="s">
        <v>1369</v>
      </c>
      <c r="D672" s="1" t="s">
        <v>38</v>
      </c>
      <c r="E672" s="3">
        <v>28130.49</v>
      </c>
      <c r="F672" s="3">
        <f t="shared" si="20"/>
        <v>7108.5748230000017</v>
      </c>
      <c r="G672" s="3">
        <f t="shared" si="21"/>
        <v>35239.064823000001</v>
      </c>
    </row>
    <row r="673" spans="1:7" x14ac:dyDescent="0.3">
      <c r="A673" t="s">
        <v>13039</v>
      </c>
      <c r="B673" t="s">
        <v>1370</v>
      </c>
      <c r="C673" t="s">
        <v>1371</v>
      </c>
      <c r="D673" s="1" t="s">
        <v>38</v>
      </c>
      <c r="E673" s="3">
        <v>29646.19</v>
      </c>
      <c r="F673" s="3">
        <f t="shared" si="20"/>
        <v>7491.5922130000008</v>
      </c>
      <c r="G673" s="3">
        <f t="shared" si="21"/>
        <v>37137.782212999999</v>
      </c>
    </row>
    <row r="674" spans="1:7" x14ac:dyDescent="0.3">
      <c r="A674" t="s">
        <v>13039</v>
      </c>
      <c r="B674" t="s">
        <v>1372</v>
      </c>
      <c r="C674" t="s">
        <v>1373</v>
      </c>
      <c r="D674" s="1" t="s">
        <v>38</v>
      </c>
      <c r="E674" s="3">
        <v>26055.119999999999</v>
      </c>
      <c r="F674" s="3">
        <f t="shared" si="20"/>
        <v>6584.1288240000003</v>
      </c>
      <c r="G674" s="3">
        <f t="shared" si="21"/>
        <v>32639.248823999998</v>
      </c>
    </row>
    <row r="675" spans="1:7" x14ac:dyDescent="0.3">
      <c r="A675" t="s">
        <v>13039</v>
      </c>
      <c r="B675" t="s">
        <v>1374</v>
      </c>
      <c r="C675" t="s">
        <v>1375</v>
      </c>
      <c r="D675" s="1" t="s">
        <v>38</v>
      </c>
      <c r="E675" s="3">
        <v>32053.75</v>
      </c>
      <c r="F675" s="3">
        <f t="shared" si="20"/>
        <v>8099.9826250000015</v>
      </c>
      <c r="G675" s="3">
        <f t="shared" si="21"/>
        <v>40153.732625000004</v>
      </c>
    </row>
    <row r="676" spans="1:7" x14ac:dyDescent="0.3">
      <c r="A676" t="s">
        <v>13039</v>
      </c>
      <c r="B676" t="s">
        <v>1376</v>
      </c>
      <c r="C676" t="s">
        <v>1377</v>
      </c>
      <c r="D676" s="1" t="s">
        <v>38</v>
      </c>
      <c r="E676" s="3">
        <v>28395.54</v>
      </c>
      <c r="F676" s="3">
        <f t="shared" si="20"/>
        <v>7175.5529580000011</v>
      </c>
      <c r="G676" s="3">
        <f t="shared" si="21"/>
        <v>35571.092958000001</v>
      </c>
    </row>
    <row r="677" spans="1:7" x14ac:dyDescent="0.3">
      <c r="A677" t="s">
        <v>13039</v>
      </c>
      <c r="B677" t="s">
        <v>1378</v>
      </c>
      <c r="C677" t="s">
        <v>1379</v>
      </c>
      <c r="D677" s="1" t="s">
        <v>38</v>
      </c>
      <c r="E677" s="3">
        <v>34099.300000000003</v>
      </c>
      <c r="F677" s="3">
        <f t="shared" si="20"/>
        <v>8616.8931100000027</v>
      </c>
      <c r="G677" s="3">
        <f t="shared" si="21"/>
        <v>42716.193110000007</v>
      </c>
    </row>
    <row r="678" spans="1:7" x14ac:dyDescent="0.3">
      <c r="A678" t="s">
        <v>13039</v>
      </c>
      <c r="B678" t="s">
        <v>1380</v>
      </c>
      <c r="C678" t="s">
        <v>1381</v>
      </c>
      <c r="D678" s="1" t="s">
        <v>38</v>
      </c>
      <c r="E678" s="3">
        <v>30475</v>
      </c>
      <c r="F678" s="3">
        <f t="shared" si="20"/>
        <v>7701.0325000000012</v>
      </c>
      <c r="G678" s="3">
        <f t="shared" si="21"/>
        <v>38176.032500000001</v>
      </c>
    </row>
    <row r="679" spans="1:7" x14ac:dyDescent="0.3">
      <c r="A679" t="s">
        <v>13039</v>
      </c>
      <c r="B679" t="s">
        <v>1382</v>
      </c>
      <c r="C679" t="s">
        <v>1383</v>
      </c>
      <c r="D679" s="1" t="s">
        <v>38</v>
      </c>
      <c r="E679" s="3">
        <v>45916.55</v>
      </c>
      <c r="F679" s="3">
        <f t="shared" si="20"/>
        <v>11603.112185000002</v>
      </c>
      <c r="G679" s="3">
        <f t="shared" si="21"/>
        <v>57519.662185000008</v>
      </c>
    </row>
    <row r="680" spans="1:7" x14ac:dyDescent="0.3">
      <c r="A680" t="s">
        <v>13039</v>
      </c>
      <c r="B680" t="s">
        <v>1384</v>
      </c>
      <c r="C680" t="s">
        <v>1385</v>
      </c>
      <c r="D680" s="1" t="s">
        <v>38</v>
      </c>
      <c r="E680" s="3">
        <v>40864.39</v>
      </c>
      <c r="F680" s="3">
        <f t="shared" si="20"/>
        <v>10326.431353000002</v>
      </c>
      <c r="G680" s="3">
        <f t="shared" si="21"/>
        <v>51190.821352999999</v>
      </c>
    </row>
    <row r="681" spans="1:7" x14ac:dyDescent="0.3">
      <c r="A681" t="s">
        <v>13039</v>
      </c>
      <c r="B681" t="s">
        <v>1386</v>
      </c>
      <c r="C681" t="s">
        <v>1387</v>
      </c>
      <c r="D681" s="1" t="s">
        <v>38</v>
      </c>
      <c r="E681" s="3">
        <v>42879.3</v>
      </c>
      <c r="F681" s="3">
        <f t="shared" si="20"/>
        <v>10835.599110000003</v>
      </c>
      <c r="G681" s="3">
        <f t="shared" si="21"/>
        <v>53714.899110000006</v>
      </c>
    </row>
    <row r="682" spans="1:7" x14ac:dyDescent="0.3">
      <c r="A682" t="s">
        <v>13039</v>
      </c>
      <c r="B682" t="s">
        <v>1388</v>
      </c>
      <c r="C682" t="s">
        <v>1389</v>
      </c>
      <c r="D682" s="1" t="s">
        <v>38</v>
      </c>
      <c r="E682" s="3">
        <v>37646.39</v>
      </c>
      <c r="F682" s="3">
        <f t="shared" si="20"/>
        <v>9513.2427530000004</v>
      </c>
      <c r="G682" s="3">
        <f t="shared" si="21"/>
        <v>47159.632752999998</v>
      </c>
    </row>
    <row r="683" spans="1:7" x14ac:dyDescent="0.3">
      <c r="A683" t="s">
        <v>13039</v>
      </c>
      <c r="B683" t="s">
        <v>1390</v>
      </c>
      <c r="C683" t="s">
        <v>1391</v>
      </c>
      <c r="D683" s="1" t="s">
        <v>38</v>
      </c>
      <c r="E683" s="3">
        <v>46211.839999999997</v>
      </c>
      <c r="F683" s="3">
        <f t="shared" si="20"/>
        <v>11677.731968</v>
      </c>
      <c r="G683" s="3">
        <f t="shared" si="21"/>
        <v>57889.571967999997</v>
      </c>
    </row>
    <row r="684" spans="1:7" x14ac:dyDescent="0.3">
      <c r="A684" t="s">
        <v>13039</v>
      </c>
      <c r="B684" t="s">
        <v>1392</v>
      </c>
      <c r="C684" t="s">
        <v>1393</v>
      </c>
      <c r="D684" s="1" t="s">
        <v>38</v>
      </c>
      <c r="E684" s="3">
        <v>40929.879999999997</v>
      </c>
      <c r="F684" s="3">
        <f t="shared" si="20"/>
        <v>10342.980676000001</v>
      </c>
      <c r="G684" s="3">
        <f t="shared" si="21"/>
        <v>51272.860675999997</v>
      </c>
    </row>
    <row r="685" spans="1:7" x14ac:dyDescent="0.3">
      <c r="A685" t="s">
        <v>13039</v>
      </c>
      <c r="B685" t="s">
        <v>1394</v>
      </c>
      <c r="C685" t="s">
        <v>1395</v>
      </c>
      <c r="D685" s="1" t="s">
        <v>38</v>
      </c>
      <c r="E685" s="3">
        <v>52450.29</v>
      </c>
      <c r="F685" s="3">
        <f t="shared" si="20"/>
        <v>13254.188283000001</v>
      </c>
      <c r="G685" s="3">
        <f t="shared" si="21"/>
        <v>65704.478283000004</v>
      </c>
    </row>
    <row r="686" spans="1:7" x14ac:dyDescent="0.3">
      <c r="A686" t="s">
        <v>13039</v>
      </c>
      <c r="B686" t="s">
        <v>1396</v>
      </c>
      <c r="C686" t="s">
        <v>1397</v>
      </c>
      <c r="D686" s="1" t="s">
        <v>38</v>
      </c>
      <c r="E686" s="3">
        <v>46575.44</v>
      </c>
      <c r="F686" s="3">
        <f t="shared" si="20"/>
        <v>11769.613688000003</v>
      </c>
      <c r="G686" s="3">
        <f t="shared" si="21"/>
        <v>58345.053688000007</v>
      </c>
    </row>
    <row r="687" spans="1:7" x14ac:dyDescent="0.3">
      <c r="A687" t="s">
        <v>13039</v>
      </c>
      <c r="B687" t="s">
        <v>1398</v>
      </c>
      <c r="C687" t="s">
        <v>1399</v>
      </c>
      <c r="D687" s="1" t="s">
        <v>38</v>
      </c>
      <c r="E687" s="3">
        <v>66482.23</v>
      </c>
      <c r="F687" s="3">
        <f t="shared" si="20"/>
        <v>16800.059521000003</v>
      </c>
      <c r="G687" s="3">
        <f t="shared" si="21"/>
        <v>83282.289520999999</v>
      </c>
    </row>
    <row r="688" spans="1:7" x14ac:dyDescent="0.3">
      <c r="A688" t="s">
        <v>13039</v>
      </c>
      <c r="B688" t="s">
        <v>1400</v>
      </c>
      <c r="C688" t="s">
        <v>1401</v>
      </c>
      <c r="D688" s="1" t="s">
        <v>38</v>
      </c>
      <c r="E688" s="3">
        <v>59285.89</v>
      </c>
      <c r="F688" s="3">
        <f t="shared" si="20"/>
        <v>14981.544403000002</v>
      </c>
      <c r="G688" s="3">
        <f t="shared" si="21"/>
        <v>74267.434403000007</v>
      </c>
    </row>
    <row r="689" spans="1:7" x14ac:dyDescent="0.3">
      <c r="A689" t="s">
        <v>13039</v>
      </c>
      <c r="B689" t="s">
        <v>1402</v>
      </c>
      <c r="C689" t="s">
        <v>1403</v>
      </c>
      <c r="D689" s="1" t="s">
        <v>38</v>
      </c>
      <c r="E689" s="3">
        <v>11707.07</v>
      </c>
      <c r="F689" s="3">
        <f t="shared" si="20"/>
        <v>2958.3765890000004</v>
      </c>
      <c r="G689" s="3">
        <f t="shared" si="21"/>
        <v>14665.446588999999</v>
      </c>
    </row>
    <row r="690" spans="1:7" x14ac:dyDescent="0.3">
      <c r="A690" t="s">
        <v>13039</v>
      </c>
      <c r="B690" t="s">
        <v>1404</v>
      </c>
      <c r="C690" t="s">
        <v>1405</v>
      </c>
      <c r="D690" s="1" t="s">
        <v>38</v>
      </c>
      <c r="E690" s="3">
        <v>10351.879999999999</v>
      </c>
      <c r="F690" s="3">
        <f t="shared" si="20"/>
        <v>2615.9200760000003</v>
      </c>
      <c r="G690" s="3">
        <f t="shared" si="21"/>
        <v>12967.800076</v>
      </c>
    </row>
    <row r="691" spans="1:7" x14ac:dyDescent="0.3">
      <c r="A691" t="s">
        <v>13039</v>
      </c>
      <c r="B691" t="s">
        <v>1406</v>
      </c>
      <c r="C691" t="s">
        <v>1407</v>
      </c>
      <c r="D691" s="1" t="s">
        <v>38</v>
      </c>
      <c r="E691" s="3">
        <v>12098.83</v>
      </c>
      <c r="F691" s="3">
        <f t="shared" si="20"/>
        <v>3057.3743410000006</v>
      </c>
      <c r="G691" s="3">
        <f t="shared" si="21"/>
        <v>15156.204341000001</v>
      </c>
    </row>
    <row r="692" spans="1:7" x14ac:dyDescent="0.3">
      <c r="A692" t="s">
        <v>13039</v>
      </c>
      <c r="B692" t="s">
        <v>1408</v>
      </c>
      <c r="C692" t="s">
        <v>1409</v>
      </c>
      <c r="D692" s="1" t="s">
        <v>38</v>
      </c>
      <c r="E692" s="3">
        <v>10860.04</v>
      </c>
      <c r="F692" s="3">
        <f t="shared" si="20"/>
        <v>2744.3321080000005</v>
      </c>
      <c r="G692" s="3">
        <f t="shared" si="21"/>
        <v>13604.372108000001</v>
      </c>
    </row>
    <row r="693" spans="1:7" x14ac:dyDescent="0.3">
      <c r="A693" t="s">
        <v>13039</v>
      </c>
      <c r="B693" t="s">
        <v>1410</v>
      </c>
      <c r="C693" t="s">
        <v>1411</v>
      </c>
      <c r="D693" s="1" t="s">
        <v>38</v>
      </c>
      <c r="E693" s="3">
        <v>13039.84</v>
      </c>
      <c r="F693" s="3">
        <f t="shared" si="20"/>
        <v>3295.1675680000003</v>
      </c>
      <c r="G693" s="3">
        <f t="shared" si="21"/>
        <v>16335.007568000001</v>
      </c>
    </row>
    <row r="694" spans="1:7" x14ac:dyDescent="0.3">
      <c r="A694" t="s">
        <v>13039</v>
      </c>
      <c r="B694" t="s">
        <v>1412</v>
      </c>
      <c r="C694" t="s">
        <v>1413</v>
      </c>
      <c r="D694" s="1" t="s">
        <v>38</v>
      </c>
      <c r="E694" s="3">
        <v>11609.68</v>
      </c>
      <c r="F694" s="3">
        <f t="shared" si="20"/>
        <v>2933.7661360000006</v>
      </c>
      <c r="G694" s="3">
        <f t="shared" si="21"/>
        <v>14543.446136</v>
      </c>
    </row>
    <row r="695" spans="1:7" x14ac:dyDescent="0.3">
      <c r="A695" t="s">
        <v>13039</v>
      </c>
      <c r="B695" t="s">
        <v>1414</v>
      </c>
      <c r="C695" t="s">
        <v>1415</v>
      </c>
      <c r="D695" s="1" t="s">
        <v>38</v>
      </c>
      <c r="E695" s="3">
        <v>16248.51</v>
      </c>
      <c r="F695" s="3">
        <f t="shared" si="20"/>
        <v>4105.998477000001</v>
      </c>
      <c r="G695" s="3">
        <f t="shared" si="21"/>
        <v>20354.508477000003</v>
      </c>
    </row>
    <row r="696" spans="1:7" x14ac:dyDescent="0.3">
      <c r="A696" t="s">
        <v>13039</v>
      </c>
      <c r="B696" t="s">
        <v>1416</v>
      </c>
      <c r="C696" t="s">
        <v>1417</v>
      </c>
      <c r="D696" s="1" t="s">
        <v>38</v>
      </c>
      <c r="E696" s="3">
        <v>14574.39</v>
      </c>
      <c r="F696" s="3">
        <f t="shared" si="20"/>
        <v>3682.9483530000002</v>
      </c>
      <c r="G696" s="3">
        <f t="shared" si="21"/>
        <v>18257.338352999999</v>
      </c>
    </row>
    <row r="697" spans="1:7" x14ac:dyDescent="0.3">
      <c r="A697" t="s">
        <v>13039</v>
      </c>
      <c r="B697" t="s">
        <v>1418</v>
      </c>
      <c r="C697" t="s">
        <v>1419</v>
      </c>
      <c r="D697" s="1" t="s">
        <v>38</v>
      </c>
      <c r="E697" s="3">
        <v>18256.16</v>
      </c>
      <c r="F697" s="3">
        <f t="shared" si="20"/>
        <v>4613.3316320000004</v>
      </c>
      <c r="G697" s="3">
        <f t="shared" si="21"/>
        <v>22869.491632000001</v>
      </c>
    </row>
    <row r="698" spans="1:7" x14ac:dyDescent="0.3">
      <c r="A698" t="s">
        <v>13039</v>
      </c>
      <c r="B698" t="s">
        <v>1420</v>
      </c>
      <c r="C698" t="s">
        <v>1421</v>
      </c>
      <c r="D698" s="1" t="s">
        <v>38</v>
      </c>
      <c r="E698" s="3">
        <v>16100.58</v>
      </c>
      <c r="F698" s="3">
        <f t="shared" si="20"/>
        <v>4068.6165660000006</v>
      </c>
      <c r="G698" s="3">
        <f t="shared" si="21"/>
        <v>20169.196565999999</v>
      </c>
    </row>
    <row r="699" spans="1:7" x14ac:dyDescent="0.3">
      <c r="A699" t="s">
        <v>13039</v>
      </c>
      <c r="B699" t="s">
        <v>1422</v>
      </c>
      <c r="C699" t="s">
        <v>1423</v>
      </c>
      <c r="D699" s="1" t="s">
        <v>38</v>
      </c>
      <c r="E699" s="3">
        <v>18744.52</v>
      </c>
      <c r="F699" s="3">
        <f t="shared" si="20"/>
        <v>4736.7402040000006</v>
      </c>
      <c r="G699" s="3">
        <f t="shared" si="21"/>
        <v>23481.260204000002</v>
      </c>
    </row>
    <row r="700" spans="1:7" x14ac:dyDescent="0.3">
      <c r="A700" t="s">
        <v>13039</v>
      </c>
      <c r="B700" t="s">
        <v>1424</v>
      </c>
      <c r="C700" t="s">
        <v>1425</v>
      </c>
      <c r="D700" s="1" t="s">
        <v>38</v>
      </c>
      <c r="E700" s="3">
        <v>16738.61</v>
      </c>
      <c r="F700" s="3">
        <f t="shared" si="20"/>
        <v>4229.8467470000005</v>
      </c>
      <c r="G700" s="3">
        <f t="shared" si="21"/>
        <v>20968.456747</v>
      </c>
    </row>
    <row r="701" spans="1:7" x14ac:dyDescent="0.3">
      <c r="A701" t="s">
        <v>13039</v>
      </c>
      <c r="B701" t="s">
        <v>1426</v>
      </c>
      <c r="C701" t="s">
        <v>1427</v>
      </c>
      <c r="D701" s="1" t="s">
        <v>38</v>
      </c>
      <c r="E701" s="3">
        <v>20290.04</v>
      </c>
      <c r="F701" s="3">
        <f t="shared" si="20"/>
        <v>5127.2931080000008</v>
      </c>
      <c r="G701" s="3">
        <f t="shared" si="21"/>
        <v>25417.333108000003</v>
      </c>
    </row>
    <row r="702" spans="1:7" x14ac:dyDescent="0.3">
      <c r="A702" t="s">
        <v>13039</v>
      </c>
      <c r="B702" t="s">
        <v>1428</v>
      </c>
      <c r="C702" t="s">
        <v>1429</v>
      </c>
      <c r="D702" s="1" t="s">
        <v>38</v>
      </c>
      <c r="E702" s="3">
        <v>18038.71</v>
      </c>
      <c r="F702" s="3">
        <f t="shared" si="20"/>
        <v>4558.3820170000008</v>
      </c>
      <c r="G702" s="3">
        <f t="shared" si="21"/>
        <v>22597.092016999999</v>
      </c>
    </row>
    <row r="703" spans="1:7" x14ac:dyDescent="0.3">
      <c r="A703" t="s">
        <v>13039</v>
      </c>
      <c r="B703" t="s">
        <v>1430</v>
      </c>
      <c r="C703" t="s">
        <v>1431</v>
      </c>
      <c r="D703" s="1" t="s">
        <v>38</v>
      </c>
      <c r="E703" s="3">
        <v>25922.34</v>
      </c>
      <c r="F703" s="3">
        <f t="shared" si="20"/>
        <v>6550.5753180000011</v>
      </c>
      <c r="G703" s="3">
        <f t="shared" si="21"/>
        <v>32472.915317999999</v>
      </c>
    </row>
    <row r="704" spans="1:7" x14ac:dyDescent="0.3">
      <c r="A704" t="s">
        <v>13039</v>
      </c>
      <c r="B704" t="s">
        <v>1432</v>
      </c>
      <c r="C704" t="s">
        <v>1433</v>
      </c>
      <c r="D704" s="1" t="s">
        <v>38</v>
      </c>
      <c r="E704" s="3">
        <v>23107.63</v>
      </c>
      <c r="F704" s="3">
        <f t="shared" si="20"/>
        <v>5839.2981010000012</v>
      </c>
      <c r="G704" s="3">
        <f t="shared" si="21"/>
        <v>28946.928101000001</v>
      </c>
    </row>
    <row r="705" spans="1:7" x14ac:dyDescent="0.3">
      <c r="A705" t="s">
        <v>13039</v>
      </c>
      <c r="B705" t="s">
        <v>1434</v>
      </c>
      <c r="C705" t="s">
        <v>1435</v>
      </c>
      <c r="D705" s="1" t="s">
        <v>38</v>
      </c>
      <c r="E705" s="3">
        <v>24685.02</v>
      </c>
      <c r="F705" s="3">
        <f t="shared" si="20"/>
        <v>6237.9045540000006</v>
      </c>
      <c r="G705" s="3">
        <f t="shared" si="21"/>
        <v>30922.924554000001</v>
      </c>
    </row>
    <row r="706" spans="1:7" x14ac:dyDescent="0.3">
      <c r="A706" t="s">
        <v>13039</v>
      </c>
      <c r="B706" t="s">
        <v>1436</v>
      </c>
      <c r="C706" t="s">
        <v>1437</v>
      </c>
      <c r="D706" s="1" t="s">
        <v>38</v>
      </c>
      <c r="E706" s="3">
        <v>21724.7</v>
      </c>
      <c r="F706" s="3">
        <f t="shared" si="20"/>
        <v>5489.8316900000009</v>
      </c>
      <c r="G706" s="3">
        <f t="shared" si="21"/>
        <v>27214.531690000003</v>
      </c>
    </row>
    <row r="707" spans="1:7" x14ac:dyDescent="0.3">
      <c r="A707" t="s">
        <v>13039</v>
      </c>
      <c r="B707" t="s">
        <v>1438</v>
      </c>
      <c r="C707" t="s">
        <v>1439</v>
      </c>
      <c r="D707" s="1" t="s">
        <v>38</v>
      </c>
      <c r="E707" s="3">
        <v>26157.33</v>
      </c>
      <c r="F707" s="3">
        <f t="shared" si="20"/>
        <v>6609.9572910000015</v>
      </c>
      <c r="G707" s="3">
        <f t="shared" si="21"/>
        <v>32767.287291000004</v>
      </c>
    </row>
    <row r="708" spans="1:7" x14ac:dyDescent="0.3">
      <c r="A708" t="s">
        <v>13039</v>
      </c>
      <c r="B708" t="s">
        <v>1440</v>
      </c>
      <c r="C708" t="s">
        <v>1441</v>
      </c>
      <c r="D708" s="1" t="s">
        <v>38</v>
      </c>
      <c r="E708" s="3">
        <v>23196.6</v>
      </c>
      <c r="F708" s="3">
        <f t="shared" si="20"/>
        <v>5861.7808200000009</v>
      </c>
      <c r="G708" s="3">
        <f t="shared" si="21"/>
        <v>29058.380819999998</v>
      </c>
    </row>
    <row r="709" spans="1:7" x14ac:dyDescent="0.3">
      <c r="A709" t="s">
        <v>13039</v>
      </c>
      <c r="B709" t="s">
        <v>1442</v>
      </c>
      <c r="C709" t="s">
        <v>1443</v>
      </c>
      <c r="D709" s="1" t="s">
        <v>38</v>
      </c>
      <c r="E709" s="3">
        <v>28999.279999999999</v>
      </c>
      <c r="F709" s="3">
        <f t="shared" si="20"/>
        <v>7328.1180560000012</v>
      </c>
      <c r="G709" s="3">
        <f t="shared" si="21"/>
        <v>36327.398055999998</v>
      </c>
    </row>
    <row r="710" spans="1:7" x14ac:dyDescent="0.3">
      <c r="A710" t="s">
        <v>13039</v>
      </c>
      <c r="B710" t="s">
        <v>1444</v>
      </c>
      <c r="C710" t="s">
        <v>1445</v>
      </c>
      <c r="D710" s="1" t="s">
        <v>38</v>
      </c>
      <c r="E710" s="3">
        <v>25840.82</v>
      </c>
      <c r="F710" s="3">
        <f t="shared" si="20"/>
        <v>6529.975214000001</v>
      </c>
      <c r="G710" s="3">
        <f t="shared" si="21"/>
        <v>32370.795214000002</v>
      </c>
    </row>
    <row r="711" spans="1:7" x14ac:dyDescent="0.3">
      <c r="A711" t="s">
        <v>13039</v>
      </c>
      <c r="B711" t="s">
        <v>1446</v>
      </c>
      <c r="C711" t="s">
        <v>1447</v>
      </c>
      <c r="D711" s="1" t="s">
        <v>38</v>
      </c>
      <c r="E711" s="3">
        <v>36746.89</v>
      </c>
      <c r="F711" s="3">
        <f t="shared" ref="F711:F774" si="22">+E711*$F$4</f>
        <v>9285.9391030000006</v>
      </c>
      <c r="G711" s="3">
        <f t="shared" ref="G711:G774" si="23">+E711+F711</f>
        <v>46032.829102999996</v>
      </c>
    </row>
    <row r="712" spans="1:7" x14ac:dyDescent="0.3">
      <c r="A712" t="s">
        <v>13039</v>
      </c>
      <c r="B712" t="s">
        <v>1448</v>
      </c>
      <c r="C712" t="s">
        <v>1449</v>
      </c>
      <c r="D712" s="1" t="s">
        <v>38</v>
      </c>
      <c r="E712" s="3">
        <v>32877.39</v>
      </c>
      <c r="F712" s="3">
        <f t="shared" si="22"/>
        <v>8308.1164530000005</v>
      </c>
      <c r="G712" s="3">
        <f t="shared" si="23"/>
        <v>41185.506453000002</v>
      </c>
    </row>
    <row r="713" spans="1:7" x14ac:dyDescent="0.3">
      <c r="A713" t="s">
        <v>13039</v>
      </c>
      <c r="B713" t="s">
        <v>1450</v>
      </c>
      <c r="C713" t="s">
        <v>1451</v>
      </c>
      <c r="D713" s="1" t="s">
        <v>38</v>
      </c>
      <c r="E713" s="3">
        <v>35097.5</v>
      </c>
      <c r="F713" s="3">
        <f t="shared" si="22"/>
        <v>8869.1382500000018</v>
      </c>
      <c r="G713" s="3">
        <f t="shared" si="23"/>
        <v>43966.638250000004</v>
      </c>
    </row>
    <row r="714" spans="1:7" x14ac:dyDescent="0.3">
      <c r="A714" t="s">
        <v>13039</v>
      </c>
      <c r="B714" t="s">
        <v>1452</v>
      </c>
      <c r="C714" t="s">
        <v>1453</v>
      </c>
      <c r="D714" s="1" t="s">
        <v>38</v>
      </c>
      <c r="E714" s="3">
        <v>30803.39</v>
      </c>
      <c r="F714" s="3">
        <f t="shared" si="22"/>
        <v>7784.0166530000006</v>
      </c>
      <c r="G714" s="3">
        <f t="shared" si="23"/>
        <v>38587.406652999998</v>
      </c>
    </row>
    <row r="715" spans="1:7" x14ac:dyDescent="0.3">
      <c r="A715" t="s">
        <v>13039</v>
      </c>
      <c r="B715" t="s">
        <v>1454</v>
      </c>
      <c r="C715" t="s">
        <v>1455</v>
      </c>
      <c r="D715" s="1" t="s">
        <v>38</v>
      </c>
      <c r="E715" s="3">
        <v>37137.949999999997</v>
      </c>
      <c r="F715" s="3">
        <f t="shared" si="22"/>
        <v>9384.7599650000011</v>
      </c>
      <c r="G715" s="3">
        <f t="shared" si="23"/>
        <v>46522.709965000002</v>
      </c>
    </row>
    <row r="716" spans="1:7" x14ac:dyDescent="0.3">
      <c r="A716" t="s">
        <v>13039</v>
      </c>
      <c r="B716" t="s">
        <v>1456</v>
      </c>
      <c r="C716" t="s">
        <v>1457</v>
      </c>
      <c r="D716" s="1" t="s">
        <v>38</v>
      </c>
      <c r="E716" s="3">
        <v>32842.46</v>
      </c>
      <c r="F716" s="3">
        <f t="shared" si="22"/>
        <v>8299.2896420000015</v>
      </c>
      <c r="G716" s="3">
        <f t="shared" si="23"/>
        <v>41141.749642000002</v>
      </c>
    </row>
    <row r="717" spans="1:7" x14ac:dyDescent="0.3">
      <c r="A717" t="s">
        <v>13039</v>
      </c>
      <c r="B717" t="s">
        <v>1458</v>
      </c>
      <c r="C717" t="s">
        <v>1459</v>
      </c>
      <c r="D717" s="1" t="s">
        <v>38</v>
      </c>
      <c r="E717" s="3">
        <v>40626.080000000002</v>
      </c>
      <c r="F717" s="3">
        <f t="shared" si="22"/>
        <v>10266.210416000002</v>
      </c>
      <c r="G717" s="3">
        <f t="shared" si="23"/>
        <v>50892.290416000003</v>
      </c>
    </row>
    <row r="718" spans="1:7" x14ac:dyDescent="0.3">
      <c r="A718" t="s">
        <v>13039</v>
      </c>
      <c r="B718" t="s">
        <v>1460</v>
      </c>
      <c r="C718" t="s">
        <v>1461</v>
      </c>
      <c r="D718" s="1" t="s">
        <v>38</v>
      </c>
      <c r="E718" s="3">
        <v>35954.36</v>
      </c>
      <c r="F718" s="3">
        <f t="shared" si="22"/>
        <v>9085.6667720000023</v>
      </c>
      <c r="G718" s="3">
        <f t="shared" si="23"/>
        <v>45040.026772000005</v>
      </c>
    </row>
    <row r="719" spans="1:7" x14ac:dyDescent="0.3">
      <c r="A719" t="s">
        <v>13039</v>
      </c>
      <c r="B719" t="s">
        <v>1462</v>
      </c>
      <c r="C719" t="s">
        <v>1463</v>
      </c>
      <c r="D719" s="1" t="s">
        <v>38</v>
      </c>
      <c r="E719" s="3">
        <v>51401.17</v>
      </c>
      <c r="F719" s="3">
        <f t="shared" si="22"/>
        <v>12989.075659000002</v>
      </c>
      <c r="G719" s="3">
        <f t="shared" si="23"/>
        <v>64390.245659</v>
      </c>
    </row>
    <row r="720" spans="1:7" x14ac:dyDescent="0.3">
      <c r="A720" t="s">
        <v>13039</v>
      </c>
      <c r="B720" t="s">
        <v>1464</v>
      </c>
      <c r="C720" t="s">
        <v>1465</v>
      </c>
      <c r="D720" s="1" t="s">
        <v>38</v>
      </c>
      <c r="E720" s="3">
        <v>45752.77</v>
      </c>
      <c r="F720" s="3">
        <f t="shared" si="22"/>
        <v>11561.724979000001</v>
      </c>
      <c r="G720" s="3">
        <f t="shared" si="23"/>
        <v>57314.494978999996</v>
      </c>
    </row>
    <row r="721" spans="1:7" x14ac:dyDescent="0.3">
      <c r="A721" t="s">
        <v>13039</v>
      </c>
      <c r="B721" t="s">
        <v>1466</v>
      </c>
      <c r="C721" t="s">
        <v>1467</v>
      </c>
      <c r="D721" s="1" t="s">
        <v>38</v>
      </c>
      <c r="E721" s="3">
        <v>17119.63</v>
      </c>
      <c r="F721" s="3">
        <f t="shared" si="22"/>
        <v>4326.1305010000005</v>
      </c>
      <c r="G721" s="3">
        <f t="shared" si="23"/>
        <v>21445.760501000001</v>
      </c>
    </row>
    <row r="722" spans="1:7" x14ac:dyDescent="0.3">
      <c r="A722" t="s">
        <v>13039</v>
      </c>
      <c r="B722" t="s">
        <v>1468</v>
      </c>
      <c r="C722" t="s">
        <v>1469</v>
      </c>
      <c r="D722" s="1" t="s">
        <v>38</v>
      </c>
      <c r="E722" s="3">
        <v>15152.7</v>
      </c>
      <c r="F722" s="3">
        <f t="shared" si="22"/>
        <v>3829.0872900000008</v>
      </c>
      <c r="G722" s="3">
        <f t="shared" si="23"/>
        <v>18981.78729</v>
      </c>
    </row>
    <row r="723" spans="1:7" x14ac:dyDescent="0.3">
      <c r="A723" t="s">
        <v>13039</v>
      </c>
      <c r="B723" t="s">
        <v>1470</v>
      </c>
      <c r="C723" t="s">
        <v>1471</v>
      </c>
      <c r="D723" s="1" t="s">
        <v>38</v>
      </c>
      <c r="E723" s="3">
        <v>18504.22</v>
      </c>
      <c r="F723" s="3">
        <f t="shared" si="22"/>
        <v>4676.0163940000011</v>
      </c>
      <c r="G723" s="3">
        <f t="shared" si="23"/>
        <v>23180.236394000003</v>
      </c>
    </row>
    <row r="724" spans="1:7" x14ac:dyDescent="0.3">
      <c r="A724" t="s">
        <v>13039</v>
      </c>
      <c r="B724" t="s">
        <v>1472</v>
      </c>
      <c r="C724" t="s">
        <v>1473</v>
      </c>
      <c r="D724" s="1" t="s">
        <v>38</v>
      </c>
      <c r="E724" s="3">
        <v>16516.13</v>
      </c>
      <c r="F724" s="3">
        <f t="shared" si="22"/>
        <v>4173.6260510000011</v>
      </c>
      <c r="G724" s="3">
        <f t="shared" si="23"/>
        <v>20689.756051000004</v>
      </c>
    </row>
    <row r="725" spans="1:7" x14ac:dyDescent="0.3">
      <c r="A725" t="s">
        <v>13039</v>
      </c>
      <c r="B725" t="s">
        <v>1474</v>
      </c>
      <c r="C725" t="s">
        <v>1475</v>
      </c>
      <c r="D725" s="1" t="s">
        <v>38</v>
      </c>
      <c r="E725" s="3">
        <v>19379.419999999998</v>
      </c>
      <c r="F725" s="3">
        <f t="shared" si="22"/>
        <v>4897.1794340000006</v>
      </c>
      <c r="G725" s="3">
        <f t="shared" si="23"/>
        <v>24276.599434</v>
      </c>
    </row>
    <row r="726" spans="1:7" x14ac:dyDescent="0.3">
      <c r="A726" t="s">
        <v>13039</v>
      </c>
      <c r="B726" t="s">
        <v>1476</v>
      </c>
      <c r="C726" t="s">
        <v>1477</v>
      </c>
      <c r="D726" s="1" t="s">
        <v>38</v>
      </c>
      <c r="E726" s="3">
        <v>17164.97</v>
      </c>
      <c r="F726" s="3">
        <f t="shared" si="22"/>
        <v>4337.5879190000005</v>
      </c>
      <c r="G726" s="3">
        <f t="shared" si="23"/>
        <v>21502.557919000003</v>
      </c>
    </row>
    <row r="727" spans="1:7" x14ac:dyDescent="0.3">
      <c r="A727" t="s">
        <v>13039</v>
      </c>
      <c r="B727" t="s">
        <v>1478</v>
      </c>
      <c r="C727" t="s">
        <v>1479</v>
      </c>
      <c r="D727" s="1" t="s">
        <v>38</v>
      </c>
      <c r="E727" s="3">
        <v>24416.080000000002</v>
      </c>
      <c r="F727" s="3">
        <f t="shared" si="22"/>
        <v>6169.943416000001</v>
      </c>
      <c r="G727" s="3">
        <f t="shared" si="23"/>
        <v>30586.023416000004</v>
      </c>
    </row>
    <row r="728" spans="1:7" x14ac:dyDescent="0.3">
      <c r="A728" t="s">
        <v>13039</v>
      </c>
      <c r="B728" t="s">
        <v>1480</v>
      </c>
      <c r="C728" t="s">
        <v>1481</v>
      </c>
      <c r="D728" s="1" t="s">
        <v>38</v>
      </c>
      <c r="E728" s="3">
        <v>21688.15</v>
      </c>
      <c r="F728" s="3">
        <f t="shared" si="22"/>
        <v>5480.5955050000011</v>
      </c>
      <c r="G728" s="3">
        <f t="shared" si="23"/>
        <v>27168.745505000003</v>
      </c>
    </row>
    <row r="729" spans="1:7" x14ac:dyDescent="0.3">
      <c r="A729" t="s">
        <v>13039</v>
      </c>
      <c r="B729" t="s">
        <v>1482</v>
      </c>
      <c r="C729" t="s">
        <v>1483</v>
      </c>
      <c r="D729" s="1" t="s">
        <v>38</v>
      </c>
      <c r="E729" s="3">
        <v>26002.84</v>
      </c>
      <c r="F729" s="3">
        <f t="shared" si="22"/>
        <v>6570.917668000001</v>
      </c>
      <c r="G729" s="3">
        <f t="shared" si="23"/>
        <v>32573.757668000002</v>
      </c>
    </row>
    <row r="730" spans="1:7" x14ac:dyDescent="0.3">
      <c r="A730" t="s">
        <v>13039</v>
      </c>
      <c r="B730" t="s">
        <v>1484</v>
      </c>
      <c r="C730" t="s">
        <v>1485</v>
      </c>
      <c r="D730" s="1" t="s">
        <v>38</v>
      </c>
      <c r="E730" s="3">
        <v>22832.01</v>
      </c>
      <c r="F730" s="3">
        <f t="shared" si="22"/>
        <v>5769.6489270000002</v>
      </c>
      <c r="G730" s="3">
        <f t="shared" si="23"/>
        <v>28601.658926999997</v>
      </c>
    </row>
    <row r="731" spans="1:7" x14ac:dyDescent="0.3">
      <c r="A731" t="s">
        <v>13039</v>
      </c>
      <c r="B731" t="s">
        <v>1486</v>
      </c>
      <c r="C731" t="s">
        <v>1487</v>
      </c>
      <c r="D731" s="1" t="s">
        <v>38</v>
      </c>
      <c r="E731" s="3">
        <v>27967.35</v>
      </c>
      <c r="F731" s="3">
        <f t="shared" si="22"/>
        <v>7067.3493450000005</v>
      </c>
      <c r="G731" s="3">
        <f t="shared" si="23"/>
        <v>35034.699345000001</v>
      </c>
    </row>
    <row r="732" spans="1:7" x14ac:dyDescent="0.3">
      <c r="A732" t="s">
        <v>13039</v>
      </c>
      <c r="B732" t="s">
        <v>1488</v>
      </c>
      <c r="C732" t="s">
        <v>1489</v>
      </c>
      <c r="D732" s="1" t="s">
        <v>38</v>
      </c>
      <c r="E732" s="3">
        <v>24794.92</v>
      </c>
      <c r="F732" s="3">
        <f t="shared" si="22"/>
        <v>6265.6762840000001</v>
      </c>
      <c r="G732" s="3">
        <f t="shared" si="23"/>
        <v>31060.596283999999</v>
      </c>
    </row>
    <row r="733" spans="1:7" x14ac:dyDescent="0.3">
      <c r="A733" t="s">
        <v>13039</v>
      </c>
      <c r="B733" t="s">
        <v>1490</v>
      </c>
      <c r="C733" t="s">
        <v>1491</v>
      </c>
      <c r="D733" s="1" t="s">
        <v>38</v>
      </c>
      <c r="E733" s="3">
        <v>30802.959999999999</v>
      </c>
      <c r="F733" s="3">
        <f t="shared" si="22"/>
        <v>7783.9079920000013</v>
      </c>
      <c r="G733" s="3">
        <f t="shared" si="23"/>
        <v>38586.867992</v>
      </c>
    </row>
    <row r="734" spans="1:7" x14ac:dyDescent="0.3">
      <c r="A734" t="s">
        <v>13039</v>
      </c>
      <c r="B734" t="s">
        <v>1492</v>
      </c>
      <c r="C734" t="s">
        <v>1493</v>
      </c>
      <c r="D734" s="1" t="s">
        <v>38</v>
      </c>
      <c r="E734" s="3">
        <v>27228.240000000002</v>
      </c>
      <c r="F734" s="3">
        <f t="shared" si="22"/>
        <v>6880.5762480000012</v>
      </c>
      <c r="G734" s="3">
        <f t="shared" si="23"/>
        <v>34108.816248000003</v>
      </c>
    </row>
    <row r="735" spans="1:7" x14ac:dyDescent="0.3">
      <c r="A735" t="s">
        <v>13039</v>
      </c>
      <c r="B735" t="s">
        <v>1494</v>
      </c>
      <c r="C735" t="s">
        <v>1495</v>
      </c>
      <c r="D735" s="1" t="s">
        <v>38</v>
      </c>
      <c r="E735" s="3">
        <v>39029.14</v>
      </c>
      <c r="F735" s="3">
        <f t="shared" si="22"/>
        <v>9862.6636780000008</v>
      </c>
      <c r="G735" s="3">
        <f t="shared" si="23"/>
        <v>48891.803677999997</v>
      </c>
    </row>
    <row r="736" spans="1:7" x14ac:dyDescent="0.3">
      <c r="A736" t="s">
        <v>13039</v>
      </c>
      <c r="B736" t="s">
        <v>1496</v>
      </c>
      <c r="C736" t="s">
        <v>1497</v>
      </c>
      <c r="D736" s="1" t="s">
        <v>38</v>
      </c>
      <c r="E736" s="3">
        <v>34629.339999999997</v>
      </c>
      <c r="F736" s="3">
        <f t="shared" si="22"/>
        <v>8750.834218</v>
      </c>
      <c r="G736" s="3">
        <f t="shared" si="23"/>
        <v>43380.174218</v>
      </c>
    </row>
    <row r="737" spans="1:7" x14ac:dyDescent="0.3">
      <c r="A737" t="s">
        <v>13039</v>
      </c>
      <c r="B737" t="s">
        <v>1498</v>
      </c>
      <c r="C737" t="s">
        <v>1499</v>
      </c>
      <c r="D737" s="1" t="s">
        <v>38</v>
      </c>
      <c r="E737" s="3">
        <v>36836.29</v>
      </c>
      <c r="F737" s="3">
        <f t="shared" si="22"/>
        <v>9308.5304830000023</v>
      </c>
      <c r="G737" s="3">
        <f t="shared" si="23"/>
        <v>46144.820483000003</v>
      </c>
    </row>
    <row r="738" spans="1:7" x14ac:dyDescent="0.3">
      <c r="A738" t="s">
        <v>13039</v>
      </c>
      <c r="B738" t="s">
        <v>1500</v>
      </c>
      <c r="C738" t="s">
        <v>1501</v>
      </c>
      <c r="D738" s="1" t="s">
        <v>38</v>
      </c>
      <c r="E738" s="3">
        <v>32405.439999999999</v>
      </c>
      <c r="F738" s="3">
        <f t="shared" si="22"/>
        <v>8188.8546880000013</v>
      </c>
      <c r="G738" s="3">
        <f t="shared" si="23"/>
        <v>40594.294688000002</v>
      </c>
    </row>
    <row r="739" spans="1:7" x14ac:dyDescent="0.3">
      <c r="A739" t="s">
        <v>13039</v>
      </c>
      <c r="B739" t="s">
        <v>1502</v>
      </c>
      <c r="C739" t="s">
        <v>1503</v>
      </c>
      <c r="D739" s="1" t="s">
        <v>38</v>
      </c>
      <c r="E739" s="3">
        <v>39623.67</v>
      </c>
      <c r="F739" s="3">
        <f t="shared" si="22"/>
        <v>10012.901409000002</v>
      </c>
      <c r="G739" s="3">
        <f t="shared" si="23"/>
        <v>49636.571408999996</v>
      </c>
    </row>
    <row r="740" spans="1:7" x14ac:dyDescent="0.3">
      <c r="A740" t="s">
        <v>13039</v>
      </c>
      <c r="B740" t="s">
        <v>1504</v>
      </c>
      <c r="C740" t="s">
        <v>1505</v>
      </c>
      <c r="D740" s="1" t="s">
        <v>38</v>
      </c>
      <c r="E740" s="3">
        <v>35174.300000000003</v>
      </c>
      <c r="F740" s="3">
        <f t="shared" si="22"/>
        <v>8888.5456100000029</v>
      </c>
      <c r="G740" s="3">
        <f t="shared" si="23"/>
        <v>44062.845610000004</v>
      </c>
    </row>
    <row r="741" spans="1:7" x14ac:dyDescent="0.3">
      <c r="A741" t="s">
        <v>13039</v>
      </c>
      <c r="B741" t="s">
        <v>1506</v>
      </c>
      <c r="C741" t="s">
        <v>1507</v>
      </c>
      <c r="D741" s="1" t="s">
        <v>38</v>
      </c>
      <c r="E741" s="3">
        <v>45104.89</v>
      </c>
      <c r="F741" s="3">
        <f t="shared" si="22"/>
        <v>11398.005703000001</v>
      </c>
      <c r="G741" s="3">
        <f t="shared" si="23"/>
        <v>56502.895703000002</v>
      </c>
    </row>
    <row r="742" spans="1:7" x14ac:dyDescent="0.3">
      <c r="A742" t="s">
        <v>13039</v>
      </c>
      <c r="B742" t="s">
        <v>1508</v>
      </c>
      <c r="C742" t="s">
        <v>1509</v>
      </c>
      <c r="D742" s="1" t="s">
        <v>38</v>
      </c>
      <c r="E742" s="3">
        <v>40126.480000000003</v>
      </c>
      <c r="F742" s="3">
        <f t="shared" si="22"/>
        <v>10139.961496000002</v>
      </c>
      <c r="G742" s="3">
        <f t="shared" si="23"/>
        <v>50266.441496000007</v>
      </c>
    </row>
    <row r="743" spans="1:7" x14ac:dyDescent="0.3">
      <c r="A743" t="s">
        <v>13039</v>
      </c>
      <c r="B743" t="s">
        <v>1510</v>
      </c>
      <c r="C743" t="s">
        <v>1511</v>
      </c>
      <c r="D743" s="1" t="s">
        <v>38</v>
      </c>
      <c r="E743" s="3">
        <v>57120.28</v>
      </c>
      <c r="F743" s="3">
        <f t="shared" si="22"/>
        <v>14434.294756000001</v>
      </c>
      <c r="G743" s="3">
        <f t="shared" si="23"/>
        <v>71554.574756000002</v>
      </c>
    </row>
    <row r="744" spans="1:7" x14ac:dyDescent="0.3">
      <c r="A744" t="s">
        <v>13039</v>
      </c>
      <c r="B744" t="s">
        <v>1512</v>
      </c>
      <c r="C744" t="s">
        <v>1513</v>
      </c>
      <c r="D744" s="1" t="s">
        <v>38</v>
      </c>
      <c r="E744" s="3">
        <v>51011.53</v>
      </c>
      <c r="F744" s="3">
        <f t="shared" si="22"/>
        <v>12890.613631000002</v>
      </c>
      <c r="G744" s="3">
        <f t="shared" si="23"/>
        <v>63902.143630999999</v>
      </c>
    </row>
    <row r="745" spans="1:7" x14ac:dyDescent="0.3">
      <c r="A745" t="s">
        <v>13039</v>
      </c>
      <c r="B745" t="s">
        <v>1514</v>
      </c>
      <c r="C745" t="s">
        <v>1515</v>
      </c>
      <c r="D745" s="1" t="s">
        <v>38</v>
      </c>
      <c r="E745" s="3">
        <v>52096.5</v>
      </c>
      <c r="F745" s="3">
        <f t="shared" si="22"/>
        <v>13164.785550000002</v>
      </c>
      <c r="G745" s="3">
        <f t="shared" si="23"/>
        <v>65261.285550000001</v>
      </c>
    </row>
    <row r="746" spans="1:7" x14ac:dyDescent="0.3">
      <c r="A746" t="s">
        <v>13039</v>
      </c>
      <c r="B746" t="s">
        <v>1516</v>
      </c>
      <c r="C746" t="s">
        <v>1517</v>
      </c>
      <c r="D746" s="1" t="s">
        <v>38</v>
      </c>
      <c r="E746" s="3">
        <v>45687.64</v>
      </c>
      <c r="F746" s="3">
        <f t="shared" si="22"/>
        <v>11545.266628000001</v>
      </c>
      <c r="G746" s="3">
        <f t="shared" si="23"/>
        <v>57232.906627999997</v>
      </c>
    </row>
    <row r="747" spans="1:7" x14ac:dyDescent="0.3">
      <c r="A747" t="s">
        <v>13039</v>
      </c>
      <c r="B747" t="s">
        <v>1518</v>
      </c>
      <c r="C747" t="s">
        <v>1519</v>
      </c>
      <c r="D747" s="1" t="s">
        <v>38</v>
      </c>
      <c r="E747" s="3">
        <v>53887.37</v>
      </c>
      <c r="F747" s="3">
        <f t="shared" si="22"/>
        <v>13617.338399000002</v>
      </c>
      <c r="G747" s="3">
        <f t="shared" si="23"/>
        <v>67504.70839900001</v>
      </c>
    </row>
    <row r="748" spans="1:7" x14ac:dyDescent="0.3">
      <c r="A748" t="s">
        <v>13039</v>
      </c>
      <c r="B748" t="s">
        <v>1520</v>
      </c>
      <c r="C748" t="s">
        <v>1521</v>
      </c>
      <c r="D748" s="1" t="s">
        <v>38</v>
      </c>
      <c r="E748" s="3">
        <v>47585.599999999999</v>
      </c>
      <c r="F748" s="3">
        <f t="shared" si="22"/>
        <v>12024.881120000002</v>
      </c>
      <c r="G748" s="3">
        <f t="shared" si="23"/>
        <v>59610.481119999997</v>
      </c>
    </row>
    <row r="749" spans="1:7" x14ac:dyDescent="0.3">
      <c r="A749" t="s">
        <v>13039</v>
      </c>
      <c r="B749" t="s">
        <v>1522</v>
      </c>
      <c r="C749" t="s">
        <v>1523</v>
      </c>
      <c r="D749" s="1" t="s">
        <v>38</v>
      </c>
      <c r="E749" s="3">
        <v>64884.91</v>
      </c>
      <c r="F749" s="3">
        <f t="shared" si="22"/>
        <v>16396.416757000003</v>
      </c>
      <c r="G749" s="3">
        <f t="shared" si="23"/>
        <v>81281.326757000003</v>
      </c>
    </row>
    <row r="750" spans="1:7" x14ac:dyDescent="0.3">
      <c r="A750" t="s">
        <v>13039</v>
      </c>
      <c r="B750" t="s">
        <v>1524</v>
      </c>
      <c r="C750" t="s">
        <v>1525</v>
      </c>
      <c r="D750" s="1" t="s">
        <v>38</v>
      </c>
      <c r="E750" s="3">
        <v>57852.3</v>
      </c>
      <c r="F750" s="3">
        <f t="shared" si="22"/>
        <v>14619.276210000004</v>
      </c>
      <c r="G750" s="3">
        <f t="shared" si="23"/>
        <v>72471.576209999999</v>
      </c>
    </row>
    <row r="751" spans="1:7" x14ac:dyDescent="0.3">
      <c r="A751" t="s">
        <v>13039</v>
      </c>
      <c r="B751" t="s">
        <v>1526</v>
      </c>
      <c r="C751" t="s">
        <v>1527</v>
      </c>
      <c r="D751" s="1" t="s">
        <v>38</v>
      </c>
      <c r="E751" s="3">
        <v>82294.13</v>
      </c>
      <c r="F751" s="3">
        <f t="shared" si="22"/>
        <v>20795.726651000004</v>
      </c>
      <c r="G751" s="3">
        <f t="shared" si="23"/>
        <v>103089.85665100001</v>
      </c>
    </row>
    <row r="752" spans="1:7" x14ac:dyDescent="0.3">
      <c r="A752" t="s">
        <v>13039</v>
      </c>
      <c r="B752" t="s">
        <v>1528</v>
      </c>
      <c r="C752" t="s">
        <v>1529</v>
      </c>
      <c r="D752" s="1" t="s">
        <v>38</v>
      </c>
      <c r="E752" s="3">
        <v>73583.62</v>
      </c>
      <c r="F752" s="3">
        <f t="shared" si="22"/>
        <v>18594.580774000002</v>
      </c>
      <c r="G752" s="3">
        <f t="shared" si="23"/>
        <v>92178.200773999997</v>
      </c>
    </row>
    <row r="753" spans="1:7" x14ac:dyDescent="0.3">
      <c r="A753" t="s">
        <v>13039</v>
      </c>
      <c r="B753" t="s">
        <v>1530</v>
      </c>
      <c r="C753" t="s">
        <v>1531</v>
      </c>
      <c r="D753" s="1" t="s">
        <v>195</v>
      </c>
      <c r="E753" s="3">
        <v>3967.56</v>
      </c>
      <c r="F753" s="3">
        <f t="shared" si="22"/>
        <v>1002.6024120000001</v>
      </c>
      <c r="G753" s="3">
        <f t="shared" si="23"/>
        <v>4970.1624119999997</v>
      </c>
    </row>
    <row r="754" spans="1:7" x14ac:dyDescent="0.3">
      <c r="A754" t="s">
        <v>13039</v>
      </c>
      <c r="B754" t="s">
        <v>1532</v>
      </c>
      <c r="C754" t="s">
        <v>1533</v>
      </c>
      <c r="D754" s="1" t="s">
        <v>195</v>
      </c>
      <c r="E754" s="3">
        <v>3568.6</v>
      </c>
      <c r="F754" s="3">
        <f t="shared" si="22"/>
        <v>901.78522000000009</v>
      </c>
      <c r="G754" s="3">
        <f t="shared" si="23"/>
        <v>4470.3852200000001</v>
      </c>
    </row>
    <row r="755" spans="1:7" x14ac:dyDescent="0.3">
      <c r="A755" t="s">
        <v>13039</v>
      </c>
      <c r="B755" t="s">
        <v>1534</v>
      </c>
      <c r="C755" t="s">
        <v>1535</v>
      </c>
      <c r="D755" s="1" t="s">
        <v>195</v>
      </c>
      <c r="E755" s="3">
        <v>3446.44</v>
      </c>
      <c r="F755" s="3">
        <f t="shared" si="22"/>
        <v>870.91538800000012</v>
      </c>
      <c r="G755" s="3">
        <f t="shared" si="23"/>
        <v>4317.3553879999999</v>
      </c>
    </row>
    <row r="756" spans="1:7" x14ac:dyDescent="0.3">
      <c r="A756" t="s">
        <v>13039</v>
      </c>
      <c r="B756" t="s">
        <v>1536</v>
      </c>
      <c r="C756" t="s">
        <v>1537</v>
      </c>
      <c r="D756" s="1" t="s">
        <v>195</v>
      </c>
      <c r="E756" s="3">
        <v>3047.48</v>
      </c>
      <c r="F756" s="3">
        <f t="shared" si="22"/>
        <v>770.09819600000014</v>
      </c>
      <c r="G756" s="3">
        <f t="shared" si="23"/>
        <v>3817.5781960000004</v>
      </c>
    </row>
    <row r="757" spans="1:7" x14ac:dyDescent="0.3">
      <c r="A757" t="s">
        <v>13039</v>
      </c>
      <c r="B757" t="s">
        <v>1538</v>
      </c>
      <c r="C757" t="s">
        <v>1539</v>
      </c>
      <c r="D757" s="1" t="s">
        <v>195</v>
      </c>
      <c r="E757" s="3">
        <v>5011.28</v>
      </c>
      <c r="F757" s="3">
        <f t="shared" si="22"/>
        <v>1266.3504560000001</v>
      </c>
      <c r="G757" s="3">
        <f t="shared" si="23"/>
        <v>6277.6304559999999</v>
      </c>
    </row>
    <row r="758" spans="1:7" x14ac:dyDescent="0.3">
      <c r="A758" t="s">
        <v>13039</v>
      </c>
      <c r="B758" t="s">
        <v>1540</v>
      </c>
      <c r="C758" t="s">
        <v>1541</v>
      </c>
      <c r="D758" s="1" t="s">
        <v>195</v>
      </c>
      <c r="E758" s="3">
        <v>4483.1000000000004</v>
      </c>
      <c r="F758" s="3">
        <f t="shared" si="22"/>
        <v>1132.8793700000003</v>
      </c>
      <c r="G758" s="3">
        <f t="shared" si="23"/>
        <v>5615.9793700000009</v>
      </c>
    </row>
    <row r="759" spans="1:7" x14ac:dyDescent="0.3">
      <c r="A759" t="s">
        <v>13039</v>
      </c>
      <c r="B759" t="s">
        <v>1542</v>
      </c>
      <c r="C759" t="s">
        <v>1543</v>
      </c>
      <c r="D759" s="1" t="s">
        <v>195</v>
      </c>
      <c r="E759" s="3">
        <v>5265.97</v>
      </c>
      <c r="F759" s="3">
        <f t="shared" si="22"/>
        <v>1330.7106190000002</v>
      </c>
      <c r="G759" s="3">
        <f t="shared" si="23"/>
        <v>6596.6806190000007</v>
      </c>
    </row>
    <row r="760" spans="1:7" x14ac:dyDescent="0.3">
      <c r="A760" t="s">
        <v>13039</v>
      </c>
      <c r="B760" t="s">
        <v>1544</v>
      </c>
      <c r="C760" t="s">
        <v>1545</v>
      </c>
      <c r="D760" s="1" t="s">
        <v>195</v>
      </c>
      <c r="E760" s="3">
        <v>4737.8</v>
      </c>
      <c r="F760" s="3">
        <f t="shared" si="22"/>
        <v>1197.2420600000003</v>
      </c>
      <c r="G760" s="3">
        <f t="shared" si="23"/>
        <v>5935.0420600000007</v>
      </c>
    </row>
    <row r="761" spans="1:7" x14ac:dyDescent="0.3">
      <c r="A761" t="s">
        <v>13039</v>
      </c>
      <c r="B761" t="s">
        <v>1546</v>
      </c>
      <c r="C761" t="s">
        <v>1547</v>
      </c>
      <c r="D761" s="1" t="s">
        <v>195</v>
      </c>
      <c r="E761" s="3">
        <v>3688.79</v>
      </c>
      <c r="F761" s="3">
        <f t="shared" si="22"/>
        <v>932.15723300000013</v>
      </c>
      <c r="G761" s="3">
        <f t="shared" si="23"/>
        <v>4620.9472329999999</v>
      </c>
    </row>
    <row r="762" spans="1:7" x14ac:dyDescent="0.3">
      <c r="A762" t="s">
        <v>13039</v>
      </c>
      <c r="B762" t="s">
        <v>1548</v>
      </c>
      <c r="C762" t="s">
        <v>1549</v>
      </c>
      <c r="D762" s="1" t="s">
        <v>195</v>
      </c>
      <c r="E762" s="3">
        <v>3289.83</v>
      </c>
      <c r="F762" s="3">
        <f t="shared" si="22"/>
        <v>831.34004100000016</v>
      </c>
      <c r="G762" s="3">
        <f t="shared" si="23"/>
        <v>4121.1700410000003</v>
      </c>
    </row>
    <row r="763" spans="1:7" x14ac:dyDescent="0.3">
      <c r="A763" t="s">
        <v>13039</v>
      </c>
      <c r="B763" t="s">
        <v>1550</v>
      </c>
      <c r="C763" t="s">
        <v>1551</v>
      </c>
      <c r="D763" s="1" t="s">
        <v>195</v>
      </c>
      <c r="E763" s="3">
        <v>4167.79</v>
      </c>
      <c r="F763" s="3">
        <f t="shared" si="22"/>
        <v>1053.2005330000002</v>
      </c>
      <c r="G763" s="3">
        <f t="shared" si="23"/>
        <v>5220.9905330000001</v>
      </c>
    </row>
    <row r="764" spans="1:7" x14ac:dyDescent="0.3">
      <c r="A764" t="s">
        <v>13039</v>
      </c>
      <c r="B764" t="s">
        <v>1552</v>
      </c>
      <c r="C764" t="s">
        <v>1553</v>
      </c>
      <c r="D764" s="1" t="s">
        <v>195</v>
      </c>
      <c r="E764" s="3">
        <v>3768.83</v>
      </c>
      <c r="F764" s="3">
        <f t="shared" si="22"/>
        <v>952.38334100000009</v>
      </c>
      <c r="G764" s="3">
        <f t="shared" si="23"/>
        <v>4721.2133409999997</v>
      </c>
    </row>
    <row r="765" spans="1:7" x14ac:dyDescent="0.3">
      <c r="A765" t="s">
        <v>13039</v>
      </c>
      <c r="B765" t="s">
        <v>1554</v>
      </c>
      <c r="C765" t="s">
        <v>1555</v>
      </c>
      <c r="D765" s="1" t="s">
        <v>195</v>
      </c>
      <c r="E765" s="3">
        <v>4579.4799999999996</v>
      </c>
      <c r="F765" s="3">
        <f t="shared" si="22"/>
        <v>1157.234596</v>
      </c>
      <c r="G765" s="3">
        <f t="shared" si="23"/>
        <v>5736.7145959999998</v>
      </c>
    </row>
    <row r="766" spans="1:7" x14ac:dyDescent="0.3">
      <c r="A766" t="s">
        <v>13039</v>
      </c>
      <c r="B766" t="s">
        <v>1556</v>
      </c>
      <c r="C766" t="s">
        <v>1557</v>
      </c>
      <c r="D766" s="1" t="s">
        <v>195</v>
      </c>
      <c r="E766" s="3">
        <v>4180.5200000000004</v>
      </c>
      <c r="F766" s="3">
        <f t="shared" si="22"/>
        <v>1056.4174040000003</v>
      </c>
      <c r="G766" s="3">
        <f t="shared" si="23"/>
        <v>5236.9374040000002</v>
      </c>
    </row>
    <row r="767" spans="1:7" x14ac:dyDescent="0.3">
      <c r="A767" t="s">
        <v>13039</v>
      </c>
      <c r="B767" t="s">
        <v>1558</v>
      </c>
      <c r="C767" t="s">
        <v>1559</v>
      </c>
      <c r="D767" s="1" t="s">
        <v>195</v>
      </c>
      <c r="E767" s="3">
        <v>5691.12</v>
      </c>
      <c r="F767" s="3">
        <f t="shared" si="22"/>
        <v>1438.1460240000001</v>
      </c>
      <c r="G767" s="3">
        <f t="shared" si="23"/>
        <v>7129.2660240000005</v>
      </c>
    </row>
    <row r="768" spans="1:7" x14ac:dyDescent="0.3">
      <c r="A768" t="s">
        <v>13039</v>
      </c>
      <c r="B768" t="s">
        <v>1560</v>
      </c>
      <c r="C768" t="s">
        <v>1561</v>
      </c>
      <c r="D768" s="1" t="s">
        <v>195</v>
      </c>
      <c r="E768" s="3">
        <v>5175.32</v>
      </c>
      <c r="F768" s="3">
        <f t="shared" si="22"/>
        <v>1307.8033640000001</v>
      </c>
      <c r="G768" s="3">
        <f t="shared" si="23"/>
        <v>6483.123364</v>
      </c>
    </row>
    <row r="769" spans="1:7" x14ac:dyDescent="0.3">
      <c r="A769" t="s">
        <v>13039</v>
      </c>
      <c r="B769" t="s">
        <v>1562</v>
      </c>
      <c r="C769" t="s">
        <v>1563</v>
      </c>
      <c r="D769" s="1" t="s">
        <v>195</v>
      </c>
      <c r="E769" s="3">
        <v>5053.17</v>
      </c>
      <c r="F769" s="3">
        <f t="shared" si="22"/>
        <v>1276.9360590000001</v>
      </c>
      <c r="G769" s="3">
        <f t="shared" si="23"/>
        <v>6330.1060589999997</v>
      </c>
    </row>
    <row r="770" spans="1:7" x14ac:dyDescent="0.3">
      <c r="A770" t="s">
        <v>13039</v>
      </c>
      <c r="B770" t="s">
        <v>1564</v>
      </c>
      <c r="C770" t="s">
        <v>1565</v>
      </c>
      <c r="D770" s="1" t="s">
        <v>195</v>
      </c>
      <c r="E770" s="3">
        <v>4537.37</v>
      </c>
      <c r="F770" s="3">
        <f t="shared" si="22"/>
        <v>1146.5933990000001</v>
      </c>
      <c r="G770" s="3">
        <f t="shared" si="23"/>
        <v>5683.9633990000002</v>
      </c>
    </row>
    <row r="771" spans="1:7" x14ac:dyDescent="0.3">
      <c r="A771" t="s">
        <v>13039</v>
      </c>
      <c r="B771" t="s">
        <v>1566</v>
      </c>
      <c r="C771" t="s">
        <v>1567</v>
      </c>
      <c r="D771" s="1" t="s">
        <v>195</v>
      </c>
      <c r="E771" s="3">
        <v>7872.88</v>
      </c>
      <c r="F771" s="3">
        <f t="shared" si="22"/>
        <v>1989.4767760000002</v>
      </c>
      <c r="G771" s="3">
        <f t="shared" si="23"/>
        <v>9862.3567760000005</v>
      </c>
    </row>
    <row r="772" spans="1:7" x14ac:dyDescent="0.3">
      <c r="A772" t="s">
        <v>13039</v>
      </c>
      <c r="B772" t="s">
        <v>1568</v>
      </c>
      <c r="C772" t="s">
        <v>1569</v>
      </c>
      <c r="D772" s="1" t="s">
        <v>195</v>
      </c>
      <c r="E772" s="3">
        <v>7041.05</v>
      </c>
      <c r="F772" s="3">
        <f t="shared" si="22"/>
        <v>1779.2733350000003</v>
      </c>
      <c r="G772" s="3">
        <f t="shared" si="23"/>
        <v>8820.323335000001</v>
      </c>
    </row>
    <row r="773" spans="1:7" x14ac:dyDescent="0.3">
      <c r="A773" t="s">
        <v>13039</v>
      </c>
      <c r="B773" t="s">
        <v>1570</v>
      </c>
      <c r="C773" t="s">
        <v>1571</v>
      </c>
      <c r="D773" s="1" t="s">
        <v>195</v>
      </c>
      <c r="E773" s="3">
        <v>8072.5</v>
      </c>
      <c r="F773" s="3">
        <f t="shared" si="22"/>
        <v>2039.9207500000002</v>
      </c>
      <c r="G773" s="3">
        <f t="shared" si="23"/>
        <v>10112.420750000001</v>
      </c>
    </row>
    <row r="774" spans="1:7" x14ac:dyDescent="0.3">
      <c r="A774" t="s">
        <v>13039</v>
      </c>
      <c r="B774" t="s">
        <v>1572</v>
      </c>
      <c r="C774" t="s">
        <v>1573</v>
      </c>
      <c r="D774" s="1" t="s">
        <v>195</v>
      </c>
      <c r="E774" s="3">
        <v>7240.67</v>
      </c>
      <c r="F774" s="3">
        <f t="shared" si="22"/>
        <v>1829.7173090000003</v>
      </c>
      <c r="G774" s="3">
        <f t="shared" si="23"/>
        <v>9070.3873089999997</v>
      </c>
    </row>
    <row r="775" spans="1:7" x14ac:dyDescent="0.3">
      <c r="A775" t="s">
        <v>13039</v>
      </c>
      <c r="B775" t="s">
        <v>1574</v>
      </c>
      <c r="C775" t="s">
        <v>1575</v>
      </c>
      <c r="D775" s="1" t="s">
        <v>195</v>
      </c>
      <c r="E775" s="3">
        <v>5680.44</v>
      </c>
      <c r="F775" s="3">
        <f t="shared" ref="F775:F838" si="24">+E775*$F$4</f>
        <v>1435.4471880000001</v>
      </c>
      <c r="G775" s="3">
        <f t="shared" ref="G775:G838" si="25">+E775+F775</f>
        <v>7115.8871879999997</v>
      </c>
    </row>
    <row r="776" spans="1:7" x14ac:dyDescent="0.3">
      <c r="A776" t="s">
        <v>13039</v>
      </c>
      <c r="B776" t="s">
        <v>1576</v>
      </c>
      <c r="C776" t="s">
        <v>1577</v>
      </c>
      <c r="D776" s="1" t="s">
        <v>195</v>
      </c>
      <c r="E776" s="3">
        <v>5164.63</v>
      </c>
      <c r="F776" s="3">
        <f t="shared" si="24"/>
        <v>1305.1020010000002</v>
      </c>
      <c r="G776" s="3">
        <f t="shared" si="25"/>
        <v>6469.7320010000003</v>
      </c>
    </row>
    <row r="777" spans="1:7" x14ac:dyDescent="0.3">
      <c r="A777" t="s">
        <v>13039</v>
      </c>
      <c r="B777" t="s">
        <v>1578</v>
      </c>
      <c r="C777" t="s">
        <v>1579</v>
      </c>
      <c r="D777" s="1" t="s">
        <v>195</v>
      </c>
      <c r="E777" s="3">
        <v>6412.22</v>
      </c>
      <c r="F777" s="3">
        <f t="shared" si="24"/>
        <v>1620.3679940000002</v>
      </c>
      <c r="G777" s="3">
        <f t="shared" si="25"/>
        <v>8032.5879940000004</v>
      </c>
    </row>
    <row r="778" spans="1:7" x14ac:dyDescent="0.3">
      <c r="A778" t="s">
        <v>13039</v>
      </c>
      <c r="B778" t="s">
        <v>1580</v>
      </c>
      <c r="C778" t="s">
        <v>1581</v>
      </c>
      <c r="D778" s="1" t="s">
        <v>195</v>
      </c>
      <c r="E778" s="3">
        <v>5737.5</v>
      </c>
      <c r="F778" s="3">
        <f t="shared" si="24"/>
        <v>1449.8662500000003</v>
      </c>
      <c r="G778" s="3">
        <f t="shared" si="25"/>
        <v>7187.36625</v>
      </c>
    </row>
    <row r="779" spans="1:7" x14ac:dyDescent="0.3">
      <c r="A779" t="s">
        <v>13039</v>
      </c>
      <c r="B779" t="s">
        <v>1582</v>
      </c>
      <c r="C779" t="s">
        <v>1583</v>
      </c>
      <c r="D779" s="1" t="s">
        <v>195</v>
      </c>
      <c r="E779" s="3">
        <v>7290.33</v>
      </c>
      <c r="F779" s="3">
        <f t="shared" si="24"/>
        <v>1842.2663910000003</v>
      </c>
      <c r="G779" s="3">
        <f t="shared" si="25"/>
        <v>9132.5963910000009</v>
      </c>
    </row>
    <row r="780" spans="1:7" x14ac:dyDescent="0.3">
      <c r="A780" t="s">
        <v>13039</v>
      </c>
      <c r="B780" t="s">
        <v>1584</v>
      </c>
      <c r="C780" t="s">
        <v>1585</v>
      </c>
      <c r="D780" s="1" t="s">
        <v>195</v>
      </c>
      <c r="E780" s="3">
        <v>6615.61</v>
      </c>
      <c r="F780" s="3">
        <f t="shared" si="24"/>
        <v>1671.7646470000002</v>
      </c>
      <c r="G780" s="3">
        <f t="shared" si="25"/>
        <v>8287.3746470000006</v>
      </c>
    </row>
    <row r="781" spans="1:7" x14ac:dyDescent="0.3">
      <c r="A781" t="s">
        <v>13039</v>
      </c>
      <c r="B781" t="s">
        <v>1586</v>
      </c>
      <c r="C781" t="s">
        <v>1587</v>
      </c>
      <c r="D781" s="1" t="s">
        <v>195</v>
      </c>
      <c r="E781" s="3">
        <v>7313.12</v>
      </c>
      <c r="F781" s="3">
        <f t="shared" si="24"/>
        <v>1848.0254240000002</v>
      </c>
      <c r="G781" s="3">
        <f t="shared" si="25"/>
        <v>9161.1454240000003</v>
      </c>
    </row>
    <row r="782" spans="1:7" x14ac:dyDescent="0.3">
      <c r="A782" t="s">
        <v>13039</v>
      </c>
      <c r="B782" t="s">
        <v>1588</v>
      </c>
      <c r="C782" t="s">
        <v>1589</v>
      </c>
      <c r="D782" s="1" t="s">
        <v>195</v>
      </c>
      <c r="E782" s="3">
        <v>6664.75</v>
      </c>
      <c r="F782" s="3">
        <f t="shared" si="24"/>
        <v>1684.1823250000002</v>
      </c>
      <c r="G782" s="3">
        <f t="shared" si="25"/>
        <v>8348.9323249999998</v>
      </c>
    </row>
    <row r="783" spans="1:7" x14ac:dyDescent="0.3">
      <c r="A783" t="s">
        <v>13039</v>
      </c>
      <c r="B783" t="s">
        <v>1590</v>
      </c>
      <c r="C783" t="s">
        <v>1591</v>
      </c>
      <c r="D783" s="1" t="s">
        <v>195</v>
      </c>
      <c r="E783" s="3">
        <v>6682.44</v>
      </c>
      <c r="F783" s="3">
        <f t="shared" si="24"/>
        <v>1688.6525880000002</v>
      </c>
      <c r="G783" s="3">
        <f t="shared" si="25"/>
        <v>8371.0925879999995</v>
      </c>
    </row>
    <row r="784" spans="1:7" x14ac:dyDescent="0.3">
      <c r="A784" t="s">
        <v>13039</v>
      </c>
      <c r="B784" t="s">
        <v>1592</v>
      </c>
      <c r="C784" t="s">
        <v>1593</v>
      </c>
      <c r="D784" s="1" t="s">
        <v>195</v>
      </c>
      <c r="E784" s="3">
        <v>6034.07</v>
      </c>
      <c r="F784" s="3">
        <f t="shared" si="24"/>
        <v>1524.8094890000002</v>
      </c>
      <c r="G784" s="3">
        <f t="shared" si="25"/>
        <v>7558.8794889999999</v>
      </c>
    </row>
    <row r="785" spans="1:7" x14ac:dyDescent="0.3">
      <c r="A785" t="s">
        <v>13039</v>
      </c>
      <c r="B785" t="s">
        <v>1594</v>
      </c>
      <c r="C785" t="s">
        <v>1595</v>
      </c>
      <c r="D785" s="1" t="s">
        <v>195</v>
      </c>
      <c r="E785" s="3">
        <v>10302.35</v>
      </c>
      <c r="F785" s="3">
        <f t="shared" si="24"/>
        <v>2603.4038450000003</v>
      </c>
      <c r="G785" s="3">
        <f t="shared" si="25"/>
        <v>12905.753845000001</v>
      </c>
    </row>
    <row r="786" spans="1:7" x14ac:dyDescent="0.3">
      <c r="A786" t="s">
        <v>13039</v>
      </c>
      <c r="B786" t="s">
        <v>1596</v>
      </c>
      <c r="C786" t="s">
        <v>1597</v>
      </c>
      <c r="D786" s="1" t="s">
        <v>195</v>
      </c>
      <c r="E786" s="3">
        <v>9301.27</v>
      </c>
      <c r="F786" s="3">
        <f t="shared" si="24"/>
        <v>2350.4309290000006</v>
      </c>
      <c r="G786" s="3">
        <f t="shared" si="25"/>
        <v>11651.700929000001</v>
      </c>
    </row>
    <row r="787" spans="1:7" x14ac:dyDescent="0.3">
      <c r="A787" t="s">
        <v>13039</v>
      </c>
      <c r="B787" t="s">
        <v>1598</v>
      </c>
      <c r="C787" t="s">
        <v>1599</v>
      </c>
      <c r="D787" s="1" t="s">
        <v>195</v>
      </c>
      <c r="E787" s="3">
        <v>11128.37</v>
      </c>
      <c r="F787" s="3">
        <f t="shared" si="24"/>
        <v>2812.1390990000004</v>
      </c>
      <c r="G787" s="3">
        <f t="shared" si="25"/>
        <v>13940.509099000001</v>
      </c>
    </row>
    <row r="788" spans="1:7" x14ac:dyDescent="0.3">
      <c r="A788" t="s">
        <v>13039</v>
      </c>
      <c r="B788" t="s">
        <v>1600</v>
      </c>
      <c r="C788" t="s">
        <v>1601</v>
      </c>
      <c r="D788" s="1" t="s">
        <v>195</v>
      </c>
      <c r="E788" s="3">
        <v>10127.290000000001</v>
      </c>
      <c r="F788" s="3">
        <f t="shared" si="24"/>
        <v>2559.1661830000007</v>
      </c>
      <c r="G788" s="3">
        <f t="shared" si="25"/>
        <v>12686.456183000002</v>
      </c>
    </row>
    <row r="789" spans="1:7" x14ac:dyDescent="0.3">
      <c r="A789" t="s">
        <v>13039</v>
      </c>
      <c r="B789" t="s">
        <v>1602</v>
      </c>
      <c r="C789" t="s">
        <v>1603</v>
      </c>
      <c r="D789" s="1" t="s">
        <v>195</v>
      </c>
      <c r="E789" s="3">
        <v>7572.32</v>
      </c>
      <c r="F789" s="3">
        <f t="shared" si="24"/>
        <v>1913.5252640000001</v>
      </c>
      <c r="G789" s="3">
        <f t="shared" si="25"/>
        <v>9485.8452639999996</v>
      </c>
    </row>
    <row r="790" spans="1:7" x14ac:dyDescent="0.3">
      <c r="A790" t="s">
        <v>13039</v>
      </c>
      <c r="B790" t="s">
        <v>1604</v>
      </c>
      <c r="C790" t="s">
        <v>1605</v>
      </c>
      <c r="D790" s="1" t="s">
        <v>195</v>
      </c>
      <c r="E790" s="3">
        <v>6751.06</v>
      </c>
      <c r="F790" s="3">
        <f t="shared" si="24"/>
        <v>1705.9928620000003</v>
      </c>
      <c r="G790" s="3">
        <f t="shared" si="25"/>
        <v>8457.0528620000005</v>
      </c>
    </row>
    <row r="791" spans="1:7" x14ac:dyDescent="0.3">
      <c r="A791" t="s">
        <v>13039</v>
      </c>
      <c r="B791" t="s">
        <v>1606</v>
      </c>
      <c r="C791" t="s">
        <v>1607</v>
      </c>
      <c r="D791" s="1" t="s">
        <v>195</v>
      </c>
      <c r="E791" s="3">
        <v>8629.31</v>
      </c>
      <c r="F791" s="3">
        <f t="shared" si="24"/>
        <v>2180.6266370000003</v>
      </c>
      <c r="G791" s="3">
        <f t="shared" si="25"/>
        <v>10809.936636999999</v>
      </c>
    </row>
    <row r="792" spans="1:7" x14ac:dyDescent="0.3">
      <c r="A792" t="s">
        <v>13039</v>
      </c>
      <c r="B792" t="s">
        <v>1608</v>
      </c>
      <c r="C792" t="s">
        <v>1609</v>
      </c>
      <c r="D792" s="1" t="s">
        <v>195</v>
      </c>
      <c r="E792" s="3">
        <v>7808.05</v>
      </c>
      <c r="F792" s="3">
        <f t="shared" si="24"/>
        <v>1973.0942350000003</v>
      </c>
      <c r="G792" s="3">
        <f t="shared" si="25"/>
        <v>9781.1442349999998</v>
      </c>
    </row>
    <row r="793" spans="1:7" x14ac:dyDescent="0.3">
      <c r="A793" t="s">
        <v>13039</v>
      </c>
      <c r="B793" t="s">
        <v>1610</v>
      </c>
      <c r="C793" t="s">
        <v>1611</v>
      </c>
      <c r="D793" s="1" t="s">
        <v>195</v>
      </c>
      <c r="E793" s="3">
        <v>9330.93</v>
      </c>
      <c r="F793" s="3">
        <f t="shared" si="24"/>
        <v>2357.9260110000005</v>
      </c>
      <c r="G793" s="3">
        <f t="shared" si="25"/>
        <v>11688.856011</v>
      </c>
    </row>
    <row r="794" spans="1:7" x14ac:dyDescent="0.3">
      <c r="A794" t="s">
        <v>13039</v>
      </c>
      <c r="B794" t="s">
        <v>1612</v>
      </c>
      <c r="C794" t="s">
        <v>1613</v>
      </c>
      <c r="D794" s="1" t="s">
        <v>195</v>
      </c>
      <c r="E794" s="3">
        <v>8329.85</v>
      </c>
      <c r="F794" s="3">
        <f t="shared" si="24"/>
        <v>2104.9530950000003</v>
      </c>
      <c r="G794" s="3">
        <f t="shared" si="25"/>
        <v>10434.803095000001</v>
      </c>
    </row>
    <row r="795" spans="1:7" x14ac:dyDescent="0.3">
      <c r="A795" t="s">
        <v>13039</v>
      </c>
      <c r="B795" t="s">
        <v>1614</v>
      </c>
      <c r="C795" t="s">
        <v>1615</v>
      </c>
      <c r="D795" s="1" t="s">
        <v>195</v>
      </c>
      <c r="E795" s="3">
        <v>9410.83</v>
      </c>
      <c r="F795" s="3">
        <f t="shared" si="24"/>
        <v>2378.1167410000003</v>
      </c>
      <c r="G795" s="3">
        <f t="shared" si="25"/>
        <v>11788.946741</v>
      </c>
    </row>
    <row r="796" spans="1:7" x14ac:dyDescent="0.3">
      <c r="A796" t="s">
        <v>13039</v>
      </c>
      <c r="B796" t="s">
        <v>1616</v>
      </c>
      <c r="C796" t="s">
        <v>1617</v>
      </c>
      <c r="D796" s="1" t="s">
        <v>195</v>
      </c>
      <c r="E796" s="3">
        <v>8443.0300000000007</v>
      </c>
      <c r="F796" s="3">
        <f t="shared" si="24"/>
        <v>2133.5536810000003</v>
      </c>
      <c r="G796" s="3">
        <f t="shared" si="25"/>
        <v>10576.583681</v>
      </c>
    </row>
    <row r="797" spans="1:7" x14ac:dyDescent="0.3">
      <c r="A797" t="s">
        <v>13039</v>
      </c>
      <c r="B797" t="s">
        <v>1618</v>
      </c>
      <c r="C797" t="s">
        <v>1619</v>
      </c>
      <c r="D797" s="1" t="s">
        <v>195</v>
      </c>
      <c r="E797" s="3">
        <v>8810.0300000000007</v>
      </c>
      <c r="F797" s="3">
        <f t="shared" si="24"/>
        <v>2226.2945810000006</v>
      </c>
      <c r="G797" s="3">
        <f t="shared" si="25"/>
        <v>11036.324581000001</v>
      </c>
    </row>
    <row r="798" spans="1:7" x14ac:dyDescent="0.3">
      <c r="A798" t="s">
        <v>13039</v>
      </c>
      <c r="B798" t="s">
        <v>1620</v>
      </c>
      <c r="C798" t="s">
        <v>1621</v>
      </c>
      <c r="D798" s="1" t="s">
        <v>195</v>
      </c>
      <c r="E798" s="3">
        <v>7842.23</v>
      </c>
      <c r="F798" s="3">
        <f t="shared" si="24"/>
        <v>1981.7315210000002</v>
      </c>
      <c r="G798" s="3">
        <f t="shared" si="25"/>
        <v>9823.9615209999993</v>
      </c>
    </row>
    <row r="799" spans="1:7" x14ac:dyDescent="0.3">
      <c r="A799" t="s">
        <v>13039</v>
      </c>
      <c r="B799" t="s">
        <v>1622</v>
      </c>
      <c r="C799" t="s">
        <v>1623</v>
      </c>
      <c r="D799" s="1" t="s">
        <v>195</v>
      </c>
      <c r="E799" s="3">
        <v>14317.04</v>
      </c>
      <c r="F799" s="3">
        <f t="shared" si="24"/>
        <v>3617.9160080000006</v>
      </c>
      <c r="G799" s="3">
        <f t="shared" si="25"/>
        <v>17934.956008000001</v>
      </c>
    </row>
    <row r="800" spans="1:7" x14ac:dyDescent="0.3">
      <c r="A800" t="s">
        <v>13039</v>
      </c>
      <c r="B800" t="s">
        <v>1624</v>
      </c>
      <c r="C800" t="s">
        <v>1625</v>
      </c>
      <c r="D800" s="1" t="s">
        <v>195</v>
      </c>
      <c r="E800" s="3">
        <v>12869</v>
      </c>
      <c r="F800" s="3">
        <f t="shared" si="24"/>
        <v>3251.9963000000002</v>
      </c>
      <c r="G800" s="3">
        <f t="shared" si="25"/>
        <v>16120.996300000001</v>
      </c>
    </row>
    <row r="801" spans="1:7" x14ac:dyDescent="0.3">
      <c r="A801" t="s">
        <v>13039</v>
      </c>
      <c r="B801" t="s">
        <v>1626</v>
      </c>
      <c r="C801" t="s">
        <v>1627</v>
      </c>
      <c r="D801" s="1" t="s">
        <v>195</v>
      </c>
      <c r="E801" s="3">
        <v>14222.65</v>
      </c>
      <c r="F801" s="3">
        <f t="shared" si="24"/>
        <v>3594.0636550000004</v>
      </c>
      <c r="G801" s="3">
        <f t="shared" si="25"/>
        <v>17816.713655</v>
      </c>
    </row>
    <row r="802" spans="1:7" x14ac:dyDescent="0.3">
      <c r="A802" t="s">
        <v>13039</v>
      </c>
      <c r="B802" t="s">
        <v>1628</v>
      </c>
      <c r="C802" t="s">
        <v>1629</v>
      </c>
      <c r="D802" s="1" t="s">
        <v>195</v>
      </c>
      <c r="E802" s="3">
        <v>12774.6</v>
      </c>
      <c r="F802" s="3">
        <f t="shared" si="24"/>
        <v>3228.1414200000004</v>
      </c>
      <c r="G802" s="3">
        <f t="shared" si="25"/>
        <v>16002.74142</v>
      </c>
    </row>
    <row r="803" spans="1:7" x14ac:dyDescent="0.3">
      <c r="A803" t="s">
        <v>13039</v>
      </c>
      <c r="B803" t="s">
        <v>1630</v>
      </c>
      <c r="C803" t="s">
        <v>1631</v>
      </c>
      <c r="D803" s="1" t="s">
        <v>195</v>
      </c>
      <c r="E803" s="3">
        <v>9503.9599999999991</v>
      </c>
      <c r="F803" s="3">
        <f t="shared" si="24"/>
        <v>2401.6506920000002</v>
      </c>
      <c r="G803" s="3">
        <f t="shared" si="25"/>
        <v>11905.610691999998</v>
      </c>
    </row>
    <row r="804" spans="1:7" x14ac:dyDescent="0.3">
      <c r="A804" t="s">
        <v>13039</v>
      </c>
      <c r="B804" t="s">
        <v>1632</v>
      </c>
      <c r="C804" t="s">
        <v>1633</v>
      </c>
      <c r="D804" s="1" t="s">
        <v>195</v>
      </c>
      <c r="E804" s="3">
        <v>8324.89</v>
      </c>
      <c r="F804" s="3">
        <f t="shared" si="24"/>
        <v>2103.6997030000002</v>
      </c>
      <c r="G804" s="3">
        <f t="shared" si="25"/>
        <v>10428.589703</v>
      </c>
    </row>
    <row r="805" spans="1:7" x14ac:dyDescent="0.3">
      <c r="A805" t="s">
        <v>13039</v>
      </c>
      <c r="B805" t="s">
        <v>1634</v>
      </c>
      <c r="C805" t="s">
        <v>1635</v>
      </c>
      <c r="D805" s="1" t="s">
        <v>195</v>
      </c>
      <c r="E805" s="3">
        <v>11587.38</v>
      </c>
      <c r="F805" s="3">
        <f t="shared" si="24"/>
        <v>2928.1309260000003</v>
      </c>
      <c r="G805" s="3">
        <f t="shared" si="25"/>
        <v>14515.510925999999</v>
      </c>
    </row>
    <row r="806" spans="1:7" x14ac:dyDescent="0.3">
      <c r="A806" t="s">
        <v>13039</v>
      </c>
      <c r="B806" t="s">
        <v>1636</v>
      </c>
      <c r="C806" t="s">
        <v>1637</v>
      </c>
      <c r="D806" s="1" t="s">
        <v>195</v>
      </c>
      <c r="E806" s="3">
        <v>10408.31</v>
      </c>
      <c r="F806" s="3">
        <f t="shared" si="24"/>
        <v>2630.1799370000003</v>
      </c>
      <c r="G806" s="3">
        <f t="shared" si="25"/>
        <v>13038.489937</v>
      </c>
    </row>
    <row r="807" spans="1:7" x14ac:dyDescent="0.3">
      <c r="A807" t="s">
        <v>13039</v>
      </c>
      <c r="B807" t="s">
        <v>1638</v>
      </c>
      <c r="C807" t="s">
        <v>1639</v>
      </c>
      <c r="D807" s="1" t="s">
        <v>195</v>
      </c>
      <c r="E807" s="3">
        <v>12816.32</v>
      </c>
      <c r="F807" s="3">
        <f t="shared" si="24"/>
        <v>3238.6840640000005</v>
      </c>
      <c r="G807" s="3">
        <f t="shared" si="25"/>
        <v>16055.004064000001</v>
      </c>
    </row>
    <row r="808" spans="1:7" x14ac:dyDescent="0.3">
      <c r="A808" t="s">
        <v>13039</v>
      </c>
      <c r="B808" t="s">
        <v>1640</v>
      </c>
      <c r="C808" t="s">
        <v>1641</v>
      </c>
      <c r="D808" s="1" t="s">
        <v>195</v>
      </c>
      <c r="E808" s="3">
        <v>11368.28</v>
      </c>
      <c r="F808" s="3">
        <f t="shared" si="24"/>
        <v>2872.7643560000006</v>
      </c>
      <c r="G808" s="3">
        <f t="shared" si="25"/>
        <v>14241.044356000002</v>
      </c>
    </row>
    <row r="809" spans="1:7" x14ac:dyDescent="0.3">
      <c r="A809" t="s">
        <v>13039</v>
      </c>
      <c r="B809" t="s">
        <v>1642</v>
      </c>
      <c r="C809" t="s">
        <v>1643</v>
      </c>
      <c r="D809" s="1" t="s">
        <v>195</v>
      </c>
      <c r="E809" s="3">
        <v>2376.4499999999998</v>
      </c>
      <c r="F809" s="3">
        <f t="shared" si="24"/>
        <v>600.52891499999998</v>
      </c>
      <c r="G809" s="3">
        <f t="shared" si="25"/>
        <v>2976.9789149999997</v>
      </c>
    </row>
    <row r="810" spans="1:7" x14ac:dyDescent="0.3">
      <c r="A810" t="s">
        <v>13039</v>
      </c>
      <c r="B810" t="s">
        <v>1644</v>
      </c>
      <c r="C810" t="s">
        <v>1645</v>
      </c>
      <c r="D810" s="1" t="s">
        <v>195</v>
      </c>
      <c r="E810" s="3">
        <v>2152.7600000000002</v>
      </c>
      <c r="F810" s="3">
        <f t="shared" si="24"/>
        <v>544.00245200000018</v>
      </c>
      <c r="G810" s="3">
        <f t="shared" si="25"/>
        <v>2696.7624520000004</v>
      </c>
    </row>
    <row r="811" spans="1:7" x14ac:dyDescent="0.3">
      <c r="A811" t="s">
        <v>13039</v>
      </c>
      <c r="B811" t="s">
        <v>1646</v>
      </c>
      <c r="C811" t="s">
        <v>1647</v>
      </c>
      <c r="D811" s="1" t="s">
        <v>195</v>
      </c>
      <c r="E811" s="3">
        <v>2099.5500000000002</v>
      </c>
      <c r="F811" s="3">
        <f t="shared" si="24"/>
        <v>530.55628500000012</v>
      </c>
      <c r="G811" s="3">
        <f t="shared" si="25"/>
        <v>2630.1062850000003</v>
      </c>
    </row>
    <row r="812" spans="1:7" x14ac:dyDescent="0.3">
      <c r="A812" t="s">
        <v>13039</v>
      </c>
      <c r="B812" t="s">
        <v>1648</v>
      </c>
      <c r="C812" t="s">
        <v>1649</v>
      </c>
      <c r="D812" s="1" t="s">
        <v>195</v>
      </c>
      <c r="E812" s="3">
        <v>1875.87</v>
      </c>
      <c r="F812" s="3">
        <f t="shared" si="24"/>
        <v>474.03234900000007</v>
      </c>
      <c r="G812" s="3">
        <f t="shared" si="25"/>
        <v>2349.902349</v>
      </c>
    </row>
    <row r="813" spans="1:7" x14ac:dyDescent="0.3">
      <c r="A813" t="s">
        <v>13039</v>
      </c>
      <c r="B813" t="s">
        <v>1650</v>
      </c>
      <c r="C813" t="s">
        <v>1651</v>
      </c>
      <c r="D813" s="1" t="s">
        <v>195</v>
      </c>
      <c r="E813" s="3">
        <v>3001.34</v>
      </c>
      <c r="F813" s="3">
        <f t="shared" si="24"/>
        <v>758.43861800000013</v>
      </c>
      <c r="G813" s="3">
        <f t="shared" si="25"/>
        <v>3759.7786180000003</v>
      </c>
    </row>
    <row r="814" spans="1:7" x14ac:dyDescent="0.3">
      <c r="A814" t="s">
        <v>13039</v>
      </c>
      <c r="B814" t="s">
        <v>1652</v>
      </c>
      <c r="C814" t="s">
        <v>1653</v>
      </c>
      <c r="D814" s="1" t="s">
        <v>195</v>
      </c>
      <c r="E814" s="3">
        <v>2706.09</v>
      </c>
      <c r="F814" s="3">
        <f t="shared" si="24"/>
        <v>683.82894300000009</v>
      </c>
      <c r="G814" s="3">
        <f t="shared" si="25"/>
        <v>3389.9189430000001</v>
      </c>
    </row>
    <row r="815" spans="1:7" x14ac:dyDescent="0.3">
      <c r="A815" t="s">
        <v>13039</v>
      </c>
      <c r="B815" t="s">
        <v>1654</v>
      </c>
      <c r="C815" t="s">
        <v>1655</v>
      </c>
      <c r="D815" s="1" t="s">
        <v>195</v>
      </c>
      <c r="E815" s="3">
        <v>3137.25</v>
      </c>
      <c r="F815" s="3">
        <f t="shared" si="24"/>
        <v>792.78307500000017</v>
      </c>
      <c r="G815" s="3">
        <f t="shared" si="25"/>
        <v>3930.0330750000003</v>
      </c>
    </row>
    <row r="816" spans="1:7" x14ac:dyDescent="0.3">
      <c r="A816" t="s">
        <v>13039</v>
      </c>
      <c r="B816" t="s">
        <v>1656</v>
      </c>
      <c r="C816" t="s">
        <v>1657</v>
      </c>
      <c r="D816" s="1" t="s">
        <v>195</v>
      </c>
      <c r="E816" s="3">
        <v>2842</v>
      </c>
      <c r="F816" s="3">
        <f t="shared" si="24"/>
        <v>718.17340000000013</v>
      </c>
      <c r="G816" s="3">
        <f t="shared" si="25"/>
        <v>3560.1734000000001</v>
      </c>
    </row>
    <row r="817" spans="1:7" x14ac:dyDescent="0.3">
      <c r="A817" t="s">
        <v>13039</v>
      </c>
      <c r="B817" t="s">
        <v>1658</v>
      </c>
      <c r="C817" t="s">
        <v>1659</v>
      </c>
      <c r="D817" s="1" t="s">
        <v>195</v>
      </c>
      <c r="E817" s="3">
        <v>2292.66</v>
      </c>
      <c r="F817" s="3">
        <f t="shared" si="24"/>
        <v>579.35518200000001</v>
      </c>
      <c r="G817" s="3">
        <f t="shared" si="25"/>
        <v>2872.0151820000001</v>
      </c>
    </row>
    <row r="818" spans="1:7" x14ac:dyDescent="0.3">
      <c r="A818" t="s">
        <v>13039</v>
      </c>
      <c r="B818" t="s">
        <v>1660</v>
      </c>
      <c r="C818" t="s">
        <v>1661</v>
      </c>
      <c r="D818" s="1" t="s">
        <v>195</v>
      </c>
      <c r="E818" s="3">
        <v>2068.98</v>
      </c>
      <c r="F818" s="3">
        <f t="shared" si="24"/>
        <v>522.83124600000008</v>
      </c>
      <c r="G818" s="3">
        <f t="shared" si="25"/>
        <v>2591.8112460000002</v>
      </c>
    </row>
    <row r="819" spans="1:7" x14ac:dyDescent="0.3">
      <c r="A819" t="s">
        <v>13039</v>
      </c>
      <c r="B819" t="s">
        <v>1662</v>
      </c>
      <c r="C819" t="s">
        <v>1663</v>
      </c>
      <c r="D819" s="1" t="s">
        <v>195</v>
      </c>
      <c r="E819" s="3">
        <v>2558.6799999999998</v>
      </c>
      <c r="F819" s="3">
        <f t="shared" si="24"/>
        <v>646.57843600000001</v>
      </c>
      <c r="G819" s="3">
        <f t="shared" si="25"/>
        <v>3205.2584360000001</v>
      </c>
    </row>
    <row r="820" spans="1:7" x14ac:dyDescent="0.3">
      <c r="A820" t="s">
        <v>13039</v>
      </c>
      <c r="B820" t="s">
        <v>1664</v>
      </c>
      <c r="C820" t="s">
        <v>1665</v>
      </c>
      <c r="D820" s="1" t="s">
        <v>195</v>
      </c>
      <c r="E820" s="3">
        <v>2335</v>
      </c>
      <c r="F820" s="3">
        <f t="shared" si="24"/>
        <v>590.05450000000008</v>
      </c>
      <c r="G820" s="3">
        <f t="shared" si="25"/>
        <v>2925.0545000000002</v>
      </c>
    </row>
    <row r="821" spans="1:7" x14ac:dyDescent="0.3">
      <c r="A821" t="s">
        <v>13039</v>
      </c>
      <c r="B821" t="s">
        <v>1666</v>
      </c>
      <c r="C821" t="s">
        <v>1667</v>
      </c>
      <c r="D821" s="1" t="s">
        <v>195</v>
      </c>
      <c r="E821" s="3">
        <v>2888.65</v>
      </c>
      <c r="F821" s="3">
        <f t="shared" si="24"/>
        <v>729.96185500000013</v>
      </c>
      <c r="G821" s="3">
        <f t="shared" si="25"/>
        <v>3618.6118550000001</v>
      </c>
    </row>
    <row r="822" spans="1:7" x14ac:dyDescent="0.3">
      <c r="A822" t="s">
        <v>13039</v>
      </c>
      <c r="B822" t="s">
        <v>1668</v>
      </c>
      <c r="C822" t="s">
        <v>1669</v>
      </c>
      <c r="D822" s="1" t="s">
        <v>195</v>
      </c>
      <c r="E822" s="3">
        <v>2593.41</v>
      </c>
      <c r="F822" s="3">
        <f t="shared" si="24"/>
        <v>655.35470700000008</v>
      </c>
      <c r="G822" s="3">
        <f t="shared" si="25"/>
        <v>3248.7647069999998</v>
      </c>
    </row>
    <row r="823" spans="1:7" x14ac:dyDescent="0.3">
      <c r="A823" t="s">
        <v>13039</v>
      </c>
      <c r="B823" t="s">
        <v>1670</v>
      </c>
      <c r="C823" t="s">
        <v>1671</v>
      </c>
      <c r="D823" s="1" t="s">
        <v>195</v>
      </c>
      <c r="E823" s="3">
        <v>3315.83</v>
      </c>
      <c r="F823" s="3">
        <f t="shared" si="24"/>
        <v>837.91024100000016</v>
      </c>
      <c r="G823" s="3">
        <f t="shared" si="25"/>
        <v>4153.7402410000004</v>
      </c>
    </row>
    <row r="824" spans="1:7" x14ac:dyDescent="0.3">
      <c r="A824" t="s">
        <v>13039</v>
      </c>
      <c r="B824" t="s">
        <v>1672</v>
      </c>
      <c r="C824" t="s">
        <v>1673</v>
      </c>
      <c r="D824" s="1" t="s">
        <v>195</v>
      </c>
      <c r="E824" s="3">
        <v>3028.35</v>
      </c>
      <c r="F824" s="3">
        <f t="shared" si="24"/>
        <v>765.26404500000012</v>
      </c>
      <c r="G824" s="3">
        <f t="shared" si="25"/>
        <v>3793.6140450000003</v>
      </c>
    </row>
    <row r="825" spans="1:7" x14ac:dyDescent="0.3">
      <c r="A825" t="s">
        <v>13039</v>
      </c>
      <c r="B825" t="s">
        <v>1674</v>
      </c>
      <c r="C825" t="s">
        <v>1675</v>
      </c>
      <c r="D825" s="1" t="s">
        <v>195</v>
      </c>
      <c r="E825" s="3">
        <v>2994.88</v>
      </c>
      <c r="F825" s="3">
        <f t="shared" si="24"/>
        <v>756.80617600000016</v>
      </c>
      <c r="G825" s="3">
        <f t="shared" si="25"/>
        <v>3751.6861760000002</v>
      </c>
    </row>
    <row r="826" spans="1:7" x14ac:dyDescent="0.3">
      <c r="A826" t="s">
        <v>13039</v>
      </c>
      <c r="B826" t="s">
        <v>1676</v>
      </c>
      <c r="C826" t="s">
        <v>1677</v>
      </c>
      <c r="D826" s="1" t="s">
        <v>195</v>
      </c>
      <c r="E826" s="3">
        <v>2707.41</v>
      </c>
      <c r="F826" s="3">
        <f t="shared" si="24"/>
        <v>684.16250700000001</v>
      </c>
      <c r="G826" s="3">
        <f t="shared" si="25"/>
        <v>3391.5725069999999</v>
      </c>
    </row>
    <row r="827" spans="1:7" x14ac:dyDescent="0.3">
      <c r="A827" t="s">
        <v>13039</v>
      </c>
      <c r="B827" t="s">
        <v>1678</v>
      </c>
      <c r="C827" t="s">
        <v>1679</v>
      </c>
      <c r="D827" s="1" t="s">
        <v>195</v>
      </c>
      <c r="E827" s="3">
        <v>4579.8900000000003</v>
      </c>
      <c r="F827" s="3">
        <f t="shared" si="24"/>
        <v>1157.3382030000002</v>
      </c>
      <c r="G827" s="3">
        <f t="shared" si="25"/>
        <v>5737.2282030000006</v>
      </c>
    </row>
    <row r="828" spans="1:7" x14ac:dyDescent="0.3">
      <c r="A828" t="s">
        <v>13039</v>
      </c>
      <c r="B828" t="s">
        <v>1680</v>
      </c>
      <c r="C828" t="s">
        <v>1681</v>
      </c>
      <c r="D828" s="1" t="s">
        <v>195</v>
      </c>
      <c r="E828" s="3">
        <v>4116.08</v>
      </c>
      <c r="F828" s="3">
        <f t="shared" si="24"/>
        <v>1040.1334160000001</v>
      </c>
      <c r="G828" s="3">
        <f t="shared" si="25"/>
        <v>5156.2134160000005</v>
      </c>
    </row>
    <row r="829" spans="1:7" x14ac:dyDescent="0.3">
      <c r="A829" t="s">
        <v>13039</v>
      </c>
      <c r="B829" t="s">
        <v>1682</v>
      </c>
      <c r="C829" t="s">
        <v>1683</v>
      </c>
      <c r="D829" s="1" t="s">
        <v>195</v>
      </c>
      <c r="E829" s="3">
        <v>4905.67</v>
      </c>
      <c r="F829" s="3">
        <f t="shared" si="24"/>
        <v>1239.6628090000002</v>
      </c>
      <c r="G829" s="3">
        <f t="shared" si="25"/>
        <v>6145.3328090000005</v>
      </c>
    </row>
    <row r="830" spans="1:7" x14ac:dyDescent="0.3">
      <c r="A830" t="s">
        <v>13039</v>
      </c>
      <c r="B830" t="s">
        <v>1684</v>
      </c>
      <c r="C830" t="s">
        <v>1685</v>
      </c>
      <c r="D830" s="1" t="s">
        <v>195</v>
      </c>
      <c r="E830" s="3">
        <v>4441.87</v>
      </c>
      <c r="F830" s="3">
        <f t="shared" si="24"/>
        <v>1122.4605490000001</v>
      </c>
      <c r="G830" s="3">
        <f t="shared" si="25"/>
        <v>5564.3305490000002</v>
      </c>
    </row>
    <row r="831" spans="1:7" x14ac:dyDescent="0.3">
      <c r="A831" t="s">
        <v>13039</v>
      </c>
      <c r="B831" t="s">
        <v>1686</v>
      </c>
      <c r="C831" t="s">
        <v>1687</v>
      </c>
      <c r="D831" s="1" t="s">
        <v>195</v>
      </c>
      <c r="E831" s="3">
        <v>3410.8</v>
      </c>
      <c r="F831" s="3">
        <f t="shared" si="24"/>
        <v>861.90916000000016</v>
      </c>
      <c r="G831" s="3">
        <f t="shared" si="25"/>
        <v>4272.7091600000003</v>
      </c>
    </row>
    <row r="832" spans="1:7" x14ac:dyDescent="0.3">
      <c r="A832" t="s">
        <v>13039</v>
      </c>
      <c r="B832" t="s">
        <v>1688</v>
      </c>
      <c r="C832" t="s">
        <v>1689</v>
      </c>
      <c r="D832" s="1" t="s">
        <v>195</v>
      </c>
      <c r="E832" s="3">
        <v>3034.29</v>
      </c>
      <c r="F832" s="3">
        <f t="shared" si="24"/>
        <v>766.76508300000012</v>
      </c>
      <c r="G832" s="3">
        <f t="shared" si="25"/>
        <v>3801.0550830000002</v>
      </c>
    </row>
    <row r="833" spans="1:7" x14ac:dyDescent="0.3">
      <c r="A833" t="s">
        <v>13039</v>
      </c>
      <c r="B833" t="s">
        <v>1690</v>
      </c>
      <c r="C833" t="s">
        <v>1691</v>
      </c>
      <c r="D833" s="1" t="s">
        <v>195</v>
      </c>
      <c r="E833" s="3">
        <v>3834.09</v>
      </c>
      <c r="F833" s="3">
        <f t="shared" si="24"/>
        <v>968.87454300000013</v>
      </c>
      <c r="G833" s="3">
        <f t="shared" si="25"/>
        <v>4802.964543</v>
      </c>
    </row>
    <row r="834" spans="1:7" x14ac:dyDescent="0.3">
      <c r="A834" t="s">
        <v>13039</v>
      </c>
      <c r="B834" t="s">
        <v>1692</v>
      </c>
      <c r="C834" t="s">
        <v>1693</v>
      </c>
      <c r="D834" s="1" t="s">
        <v>195</v>
      </c>
      <c r="E834" s="3">
        <v>3457.57</v>
      </c>
      <c r="F834" s="3">
        <f t="shared" si="24"/>
        <v>873.72793900000022</v>
      </c>
      <c r="G834" s="3">
        <f t="shared" si="25"/>
        <v>4331.297939</v>
      </c>
    </row>
    <row r="835" spans="1:7" x14ac:dyDescent="0.3">
      <c r="A835" t="s">
        <v>13039</v>
      </c>
      <c r="B835" t="s">
        <v>1694</v>
      </c>
      <c r="C835" t="s">
        <v>1695</v>
      </c>
      <c r="D835" s="1" t="s">
        <v>195</v>
      </c>
      <c r="E835" s="3">
        <v>4210.53</v>
      </c>
      <c r="F835" s="3">
        <f t="shared" si="24"/>
        <v>1064.000931</v>
      </c>
      <c r="G835" s="3">
        <f t="shared" si="25"/>
        <v>5274.5309309999993</v>
      </c>
    </row>
    <row r="836" spans="1:7" x14ac:dyDescent="0.3">
      <c r="A836" t="s">
        <v>13039</v>
      </c>
      <c r="B836" t="s">
        <v>1696</v>
      </c>
      <c r="C836" t="s">
        <v>1697</v>
      </c>
      <c r="D836" s="1" t="s">
        <v>195</v>
      </c>
      <c r="E836" s="3">
        <v>3746.73</v>
      </c>
      <c r="F836" s="3">
        <f t="shared" si="24"/>
        <v>946.79867100000013</v>
      </c>
      <c r="G836" s="3">
        <f t="shared" si="25"/>
        <v>4693.528671</v>
      </c>
    </row>
    <row r="837" spans="1:7" x14ac:dyDescent="0.3">
      <c r="A837" t="s">
        <v>13039</v>
      </c>
      <c r="B837" t="s">
        <v>1698</v>
      </c>
      <c r="C837" t="s">
        <v>1699</v>
      </c>
      <c r="D837" s="1" t="s">
        <v>195</v>
      </c>
      <c r="E837" s="3">
        <v>4529.12</v>
      </c>
      <c r="F837" s="3">
        <f t="shared" si="24"/>
        <v>1144.5086240000001</v>
      </c>
      <c r="G837" s="3">
        <f t="shared" si="25"/>
        <v>5673.6286239999999</v>
      </c>
    </row>
    <row r="838" spans="1:7" x14ac:dyDescent="0.3">
      <c r="A838" t="s">
        <v>13039</v>
      </c>
      <c r="B838" t="s">
        <v>1700</v>
      </c>
      <c r="C838" t="s">
        <v>1701</v>
      </c>
      <c r="D838" s="1" t="s">
        <v>195</v>
      </c>
      <c r="E838" s="3">
        <v>4069.86</v>
      </c>
      <c r="F838" s="3">
        <f t="shared" si="24"/>
        <v>1028.4536220000002</v>
      </c>
      <c r="G838" s="3">
        <f t="shared" si="25"/>
        <v>5098.3136220000006</v>
      </c>
    </row>
    <row r="839" spans="1:7" x14ac:dyDescent="0.3">
      <c r="A839" t="s">
        <v>13039</v>
      </c>
      <c r="B839" t="s">
        <v>1702</v>
      </c>
      <c r="C839" t="s">
        <v>1703</v>
      </c>
      <c r="D839" s="1" t="s">
        <v>195</v>
      </c>
      <c r="E839" s="3">
        <v>4286.33</v>
      </c>
      <c r="F839" s="3">
        <f t="shared" ref="F839:F902" si="26">+E839*$F$4</f>
        <v>1083.1555910000002</v>
      </c>
      <c r="G839" s="3">
        <f t="shared" ref="G839:G902" si="27">+E839+F839</f>
        <v>5369.4855910000006</v>
      </c>
    </row>
    <row r="840" spans="1:7" x14ac:dyDescent="0.3">
      <c r="A840" t="s">
        <v>13039</v>
      </c>
      <c r="B840" t="s">
        <v>1704</v>
      </c>
      <c r="C840" t="s">
        <v>1705</v>
      </c>
      <c r="D840" s="1" t="s">
        <v>195</v>
      </c>
      <c r="E840" s="3">
        <v>3827.07</v>
      </c>
      <c r="F840" s="3">
        <f t="shared" si="26"/>
        <v>967.10058900000013</v>
      </c>
      <c r="G840" s="3">
        <f t="shared" si="27"/>
        <v>4794.1705890000003</v>
      </c>
    </row>
    <row r="841" spans="1:7" x14ac:dyDescent="0.3">
      <c r="A841" t="s">
        <v>13039</v>
      </c>
      <c r="B841" t="s">
        <v>1706</v>
      </c>
      <c r="C841" t="s">
        <v>1707</v>
      </c>
      <c r="D841" s="1" t="s">
        <v>195</v>
      </c>
      <c r="E841" s="3">
        <v>6486.28</v>
      </c>
      <c r="F841" s="3">
        <f t="shared" si="26"/>
        <v>1639.0829560000002</v>
      </c>
      <c r="G841" s="3">
        <f t="shared" si="27"/>
        <v>8125.3629559999999</v>
      </c>
    </row>
    <row r="842" spans="1:7" x14ac:dyDescent="0.3">
      <c r="A842" t="s">
        <v>13039</v>
      </c>
      <c r="B842" t="s">
        <v>1708</v>
      </c>
      <c r="C842" t="s">
        <v>1709</v>
      </c>
      <c r="D842" s="1" t="s">
        <v>195</v>
      </c>
      <c r="E842" s="3">
        <v>5801.78</v>
      </c>
      <c r="F842" s="3">
        <f t="shared" si="26"/>
        <v>1466.1098060000002</v>
      </c>
      <c r="G842" s="3">
        <f t="shared" si="27"/>
        <v>7267.8898060000001</v>
      </c>
    </row>
    <row r="843" spans="1:7" x14ac:dyDescent="0.3">
      <c r="A843" t="s">
        <v>13039</v>
      </c>
      <c r="B843" t="s">
        <v>1710</v>
      </c>
      <c r="C843" t="s">
        <v>1711</v>
      </c>
      <c r="D843" s="1" t="s">
        <v>195</v>
      </c>
      <c r="E843" s="3">
        <v>7370.81</v>
      </c>
      <c r="F843" s="3">
        <f t="shared" si="26"/>
        <v>1862.6036870000003</v>
      </c>
      <c r="G843" s="3">
        <f t="shared" si="27"/>
        <v>9233.4136870000002</v>
      </c>
    </row>
    <row r="844" spans="1:7" x14ac:dyDescent="0.3">
      <c r="A844" t="s">
        <v>13039</v>
      </c>
      <c r="B844" t="s">
        <v>1712</v>
      </c>
      <c r="C844" t="s">
        <v>1713</v>
      </c>
      <c r="D844" s="1" t="s">
        <v>195</v>
      </c>
      <c r="E844" s="3">
        <v>6572.81</v>
      </c>
      <c r="F844" s="3">
        <f t="shared" si="26"/>
        <v>1660.9490870000004</v>
      </c>
      <c r="G844" s="3">
        <f t="shared" si="27"/>
        <v>8233.7590870000004</v>
      </c>
    </row>
    <row r="845" spans="1:7" x14ac:dyDescent="0.3">
      <c r="A845" t="s">
        <v>13039</v>
      </c>
      <c r="B845" t="s">
        <v>1714</v>
      </c>
      <c r="C845" t="s">
        <v>1715</v>
      </c>
      <c r="D845" s="1" t="s">
        <v>195</v>
      </c>
      <c r="E845" s="3">
        <v>4924.46</v>
      </c>
      <c r="F845" s="3">
        <f t="shared" si="26"/>
        <v>1244.4110420000002</v>
      </c>
      <c r="G845" s="3">
        <f t="shared" si="27"/>
        <v>6168.8710420000007</v>
      </c>
    </row>
    <row r="846" spans="1:7" x14ac:dyDescent="0.3">
      <c r="A846" t="s">
        <v>13039</v>
      </c>
      <c r="B846" t="s">
        <v>1716</v>
      </c>
      <c r="C846" t="s">
        <v>1717</v>
      </c>
      <c r="D846" s="1" t="s">
        <v>195</v>
      </c>
      <c r="E846" s="3">
        <v>4465.2</v>
      </c>
      <c r="F846" s="3">
        <f t="shared" si="26"/>
        <v>1128.3560400000001</v>
      </c>
      <c r="G846" s="3">
        <f t="shared" si="27"/>
        <v>5593.5560399999995</v>
      </c>
    </row>
    <row r="847" spans="1:7" x14ac:dyDescent="0.3">
      <c r="A847" t="s">
        <v>13039</v>
      </c>
      <c r="B847" t="s">
        <v>1718</v>
      </c>
      <c r="C847" t="s">
        <v>1719</v>
      </c>
      <c r="D847" s="1" t="s">
        <v>195</v>
      </c>
      <c r="E847" s="3">
        <v>5423.7</v>
      </c>
      <c r="F847" s="3">
        <f t="shared" si="26"/>
        <v>1370.5689900000002</v>
      </c>
      <c r="G847" s="3">
        <f t="shared" si="27"/>
        <v>6794.2689900000005</v>
      </c>
    </row>
    <row r="848" spans="1:7" x14ac:dyDescent="0.3">
      <c r="A848" t="s">
        <v>13039</v>
      </c>
      <c r="B848" t="s">
        <v>1720</v>
      </c>
      <c r="C848" t="s">
        <v>1721</v>
      </c>
      <c r="D848" s="1" t="s">
        <v>195</v>
      </c>
      <c r="E848" s="3">
        <v>4859.68</v>
      </c>
      <c r="F848" s="3">
        <f t="shared" si="26"/>
        <v>1228.0411360000003</v>
      </c>
      <c r="G848" s="3">
        <f t="shared" si="27"/>
        <v>6087.7211360000001</v>
      </c>
    </row>
    <row r="849" spans="1:7" x14ac:dyDescent="0.3">
      <c r="A849" t="s">
        <v>13039</v>
      </c>
      <c r="B849" t="s">
        <v>1722</v>
      </c>
      <c r="C849" t="s">
        <v>1723</v>
      </c>
      <c r="D849" s="1" t="s">
        <v>195</v>
      </c>
      <c r="E849" s="3">
        <v>5935.11</v>
      </c>
      <c r="F849" s="3">
        <f t="shared" si="26"/>
        <v>1499.8022970000002</v>
      </c>
      <c r="G849" s="3">
        <f t="shared" si="27"/>
        <v>7434.9122969999999</v>
      </c>
    </row>
    <row r="850" spans="1:7" x14ac:dyDescent="0.3">
      <c r="A850" t="s">
        <v>13039</v>
      </c>
      <c r="B850" t="s">
        <v>1724</v>
      </c>
      <c r="C850" t="s">
        <v>1725</v>
      </c>
      <c r="D850" s="1" t="s">
        <v>195</v>
      </c>
      <c r="E850" s="3">
        <v>5371.1</v>
      </c>
      <c r="F850" s="3">
        <f t="shared" si="26"/>
        <v>1357.2769700000003</v>
      </c>
      <c r="G850" s="3">
        <f t="shared" si="27"/>
        <v>6728.3769700000012</v>
      </c>
    </row>
    <row r="851" spans="1:7" x14ac:dyDescent="0.3">
      <c r="A851" t="s">
        <v>13039</v>
      </c>
      <c r="B851" t="s">
        <v>1726</v>
      </c>
      <c r="C851" t="s">
        <v>1727</v>
      </c>
      <c r="D851" s="1" t="s">
        <v>195</v>
      </c>
      <c r="E851" s="3">
        <v>5789.09</v>
      </c>
      <c r="F851" s="3">
        <f t="shared" si="26"/>
        <v>1462.9030430000003</v>
      </c>
      <c r="G851" s="3">
        <f t="shared" si="27"/>
        <v>7251.9930430000004</v>
      </c>
    </row>
    <row r="852" spans="1:7" x14ac:dyDescent="0.3">
      <c r="A852" t="s">
        <v>13039</v>
      </c>
      <c r="B852" t="s">
        <v>1728</v>
      </c>
      <c r="C852" t="s">
        <v>1729</v>
      </c>
      <c r="D852" s="1" t="s">
        <v>195</v>
      </c>
      <c r="E852" s="3">
        <v>5126.33</v>
      </c>
      <c r="F852" s="3">
        <f t="shared" si="26"/>
        <v>1295.4235910000002</v>
      </c>
      <c r="G852" s="3">
        <f t="shared" si="27"/>
        <v>6421.7535910000006</v>
      </c>
    </row>
    <row r="853" spans="1:7" x14ac:dyDescent="0.3">
      <c r="A853" t="s">
        <v>13039</v>
      </c>
      <c r="B853" t="s">
        <v>1730</v>
      </c>
      <c r="C853" t="s">
        <v>1731</v>
      </c>
      <c r="D853" s="1" t="s">
        <v>195</v>
      </c>
      <c r="E853" s="3">
        <v>5716.05</v>
      </c>
      <c r="F853" s="3">
        <f t="shared" si="26"/>
        <v>1444.4458350000002</v>
      </c>
      <c r="G853" s="3">
        <f t="shared" si="27"/>
        <v>7160.4958350000006</v>
      </c>
    </row>
    <row r="854" spans="1:7" x14ac:dyDescent="0.3">
      <c r="A854" t="s">
        <v>13039</v>
      </c>
      <c r="B854" t="s">
        <v>1732</v>
      </c>
      <c r="C854" t="s">
        <v>1733</v>
      </c>
      <c r="D854" s="1" t="s">
        <v>195</v>
      </c>
      <c r="E854" s="3">
        <v>5053.29</v>
      </c>
      <c r="F854" s="3">
        <f t="shared" si="26"/>
        <v>1276.9663830000002</v>
      </c>
      <c r="G854" s="3">
        <f t="shared" si="27"/>
        <v>6330.2563829999999</v>
      </c>
    </row>
    <row r="855" spans="1:7" x14ac:dyDescent="0.3">
      <c r="A855" t="s">
        <v>13039</v>
      </c>
      <c r="B855" t="s">
        <v>1734</v>
      </c>
      <c r="C855" t="s">
        <v>1735</v>
      </c>
      <c r="D855" s="1" t="s">
        <v>195</v>
      </c>
      <c r="E855" s="3">
        <v>8929.7999999999993</v>
      </c>
      <c r="F855" s="3">
        <f t="shared" si="26"/>
        <v>2256.5604600000001</v>
      </c>
      <c r="G855" s="3">
        <f t="shared" si="27"/>
        <v>11186.36046</v>
      </c>
    </row>
    <row r="856" spans="1:7" x14ac:dyDescent="0.3">
      <c r="A856" t="s">
        <v>13039</v>
      </c>
      <c r="B856" t="s">
        <v>1736</v>
      </c>
      <c r="C856" t="s">
        <v>1737</v>
      </c>
      <c r="D856" s="1" t="s">
        <v>195</v>
      </c>
      <c r="E856" s="3">
        <v>7998.13</v>
      </c>
      <c r="F856" s="3">
        <f t="shared" si="26"/>
        <v>2021.1274510000003</v>
      </c>
      <c r="G856" s="3">
        <f t="shared" si="27"/>
        <v>10019.257451000001</v>
      </c>
    </row>
    <row r="857" spans="1:7" x14ac:dyDescent="0.3">
      <c r="A857" t="s">
        <v>13039</v>
      </c>
      <c r="B857" t="s">
        <v>1738</v>
      </c>
      <c r="C857" t="s">
        <v>1739</v>
      </c>
      <c r="D857" s="1" t="s">
        <v>195</v>
      </c>
      <c r="E857" s="3">
        <v>9657.56</v>
      </c>
      <c r="F857" s="3">
        <f t="shared" si="26"/>
        <v>2440.465412</v>
      </c>
      <c r="G857" s="3">
        <f t="shared" si="27"/>
        <v>12098.025411999999</v>
      </c>
    </row>
    <row r="858" spans="1:7" x14ac:dyDescent="0.3">
      <c r="A858" t="s">
        <v>13039</v>
      </c>
      <c r="B858" t="s">
        <v>1740</v>
      </c>
      <c r="C858" t="s">
        <v>1741</v>
      </c>
      <c r="D858" s="1" t="s">
        <v>195</v>
      </c>
      <c r="E858" s="3">
        <v>8584.44</v>
      </c>
      <c r="F858" s="3">
        <f t="shared" si="26"/>
        <v>2169.2879880000005</v>
      </c>
      <c r="G858" s="3">
        <f t="shared" si="27"/>
        <v>10753.727988000001</v>
      </c>
    </row>
    <row r="859" spans="1:7" x14ac:dyDescent="0.3">
      <c r="A859" t="s">
        <v>13039</v>
      </c>
      <c r="B859" t="s">
        <v>1742</v>
      </c>
      <c r="C859" t="s">
        <v>1743</v>
      </c>
      <c r="D859" s="1" t="s">
        <v>195</v>
      </c>
      <c r="E859" s="3">
        <v>6788.91</v>
      </c>
      <c r="F859" s="3">
        <f t="shared" si="26"/>
        <v>1715.5575570000003</v>
      </c>
      <c r="G859" s="3">
        <f t="shared" si="27"/>
        <v>8504.4675569999999</v>
      </c>
    </row>
    <row r="860" spans="1:7" x14ac:dyDescent="0.3">
      <c r="A860" t="s">
        <v>13039</v>
      </c>
      <c r="B860" t="s">
        <v>1744</v>
      </c>
      <c r="C860" t="s">
        <v>1745</v>
      </c>
      <c r="D860" s="1" t="s">
        <v>195</v>
      </c>
      <c r="E860" s="3">
        <v>5986.45</v>
      </c>
      <c r="F860" s="3">
        <f t="shared" si="26"/>
        <v>1512.7759150000002</v>
      </c>
      <c r="G860" s="3">
        <f t="shared" si="27"/>
        <v>7499.225915</v>
      </c>
    </row>
    <row r="861" spans="1:7" x14ac:dyDescent="0.3">
      <c r="A861" t="s">
        <v>13039</v>
      </c>
      <c r="B861" t="s">
        <v>1746</v>
      </c>
      <c r="C861" t="s">
        <v>1747</v>
      </c>
      <c r="D861" s="1" t="s">
        <v>195</v>
      </c>
      <c r="E861" s="3">
        <v>7543.94</v>
      </c>
      <c r="F861" s="3">
        <f t="shared" si="26"/>
        <v>1906.3536380000003</v>
      </c>
      <c r="G861" s="3">
        <f t="shared" si="27"/>
        <v>9450.2936379999992</v>
      </c>
    </row>
    <row r="862" spans="1:7" x14ac:dyDescent="0.3">
      <c r="A862" t="s">
        <v>13039</v>
      </c>
      <c r="B862" t="s">
        <v>1748</v>
      </c>
      <c r="C862" t="s">
        <v>1749</v>
      </c>
      <c r="D862" s="1" t="s">
        <v>195</v>
      </c>
      <c r="E862" s="3">
        <v>6741.48</v>
      </c>
      <c r="F862" s="3">
        <f t="shared" si="26"/>
        <v>1703.5719960000001</v>
      </c>
      <c r="G862" s="3">
        <f t="shared" si="27"/>
        <v>8445.0519960000001</v>
      </c>
    </row>
    <row r="863" spans="1:7" x14ac:dyDescent="0.3">
      <c r="A863" t="s">
        <v>13039</v>
      </c>
      <c r="B863" t="s">
        <v>1750</v>
      </c>
      <c r="C863" t="s">
        <v>1751</v>
      </c>
      <c r="D863" s="1" t="s">
        <v>195</v>
      </c>
      <c r="E863" s="3">
        <v>8227.33</v>
      </c>
      <c r="F863" s="3">
        <f t="shared" si="26"/>
        <v>2079.0462910000001</v>
      </c>
      <c r="G863" s="3">
        <f t="shared" si="27"/>
        <v>10306.376291</v>
      </c>
    </row>
    <row r="864" spans="1:7" x14ac:dyDescent="0.3">
      <c r="A864" t="s">
        <v>13039</v>
      </c>
      <c r="B864" t="s">
        <v>1752</v>
      </c>
      <c r="C864" t="s">
        <v>1753</v>
      </c>
      <c r="D864" s="1" t="s">
        <v>195</v>
      </c>
      <c r="E864" s="3">
        <v>7295.65</v>
      </c>
      <c r="F864" s="3">
        <f t="shared" si="26"/>
        <v>1843.6107550000002</v>
      </c>
      <c r="G864" s="3">
        <f t="shared" si="27"/>
        <v>9139.2607549999993</v>
      </c>
    </row>
    <row r="865" spans="1:7" x14ac:dyDescent="0.3">
      <c r="A865" t="s">
        <v>13039</v>
      </c>
      <c r="B865" t="s">
        <v>1754</v>
      </c>
      <c r="C865" t="s">
        <v>1755</v>
      </c>
      <c r="D865" s="1" t="s">
        <v>195</v>
      </c>
      <c r="E865" s="3">
        <v>5454.94</v>
      </c>
      <c r="F865" s="3">
        <f t="shared" si="26"/>
        <v>1378.463338</v>
      </c>
      <c r="G865" s="3">
        <f t="shared" si="27"/>
        <v>6833.4033380000001</v>
      </c>
    </row>
    <row r="866" spans="1:7" x14ac:dyDescent="0.3">
      <c r="A866" t="s">
        <v>13039</v>
      </c>
      <c r="B866" t="s">
        <v>1756</v>
      </c>
      <c r="C866" t="s">
        <v>1757</v>
      </c>
      <c r="D866" s="1" t="s">
        <v>195</v>
      </c>
      <c r="E866" s="3">
        <v>4880.91</v>
      </c>
      <c r="F866" s="3">
        <f t="shared" si="26"/>
        <v>1233.4059570000002</v>
      </c>
      <c r="G866" s="3">
        <f t="shared" si="27"/>
        <v>6114.3159569999998</v>
      </c>
    </row>
    <row r="867" spans="1:7" x14ac:dyDescent="0.3">
      <c r="A867" t="s">
        <v>13039</v>
      </c>
      <c r="B867" t="s">
        <v>1758</v>
      </c>
      <c r="C867" t="s">
        <v>1759</v>
      </c>
      <c r="D867" s="1" t="s">
        <v>195</v>
      </c>
      <c r="E867" s="3">
        <v>4893.67</v>
      </c>
      <c r="F867" s="3">
        <f t="shared" si="26"/>
        <v>1236.6304090000001</v>
      </c>
      <c r="G867" s="3">
        <f t="shared" si="27"/>
        <v>6130.3004090000004</v>
      </c>
    </row>
    <row r="868" spans="1:7" x14ac:dyDescent="0.3">
      <c r="A868" t="s">
        <v>13039</v>
      </c>
      <c r="B868" t="s">
        <v>1760</v>
      </c>
      <c r="C868" t="s">
        <v>1761</v>
      </c>
      <c r="D868" s="1" t="s">
        <v>195</v>
      </c>
      <c r="E868" s="3">
        <v>4319.6499999999996</v>
      </c>
      <c r="F868" s="3">
        <f t="shared" si="26"/>
        <v>1091.5755550000001</v>
      </c>
      <c r="G868" s="3">
        <f t="shared" si="27"/>
        <v>5411.225555</v>
      </c>
    </row>
    <row r="869" spans="1:7" x14ac:dyDescent="0.3">
      <c r="A869" t="s">
        <v>13039</v>
      </c>
      <c r="B869" t="s">
        <v>1762</v>
      </c>
      <c r="C869" t="s">
        <v>1763</v>
      </c>
      <c r="D869" s="1" t="s">
        <v>195</v>
      </c>
      <c r="E869" s="3">
        <v>7301.86</v>
      </c>
      <c r="F869" s="3">
        <f t="shared" si="26"/>
        <v>1845.1800220000002</v>
      </c>
      <c r="G869" s="3">
        <f t="shared" si="27"/>
        <v>9147.0400219999992</v>
      </c>
    </row>
    <row r="870" spans="1:7" x14ac:dyDescent="0.3">
      <c r="A870" t="s">
        <v>13039</v>
      </c>
      <c r="B870" t="s">
        <v>1764</v>
      </c>
      <c r="C870" t="s">
        <v>1765</v>
      </c>
      <c r="D870" s="1" t="s">
        <v>195</v>
      </c>
      <c r="E870" s="3">
        <v>6537.53</v>
      </c>
      <c r="F870" s="3">
        <f t="shared" si="26"/>
        <v>1652.0338310000002</v>
      </c>
      <c r="G870" s="3">
        <f t="shared" si="27"/>
        <v>8189.5638309999995</v>
      </c>
    </row>
    <row r="871" spans="1:7" x14ac:dyDescent="0.3">
      <c r="A871" t="s">
        <v>13039</v>
      </c>
      <c r="B871" t="s">
        <v>1766</v>
      </c>
      <c r="C871" t="s">
        <v>1767</v>
      </c>
      <c r="D871" s="1" t="s">
        <v>195</v>
      </c>
      <c r="E871" s="3">
        <v>7415.65</v>
      </c>
      <c r="F871" s="3">
        <f t="shared" si="26"/>
        <v>1873.9347550000002</v>
      </c>
      <c r="G871" s="3">
        <f t="shared" si="27"/>
        <v>9289.5847549999999</v>
      </c>
    </row>
    <row r="872" spans="1:7" x14ac:dyDescent="0.3">
      <c r="A872" t="s">
        <v>13039</v>
      </c>
      <c r="B872" t="s">
        <v>1768</v>
      </c>
      <c r="C872" t="s">
        <v>1769</v>
      </c>
      <c r="D872" s="1" t="s">
        <v>195</v>
      </c>
      <c r="E872" s="3">
        <v>6651.32</v>
      </c>
      <c r="F872" s="3">
        <f t="shared" si="26"/>
        <v>1680.7885640000002</v>
      </c>
      <c r="G872" s="3">
        <f t="shared" si="27"/>
        <v>8332.1085640000001</v>
      </c>
    </row>
    <row r="873" spans="1:7" x14ac:dyDescent="0.3">
      <c r="A873" t="s">
        <v>13039</v>
      </c>
      <c r="B873" t="s">
        <v>1770</v>
      </c>
      <c r="C873" t="s">
        <v>1771</v>
      </c>
      <c r="D873" s="1" t="s">
        <v>195</v>
      </c>
      <c r="E873" s="3">
        <v>5352.41</v>
      </c>
      <c r="F873" s="3">
        <f t="shared" si="26"/>
        <v>1352.5540070000002</v>
      </c>
      <c r="G873" s="3">
        <f t="shared" si="27"/>
        <v>6704.9640070000005</v>
      </c>
    </row>
    <row r="874" spans="1:7" x14ac:dyDescent="0.3">
      <c r="A874" t="s">
        <v>13039</v>
      </c>
      <c r="B874" t="s">
        <v>1772</v>
      </c>
      <c r="C874" t="s">
        <v>1773</v>
      </c>
      <c r="D874" s="1" t="s">
        <v>195</v>
      </c>
      <c r="E874" s="3">
        <v>4778.3900000000003</v>
      </c>
      <c r="F874" s="3">
        <f t="shared" si="26"/>
        <v>1207.4991530000002</v>
      </c>
      <c r="G874" s="3">
        <f t="shared" si="27"/>
        <v>5985.8891530000001</v>
      </c>
    </row>
    <row r="875" spans="1:7" x14ac:dyDescent="0.3">
      <c r="A875" t="s">
        <v>13039</v>
      </c>
      <c r="B875" t="s">
        <v>1774</v>
      </c>
      <c r="C875" t="s">
        <v>1775</v>
      </c>
      <c r="D875" s="1" t="s">
        <v>195</v>
      </c>
      <c r="E875" s="3">
        <v>5744.22</v>
      </c>
      <c r="F875" s="3">
        <f t="shared" si="26"/>
        <v>1451.5643940000002</v>
      </c>
      <c r="G875" s="3">
        <f t="shared" si="27"/>
        <v>7195.7843940000002</v>
      </c>
    </row>
    <row r="876" spans="1:7" x14ac:dyDescent="0.3">
      <c r="A876" t="s">
        <v>13039</v>
      </c>
      <c r="B876" t="s">
        <v>1776</v>
      </c>
      <c r="C876" t="s">
        <v>1777</v>
      </c>
      <c r="D876" s="1" t="s">
        <v>195</v>
      </c>
      <c r="E876" s="3">
        <v>5170.1899999999996</v>
      </c>
      <c r="F876" s="3">
        <f t="shared" si="26"/>
        <v>1306.5070130000001</v>
      </c>
      <c r="G876" s="3">
        <f t="shared" si="27"/>
        <v>6476.697013</v>
      </c>
    </row>
    <row r="877" spans="1:7" x14ac:dyDescent="0.3">
      <c r="A877" t="s">
        <v>13039</v>
      </c>
      <c r="B877" t="s">
        <v>1778</v>
      </c>
      <c r="C877" t="s">
        <v>1779</v>
      </c>
      <c r="D877" s="1" t="s">
        <v>195</v>
      </c>
      <c r="E877" s="3">
        <v>6336.5</v>
      </c>
      <c r="F877" s="3">
        <f t="shared" si="26"/>
        <v>1601.2335500000002</v>
      </c>
      <c r="G877" s="3">
        <f t="shared" si="27"/>
        <v>7937.7335499999999</v>
      </c>
    </row>
    <row r="878" spans="1:7" x14ac:dyDescent="0.3">
      <c r="A878" t="s">
        <v>13039</v>
      </c>
      <c r="B878" t="s">
        <v>1780</v>
      </c>
      <c r="C878" t="s">
        <v>1781</v>
      </c>
      <c r="D878" s="1" t="s">
        <v>195</v>
      </c>
      <c r="E878" s="3">
        <v>5762.47</v>
      </c>
      <c r="F878" s="3">
        <f t="shared" si="26"/>
        <v>1456.1761690000003</v>
      </c>
      <c r="G878" s="3">
        <f t="shared" si="27"/>
        <v>7218.6461690000006</v>
      </c>
    </row>
    <row r="879" spans="1:7" x14ac:dyDescent="0.3">
      <c r="A879" t="s">
        <v>13039</v>
      </c>
      <c r="B879" t="s">
        <v>1782</v>
      </c>
      <c r="C879" t="s">
        <v>1783</v>
      </c>
      <c r="D879" s="1" t="s">
        <v>195</v>
      </c>
      <c r="E879" s="3">
        <v>7831.43</v>
      </c>
      <c r="F879" s="3">
        <f t="shared" si="26"/>
        <v>1979.0023610000003</v>
      </c>
      <c r="G879" s="3">
        <f t="shared" si="27"/>
        <v>9810.432361000001</v>
      </c>
    </row>
    <row r="880" spans="1:7" x14ac:dyDescent="0.3">
      <c r="A880" t="s">
        <v>13039</v>
      </c>
      <c r="B880" t="s">
        <v>1784</v>
      </c>
      <c r="C880" t="s">
        <v>1785</v>
      </c>
      <c r="D880" s="1" t="s">
        <v>195</v>
      </c>
      <c r="E880" s="3">
        <v>7090.74</v>
      </c>
      <c r="F880" s="3">
        <f t="shared" si="26"/>
        <v>1791.8299980000002</v>
      </c>
      <c r="G880" s="3">
        <f t="shared" si="27"/>
        <v>8882.569997999999</v>
      </c>
    </row>
    <row r="881" spans="1:7" x14ac:dyDescent="0.3">
      <c r="A881" t="s">
        <v>13039</v>
      </c>
      <c r="B881" t="s">
        <v>1786</v>
      </c>
      <c r="C881" t="s">
        <v>1787</v>
      </c>
      <c r="D881" s="1" t="s">
        <v>195</v>
      </c>
      <c r="E881" s="3">
        <v>7107.17</v>
      </c>
      <c r="F881" s="3">
        <f t="shared" si="26"/>
        <v>1795.9818590000002</v>
      </c>
      <c r="G881" s="3">
        <f t="shared" si="27"/>
        <v>8903.1518589999996</v>
      </c>
    </row>
    <row r="882" spans="1:7" x14ac:dyDescent="0.3">
      <c r="A882" t="s">
        <v>13039</v>
      </c>
      <c r="B882" t="s">
        <v>1788</v>
      </c>
      <c r="C882" t="s">
        <v>1789</v>
      </c>
      <c r="D882" s="1" t="s">
        <v>195</v>
      </c>
      <c r="E882" s="3">
        <v>6366.48</v>
      </c>
      <c r="F882" s="3">
        <f t="shared" si="26"/>
        <v>1608.8094960000001</v>
      </c>
      <c r="G882" s="3">
        <f t="shared" si="27"/>
        <v>7975.2894959999994</v>
      </c>
    </row>
    <row r="883" spans="1:7" x14ac:dyDescent="0.3">
      <c r="A883" t="s">
        <v>13039</v>
      </c>
      <c r="B883" t="s">
        <v>1790</v>
      </c>
      <c r="C883" t="s">
        <v>1791</v>
      </c>
      <c r="D883" s="1" t="s">
        <v>195</v>
      </c>
      <c r="E883" s="3">
        <v>10717.9</v>
      </c>
      <c r="F883" s="3">
        <f t="shared" si="26"/>
        <v>2708.4133300000003</v>
      </c>
      <c r="G883" s="3">
        <f t="shared" si="27"/>
        <v>13426.313330000001</v>
      </c>
    </row>
    <row r="884" spans="1:7" x14ac:dyDescent="0.3">
      <c r="A884" t="s">
        <v>13039</v>
      </c>
      <c r="B884" t="s">
        <v>1792</v>
      </c>
      <c r="C884" t="s">
        <v>1793</v>
      </c>
      <c r="D884" s="1" t="s">
        <v>195</v>
      </c>
      <c r="E884" s="3">
        <v>9533.7199999999993</v>
      </c>
      <c r="F884" s="3">
        <f t="shared" si="26"/>
        <v>2409.1710440000002</v>
      </c>
      <c r="G884" s="3">
        <f t="shared" si="27"/>
        <v>11942.891044</v>
      </c>
    </row>
    <row r="885" spans="1:7" x14ac:dyDescent="0.3">
      <c r="A885" t="s">
        <v>13039</v>
      </c>
      <c r="B885" t="s">
        <v>1794</v>
      </c>
      <c r="C885" t="s">
        <v>1795</v>
      </c>
      <c r="D885" s="1" t="s">
        <v>195</v>
      </c>
      <c r="E885" s="3">
        <v>11427.15</v>
      </c>
      <c r="F885" s="3">
        <f t="shared" si="26"/>
        <v>2887.6408050000005</v>
      </c>
      <c r="G885" s="3">
        <f t="shared" si="27"/>
        <v>14314.790805000001</v>
      </c>
    </row>
    <row r="886" spans="1:7" x14ac:dyDescent="0.3">
      <c r="A886" t="s">
        <v>13039</v>
      </c>
      <c r="B886" t="s">
        <v>1796</v>
      </c>
      <c r="C886" t="s">
        <v>1797</v>
      </c>
      <c r="D886" s="1" t="s">
        <v>195</v>
      </c>
      <c r="E886" s="3">
        <v>10242.959999999999</v>
      </c>
      <c r="F886" s="3">
        <f t="shared" si="26"/>
        <v>2588.3959920000002</v>
      </c>
      <c r="G886" s="3">
        <f t="shared" si="27"/>
        <v>12831.355991999999</v>
      </c>
    </row>
    <row r="887" spans="1:7" x14ac:dyDescent="0.3">
      <c r="A887" t="s">
        <v>13039</v>
      </c>
      <c r="B887" t="s">
        <v>1798</v>
      </c>
      <c r="C887" t="s">
        <v>1799</v>
      </c>
      <c r="D887" s="1" t="s">
        <v>195</v>
      </c>
      <c r="E887" s="3">
        <v>8075.91</v>
      </c>
      <c r="F887" s="3">
        <f t="shared" si="26"/>
        <v>2040.7824570000002</v>
      </c>
      <c r="G887" s="3">
        <f t="shared" si="27"/>
        <v>10116.692457000001</v>
      </c>
    </row>
    <row r="888" spans="1:7" x14ac:dyDescent="0.3">
      <c r="A888" t="s">
        <v>13039</v>
      </c>
      <c r="B888" t="s">
        <v>1800</v>
      </c>
      <c r="C888" t="s">
        <v>1801</v>
      </c>
      <c r="D888" s="1" t="s">
        <v>195</v>
      </c>
      <c r="E888" s="3">
        <v>7335.22</v>
      </c>
      <c r="F888" s="3">
        <f t="shared" si="26"/>
        <v>1853.6100940000003</v>
      </c>
      <c r="G888" s="3">
        <f t="shared" si="27"/>
        <v>9188.8300940000008</v>
      </c>
    </row>
    <row r="889" spans="1:7" x14ac:dyDescent="0.3">
      <c r="A889" t="s">
        <v>13039</v>
      </c>
      <c r="B889" t="s">
        <v>1802</v>
      </c>
      <c r="C889" t="s">
        <v>1803</v>
      </c>
      <c r="D889" s="1" t="s">
        <v>195</v>
      </c>
      <c r="E889" s="3">
        <v>8849.24</v>
      </c>
      <c r="F889" s="3">
        <f t="shared" si="26"/>
        <v>2236.2029480000001</v>
      </c>
      <c r="G889" s="3">
        <f t="shared" si="27"/>
        <v>11085.442948</v>
      </c>
    </row>
    <row r="890" spans="1:7" x14ac:dyDescent="0.3">
      <c r="A890" t="s">
        <v>13039</v>
      </c>
      <c r="B890" t="s">
        <v>1804</v>
      </c>
      <c r="C890" t="s">
        <v>1805</v>
      </c>
      <c r="D890" s="1" t="s">
        <v>195</v>
      </c>
      <c r="E890" s="3">
        <v>7874.57</v>
      </c>
      <c r="F890" s="3">
        <f t="shared" si="26"/>
        <v>1989.9038390000003</v>
      </c>
      <c r="G890" s="3">
        <f t="shared" si="27"/>
        <v>9864.4738390000002</v>
      </c>
    </row>
    <row r="891" spans="1:7" x14ac:dyDescent="0.3">
      <c r="A891" t="s">
        <v>13039</v>
      </c>
      <c r="B891" t="s">
        <v>1806</v>
      </c>
      <c r="C891" t="s">
        <v>1807</v>
      </c>
      <c r="D891" s="1" t="s">
        <v>195</v>
      </c>
      <c r="E891" s="3">
        <v>9944.91</v>
      </c>
      <c r="F891" s="3">
        <f t="shared" si="26"/>
        <v>2513.0787570000002</v>
      </c>
      <c r="G891" s="3">
        <f t="shared" si="27"/>
        <v>12457.988756999999</v>
      </c>
    </row>
    <row r="892" spans="1:7" x14ac:dyDescent="0.3">
      <c r="A892" t="s">
        <v>13039</v>
      </c>
      <c r="B892" t="s">
        <v>1808</v>
      </c>
      <c r="C892" t="s">
        <v>1809</v>
      </c>
      <c r="D892" s="1" t="s">
        <v>195</v>
      </c>
      <c r="E892" s="3">
        <v>8970.24</v>
      </c>
      <c r="F892" s="3">
        <f t="shared" si="26"/>
        <v>2266.7796480000002</v>
      </c>
      <c r="G892" s="3">
        <f t="shared" si="27"/>
        <v>11237.019648</v>
      </c>
    </row>
    <row r="893" spans="1:7" x14ac:dyDescent="0.3">
      <c r="A893" t="s">
        <v>13039</v>
      </c>
      <c r="B893" t="s">
        <v>1810</v>
      </c>
      <c r="C893" t="s">
        <v>1811</v>
      </c>
      <c r="D893" s="1" t="s">
        <v>195</v>
      </c>
      <c r="E893" s="3">
        <v>10337.82</v>
      </c>
      <c r="F893" s="3">
        <f t="shared" si="26"/>
        <v>2612.3671140000001</v>
      </c>
      <c r="G893" s="3">
        <f t="shared" si="27"/>
        <v>12950.187114</v>
      </c>
    </row>
    <row r="894" spans="1:7" x14ac:dyDescent="0.3">
      <c r="A894" t="s">
        <v>13039</v>
      </c>
      <c r="B894" t="s">
        <v>1812</v>
      </c>
      <c r="C894" t="s">
        <v>1813</v>
      </c>
      <c r="D894" s="1" t="s">
        <v>195</v>
      </c>
      <c r="E894" s="3">
        <v>9397.5400000000009</v>
      </c>
      <c r="F894" s="3">
        <f t="shared" si="26"/>
        <v>2374.7583580000005</v>
      </c>
      <c r="G894" s="3">
        <f t="shared" si="27"/>
        <v>11772.298358000002</v>
      </c>
    </row>
    <row r="895" spans="1:7" x14ac:dyDescent="0.3">
      <c r="A895" t="s">
        <v>13039</v>
      </c>
      <c r="B895" t="s">
        <v>1814</v>
      </c>
      <c r="C895" t="s">
        <v>1815</v>
      </c>
      <c r="D895" s="1" t="s">
        <v>195</v>
      </c>
      <c r="E895" s="3">
        <v>9237.73</v>
      </c>
      <c r="F895" s="3">
        <f t="shared" si="26"/>
        <v>2334.3743710000003</v>
      </c>
      <c r="G895" s="3">
        <f t="shared" si="27"/>
        <v>11572.104370999999</v>
      </c>
    </row>
    <row r="896" spans="1:7" x14ac:dyDescent="0.3">
      <c r="A896" t="s">
        <v>13039</v>
      </c>
      <c r="B896" t="s">
        <v>1816</v>
      </c>
      <c r="C896" t="s">
        <v>1817</v>
      </c>
      <c r="D896" s="1" t="s">
        <v>195</v>
      </c>
      <c r="E896" s="3">
        <v>8297.4500000000007</v>
      </c>
      <c r="F896" s="3">
        <f t="shared" si="26"/>
        <v>2096.7656150000007</v>
      </c>
      <c r="G896" s="3">
        <f t="shared" si="27"/>
        <v>10394.215615000001</v>
      </c>
    </row>
    <row r="897" spans="1:7" x14ac:dyDescent="0.3">
      <c r="A897" t="s">
        <v>13039</v>
      </c>
      <c r="B897" t="s">
        <v>1818</v>
      </c>
      <c r="C897" t="s">
        <v>1819</v>
      </c>
      <c r="D897" s="1" t="s">
        <v>195</v>
      </c>
      <c r="E897" s="3">
        <v>14176.03</v>
      </c>
      <c r="F897" s="3">
        <f t="shared" si="26"/>
        <v>3582.2827810000008</v>
      </c>
      <c r="G897" s="3">
        <f t="shared" si="27"/>
        <v>17758.312781000001</v>
      </c>
    </row>
    <row r="898" spans="1:7" x14ac:dyDescent="0.3">
      <c r="A898" t="s">
        <v>13039</v>
      </c>
      <c r="B898" t="s">
        <v>1820</v>
      </c>
      <c r="C898" t="s">
        <v>1821</v>
      </c>
      <c r="D898" s="1" t="s">
        <v>195</v>
      </c>
      <c r="E898" s="3">
        <v>12736.35</v>
      </c>
      <c r="F898" s="3">
        <f t="shared" si="26"/>
        <v>3218.4756450000004</v>
      </c>
      <c r="G898" s="3">
        <f t="shared" si="27"/>
        <v>15954.825645000001</v>
      </c>
    </row>
    <row r="899" spans="1:7" x14ac:dyDescent="0.3">
      <c r="A899" t="s">
        <v>13039</v>
      </c>
      <c r="B899" t="s">
        <v>1822</v>
      </c>
      <c r="C899" t="s">
        <v>1823</v>
      </c>
      <c r="D899" s="1" t="s">
        <v>195</v>
      </c>
      <c r="E899" s="3">
        <v>15302.14</v>
      </c>
      <c r="F899" s="3">
        <f t="shared" si="26"/>
        <v>3866.8507780000004</v>
      </c>
      <c r="G899" s="3">
        <f t="shared" si="27"/>
        <v>19168.990777999999</v>
      </c>
    </row>
    <row r="900" spans="1:7" x14ac:dyDescent="0.3">
      <c r="A900" t="s">
        <v>13039</v>
      </c>
      <c r="B900" t="s">
        <v>1824</v>
      </c>
      <c r="C900" t="s">
        <v>1825</v>
      </c>
      <c r="D900" s="1" t="s">
        <v>195</v>
      </c>
      <c r="E900" s="3">
        <v>13862.46</v>
      </c>
      <c r="F900" s="3">
        <f t="shared" si="26"/>
        <v>3503.0436420000001</v>
      </c>
      <c r="G900" s="3">
        <f t="shared" si="27"/>
        <v>17365.503642</v>
      </c>
    </row>
    <row r="901" spans="1:7" x14ac:dyDescent="0.3">
      <c r="A901" t="s">
        <v>13039</v>
      </c>
      <c r="B901" t="s">
        <v>1826</v>
      </c>
      <c r="C901" t="s">
        <v>1827</v>
      </c>
      <c r="D901" s="1" t="s">
        <v>195</v>
      </c>
      <c r="E901" s="3">
        <v>10538.64</v>
      </c>
      <c r="F901" s="3">
        <f t="shared" si="26"/>
        <v>2663.1143280000001</v>
      </c>
      <c r="G901" s="3">
        <f t="shared" si="27"/>
        <v>13201.754327999999</v>
      </c>
    </row>
    <row r="902" spans="1:7" x14ac:dyDescent="0.3">
      <c r="A902" t="s">
        <v>13039</v>
      </c>
      <c r="B902" t="s">
        <v>1828</v>
      </c>
      <c r="C902" t="s">
        <v>1829</v>
      </c>
      <c r="D902" s="1" t="s">
        <v>195</v>
      </c>
      <c r="E902" s="3">
        <v>9352.16</v>
      </c>
      <c r="F902" s="3">
        <f t="shared" si="26"/>
        <v>2363.2908320000001</v>
      </c>
      <c r="G902" s="3">
        <f t="shared" si="27"/>
        <v>11715.450832</v>
      </c>
    </row>
    <row r="903" spans="1:7" x14ac:dyDescent="0.3">
      <c r="A903" t="s">
        <v>13039</v>
      </c>
      <c r="B903" t="s">
        <v>1830</v>
      </c>
      <c r="C903" t="s">
        <v>1831</v>
      </c>
      <c r="D903" s="1" t="s">
        <v>195</v>
      </c>
      <c r="E903" s="3">
        <v>11991.21</v>
      </c>
      <c r="F903" s="3">
        <f t="shared" ref="F903:F966" si="28">+E903*$F$4</f>
        <v>3030.1787670000003</v>
      </c>
      <c r="G903" s="3">
        <f t="shared" ref="G903:G966" si="29">+E903+F903</f>
        <v>15021.388767</v>
      </c>
    </row>
    <row r="904" spans="1:7" x14ac:dyDescent="0.3">
      <c r="A904" t="s">
        <v>13039</v>
      </c>
      <c r="B904" t="s">
        <v>1832</v>
      </c>
      <c r="C904" t="s">
        <v>1833</v>
      </c>
      <c r="D904" s="1" t="s">
        <v>195</v>
      </c>
      <c r="E904" s="3">
        <v>10804.72</v>
      </c>
      <c r="F904" s="3">
        <f t="shared" si="28"/>
        <v>2730.3527440000003</v>
      </c>
      <c r="G904" s="3">
        <f t="shared" si="29"/>
        <v>13535.072743999999</v>
      </c>
    </row>
    <row r="905" spans="1:7" x14ac:dyDescent="0.3">
      <c r="A905" t="s">
        <v>13039</v>
      </c>
      <c r="B905" t="s">
        <v>1834</v>
      </c>
      <c r="C905" t="s">
        <v>1835</v>
      </c>
      <c r="D905" s="1" t="s">
        <v>195</v>
      </c>
      <c r="E905" s="3">
        <v>13240.62</v>
      </c>
      <c r="F905" s="3">
        <f t="shared" si="28"/>
        <v>3345.9046740000008</v>
      </c>
      <c r="G905" s="3">
        <f t="shared" si="29"/>
        <v>16586.524674</v>
      </c>
    </row>
    <row r="906" spans="1:7" x14ac:dyDescent="0.3">
      <c r="A906" t="s">
        <v>13039</v>
      </c>
      <c r="B906" t="s">
        <v>1836</v>
      </c>
      <c r="C906" t="s">
        <v>1837</v>
      </c>
      <c r="D906" s="1" t="s">
        <v>195</v>
      </c>
      <c r="E906" s="3">
        <v>11800.94</v>
      </c>
      <c r="F906" s="3">
        <f t="shared" si="28"/>
        <v>2982.0975380000004</v>
      </c>
      <c r="G906" s="3">
        <f t="shared" si="29"/>
        <v>14783.037538</v>
      </c>
    </row>
    <row r="907" spans="1:7" x14ac:dyDescent="0.3">
      <c r="A907" t="s">
        <v>13039</v>
      </c>
      <c r="B907" t="s">
        <v>1838</v>
      </c>
      <c r="C907" t="s">
        <v>1839</v>
      </c>
      <c r="D907" s="1" t="s">
        <v>195</v>
      </c>
      <c r="E907" s="3">
        <v>12986.63</v>
      </c>
      <c r="F907" s="3">
        <f t="shared" si="28"/>
        <v>3281.7214010000002</v>
      </c>
      <c r="G907" s="3">
        <f t="shared" si="29"/>
        <v>16268.351401</v>
      </c>
    </row>
    <row r="908" spans="1:7" x14ac:dyDescent="0.3">
      <c r="A908" t="s">
        <v>13039</v>
      </c>
      <c r="B908" t="s">
        <v>1840</v>
      </c>
      <c r="C908" t="s">
        <v>1841</v>
      </c>
      <c r="D908" s="1" t="s">
        <v>195</v>
      </c>
      <c r="E908" s="3">
        <v>11589.81</v>
      </c>
      <c r="F908" s="3">
        <f t="shared" si="28"/>
        <v>2928.7449870000005</v>
      </c>
      <c r="G908" s="3">
        <f t="shared" si="29"/>
        <v>14518.554987</v>
      </c>
    </row>
    <row r="909" spans="1:7" x14ac:dyDescent="0.3">
      <c r="A909" t="s">
        <v>13039</v>
      </c>
      <c r="B909" t="s">
        <v>1842</v>
      </c>
      <c r="C909" t="s">
        <v>1843</v>
      </c>
      <c r="D909" s="1" t="s">
        <v>195</v>
      </c>
      <c r="E909" s="3">
        <v>12208.4</v>
      </c>
      <c r="F909" s="3">
        <f t="shared" si="28"/>
        <v>3085.0626800000005</v>
      </c>
      <c r="G909" s="3">
        <f t="shared" si="29"/>
        <v>15293.462680000001</v>
      </c>
    </row>
    <row r="910" spans="1:7" x14ac:dyDescent="0.3">
      <c r="A910" t="s">
        <v>13039</v>
      </c>
      <c r="B910" t="s">
        <v>1844</v>
      </c>
      <c r="C910" t="s">
        <v>1845</v>
      </c>
      <c r="D910" s="1" t="s">
        <v>195</v>
      </c>
      <c r="E910" s="3">
        <v>10811.58</v>
      </c>
      <c r="F910" s="3">
        <f t="shared" si="28"/>
        <v>2732.0862660000003</v>
      </c>
      <c r="G910" s="3">
        <f t="shared" si="29"/>
        <v>13543.666266</v>
      </c>
    </row>
    <row r="911" spans="1:7" x14ac:dyDescent="0.3">
      <c r="A911" t="s">
        <v>13039</v>
      </c>
      <c r="B911" t="s">
        <v>1846</v>
      </c>
      <c r="C911" t="s">
        <v>1847</v>
      </c>
      <c r="D911" s="1" t="s">
        <v>195</v>
      </c>
      <c r="E911" s="3">
        <v>19031.759999999998</v>
      </c>
      <c r="F911" s="3">
        <f t="shared" si="28"/>
        <v>4809.3257520000006</v>
      </c>
      <c r="G911" s="3">
        <f t="shared" si="29"/>
        <v>23841.085751999999</v>
      </c>
    </row>
    <row r="912" spans="1:7" x14ac:dyDescent="0.3">
      <c r="A912" t="s">
        <v>13039</v>
      </c>
      <c r="B912" t="s">
        <v>1848</v>
      </c>
      <c r="C912" t="s">
        <v>1849</v>
      </c>
      <c r="D912" s="1" t="s">
        <v>195</v>
      </c>
      <c r="E912" s="3">
        <v>16936.38</v>
      </c>
      <c r="F912" s="3">
        <f t="shared" si="28"/>
        <v>4279.8232260000004</v>
      </c>
      <c r="G912" s="3">
        <f t="shared" si="29"/>
        <v>21216.203226000001</v>
      </c>
    </row>
    <row r="913" spans="1:7" x14ac:dyDescent="0.3">
      <c r="A913" t="s">
        <v>13039</v>
      </c>
      <c r="B913" t="s">
        <v>1850</v>
      </c>
      <c r="C913" t="s">
        <v>1851</v>
      </c>
      <c r="D913" s="1" t="s">
        <v>195</v>
      </c>
      <c r="E913" s="3">
        <v>20556.82</v>
      </c>
      <c r="F913" s="3">
        <f t="shared" si="28"/>
        <v>5194.7084140000006</v>
      </c>
      <c r="G913" s="3">
        <f t="shared" si="29"/>
        <v>25751.528414</v>
      </c>
    </row>
    <row r="914" spans="1:7" x14ac:dyDescent="0.3">
      <c r="A914" t="s">
        <v>13039</v>
      </c>
      <c r="B914" t="s">
        <v>1852</v>
      </c>
      <c r="C914" t="s">
        <v>1853</v>
      </c>
      <c r="D914" s="1" t="s">
        <v>195</v>
      </c>
      <c r="E914" s="3">
        <v>18461.439999999999</v>
      </c>
      <c r="F914" s="3">
        <f t="shared" si="28"/>
        <v>4665.2058880000004</v>
      </c>
      <c r="G914" s="3">
        <f t="shared" si="29"/>
        <v>23126.645887999999</v>
      </c>
    </row>
    <row r="915" spans="1:7" x14ac:dyDescent="0.3">
      <c r="A915" t="s">
        <v>13039</v>
      </c>
      <c r="B915" t="s">
        <v>1854</v>
      </c>
      <c r="C915" t="s">
        <v>1855</v>
      </c>
      <c r="D915" s="1" t="s">
        <v>195</v>
      </c>
      <c r="E915" s="3">
        <v>13977.54</v>
      </c>
      <c r="F915" s="3">
        <f t="shared" si="28"/>
        <v>3532.1243580000009</v>
      </c>
      <c r="G915" s="3">
        <f t="shared" si="29"/>
        <v>17509.664358000002</v>
      </c>
    </row>
    <row r="916" spans="1:7" x14ac:dyDescent="0.3">
      <c r="A916" t="s">
        <v>13039</v>
      </c>
      <c r="B916" t="s">
        <v>1856</v>
      </c>
      <c r="C916" t="s">
        <v>1857</v>
      </c>
      <c r="D916" s="1" t="s">
        <v>195</v>
      </c>
      <c r="E916" s="3">
        <v>12283.84</v>
      </c>
      <c r="F916" s="3">
        <f t="shared" si="28"/>
        <v>3104.1263680000006</v>
      </c>
      <c r="G916" s="3">
        <f t="shared" si="29"/>
        <v>15387.966368000001</v>
      </c>
    </row>
    <row r="917" spans="1:7" x14ac:dyDescent="0.3">
      <c r="A917" t="s">
        <v>13039</v>
      </c>
      <c r="B917" t="s">
        <v>1858</v>
      </c>
      <c r="C917" t="s">
        <v>1859</v>
      </c>
      <c r="D917" s="1" t="s">
        <v>195</v>
      </c>
      <c r="E917" s="3">
        <v>16000.68</v>
      </c>
      <c r="F917" s="3">
        <f t="shared" si="28"/>
        <v>4043.3718360000007</v>
      </c>
      <c r="G917" s="3">
        <f t="shared" si="29"/>
        <v>20044.051836000002</v>
      </c>
    </row>
    <row r="918" spans="1:7" x14ac:dyDescent="0.3">
      <c r="A918" t="s">
        <v>13039</v>
      </c>
      <c r="B918" t="s">
        <v>1860</v>
      </c>
      <c r="C918" t="s">
        <v>1861</v>
      </c>
      <c r="D918" s="1" t="s">
        <v>195</v>
      </c>
      <c r="E918" s="3">
        <v>14306.98</v>
      </c>
      <c r="F918" s="3">
        <f t="shared" si="28"/>
        <v>3615.3738460000004</v>
      </c>
      <c r="G918" s="3">
        <f t="shared" si="29"/>
        <v>17922.353845999998</v>
      </c>
    </row>
    <row r="919" spans="1:7" x14ac:dyDescent="0.3">
      <c r="A919" t="s">
        <v>13039</v>
      </c>
      <c r="B919" t="s">
        <v>1862</v>
      </c>
      <c r="C919" t="s">
        <v>1863</v>
      </c>
      <c r="D919" s="1" t="s">
        <v>195</v>
      </c>
      <c r="E919" s="3">
        <v>17575.82</v>
      </c>
      <c r="F919" s="3">
        <f t="shared" si="28"/>
        <v>4441.4097140000003</v>
      </c>
      <c r="G919" s="3">
        <f t="shared" si="29"/>
        <v>22017.229714000001</v>
      </c>
    </row>
    <row r="920" spans="1:7" x14ac:dyDescent="0.3">
      <c r="A920" t="s">
        <v>13039</v>
      </c>
      <c r="B920" t="s">
        <v>1864</v>
      </c>
      <c r="C920" t="s">
        <v>1865</v>
      </c>
      <c r="D920" s="1" t="s">
        <v>195</v>
      </c>
      <c r="E920" s="3">
        <v>15480.44</v>
      </c>
      <c r="F920" s="3">
        <f t="shared" si="28"/>
        <v>3911.9071880000006</v>
      </c>
      <c r="G920" s="3">
        <f t="shared" si="29"/>
        <v>19392.347188</v>
      </c>
    </row>
    <row r="921" spans="1:7" x14ac:dyDescent="0.3">
      <c r="A921" t="s">
        <v>13039</v>
      </c>
      <c r="B921" t="s">
        <v>1866</v>
      </c>
      <c r="C921" t="s">
        <v>1867</v>
      </c>
      <c r="D921" s="1" t="s">
        <v>38</v>
      </c>
      <c r="E921" s="3">
        <v>1549.9</v>
      </c>
      <c r="F921" s="3">
        <f t="shared" si="28"/>
        <v>391.65973000000008</v>
      </c>
      <c r="G921" s="3">
        <f t="shared" si="29"/>
        <v>1941.5597300000002</v>
      </c>
    </row>
    <row r="922" spans="1:7" x14ac:dyDescent="0.3">
      <c r="A922" t="s">
        <v>13039</v>
      </c>
      <c r="B922" t="s">
        <v>1868</v>
      </c>
      <c r="C922" t="s">
        <v>1869</v>
      </c>
      <c r="D922" s="1" t="s">
        <v>38</v>
      </c>
      <c r="E922" s="3">
        <v>1208.01</v>
      </c>
      <c r="F922" s="3">
        <f t="shared" si="28"/>
        <v>305.26412700000003</v>
      </c>
      <c r="G922" s="3">
        <f t="shared" si="29"/>
        <v>1513.2741270000001</v>
      </c>
    </row>
    <row r="923" spans="1:7" x14ac:dyDescent="0.3">
      <c r="A923" t="s">
        <v>13039</v>
      </c>
      <c r="B923" t="s">
        <v>1870</v>
      </c>
      <c r="C923" t="s">
        <v>1871</v>
      </c>
      <c r="D923" s="1" t="s">
        <v>38</v>
      </c>
      <c r="E923" s="3">
        <v>1558.63</v>
      </c>
      <c r="F923" s="3">
        <f t="shared" si="28"/>
        <v>393.86580100000009</v>
      </c>
      <c r="G923" s="3">
        <f t="shared" si="29"/>
        <v>1952.4958010000003</v>
      </c>
    </row>
    <row r="924" spans="1:7" x14ac:dyDescent="0.3">
      <c r="A924" t="s">
        <v>13039</v>
      </c>
      <c r="B924" t="s">
        <v>1872</v>
      </c>
      <c r="C924" t="s">
        <v>1873</v>
      </c>
      <c r="D924" s="1" t="s">
        <v>38</v>
      </c>
      <c r="E924" s="3">
        <v>1216.04</v>
      </c>
      <c r="F924" s="3">
        <f t="shared" si="28"/>
        <v>307.29330800000002</v>
      </c>
      <c r="G924" s="3">
        <f t="shared" si="29"/>
        <v>1523.333308</v>
      </c>
    </row>
    <row r="925" spans="1:7" x14ac:dyDescent="0.3">
      <c r="A925" t="s">
        <v>13039</v>
      </c>
      <c r="B925" t="s">
        <v>1874</v>
      </c>
      <c r="C925" t="s">
        <v>1875</v>
      </c>
      <c r="D925" s="1" t="s">
        <v>38</v>
      </c>
      <c r="E925" s="3">
        <v>1569.64</v>
      </c>
      <c r="F925" s="3">
        <f t="shared" si="28"/>
        <v>396.64802800000007</v>
      </c>
      <c r="G925" s="3">
        <f t="shared" si="29"/>
        <v>1966.2880280000002</v>
      </c>
    </row>
    <row r="926" spans="1:7" x14ac:dyDescent="0.3">
      <c r="A926" t="s">
        <v>13039</v>
      </c>
      <c r="B926" t="s">
        <v>1876</v>
      </c>
      <c r="C926" t="s">
        <v>1877</v>
      </c>
      <c r="D926" s="1" t="s">
        <v>38</v>
      </c>
      <c r="E926" s="3">
        <v>1226.3499999999999</v>
      </c>
      <c r="F926" s="3">
        <f t="shared" si="28"/>
        <v>309.89864500000004</v>
      </c>
      <c r="G926" s="3">
        <f t="shared" si="29"/>
        <v>1536.2486449999999</v>
      </c>
    </row>
    <row r="927" spans="1:7" x14ac:dyDescent="0.3">
      <c r="A927" t="s">
        <v>13039</v>
      </c>
      <c r="B927" t="s">
        <v>1878</v>
      </c>
      <c r="C927" t="s">
        <v>1879</v>
      </c>
      <c r="D927" s="1" t="s">
        <v>38</v>
      </c>
      <c r="E927" s="3">
        <v>1587.39</v>
      </c>
      <c r="F927" s="3">
        <f t="shared" si="28"/>
        <v>401.13345300000009</v>
      </c>
      <c r="G927" s="3">
        <f t="shared" si="29"/>
        <v>1988.5234530000002</v>
      </c>
    </row>
    <row r="928" spans="1:7" x14ac:dyDescent="0.3">
      <c r="A928" t="s">
        <v>13039</v>
      </c>
      <c r="B928" t="s">
        <v>1880</v>
      </c>
      <c r="C928" t="s">
        <v>1881</v>
      </c>
      <c r="D928" s="1" t="s">
        <v>38</v>
      </c>
      <c r="E928" s="3">
        <v>1242.8800000000001</v>
      </c>
      <c r="F928" s="3">
        <f t="shared" si="28"/>
        <v>314.07577600000008</v>
      </c>
      <c r="G928" s="3">
        <f t="shared" si="29"/>
        <v>1556.9557760000002</v>
      </c>
    </row>
    <row r="929" spans="1:7" x14ac:dyDescent="0.3">
      <c r="A929" t="s">
        <v>13039</v>
      </c>
      <c r="B929" t="s">
        <v>1882</v>
      </c>
      <c r="C929" t="s">
        <v>1883</v>
      </c>
      <c r="D929" s="1" t="s">
        <v>38</v>
      </c>
      <c r="E929" s="3">
        <v>1610.64</v>
      </c>
      <c r="F929" s="3">
        <f t="shared" si="28"/>
        <v>407.00872800000008</v>
      </c>
      <c r="G929" s="3">
        <f t="shared" si="29"/>
        <v>2017.6487280000001</v>
      </c>
    </row>
    <row r="930" spans="1:7" x14ac:dyDescent="0.3">
      <c r="A930" t="s">
        <v>13039</v>
      </c>
      <c r="B930" t="s">
        <v>1884</v>
      </c>
      <c r="C930" t="s">
        <v>1885</v>
      </c>
      <c r="D930" s="1" t="s">
        <v>38</v>
      </c>
      <c r="E930" s="3">
        <v>1264.56</v>
      </c>
      <c r="F930" s="3">
        <f t="shared" si="28"/>
        <v>319.55431200000004</v>
      </c>
      <c r="G930" s="3">
        <f t="shared" si="29"/>
        <v>1584.1143119999999</v>
      </c>
    </row>
    <row r="931" spans="1:7" x14ac:dyDescent="0.3">
      <c r="A931" t="s">
        <v>13039</v>
      </c>
      <c r="B931" t="s">
        <v>1886</v>
      </c>
      <c r="C931" t="s">
        <v>1887</v>
      </c>
      <c r="D931" s="1" t="s">
        <v>38</v>
      </c>
      <c r="E931" s="3">
        <v>1641.21</v>
      </c>
      <c r="F931" s="3">
        <f t="shared" si="28"/>
        <v>414.73376700000006</v>
      </c>
      <c r="G931" s="3">
        <f t="shared" si="29"/>
        <v>2055.9437670000002</v>
      </c>
    </row>
    <row r="932" spans="1:7" x14ac:dyDescent="0.3">
      <c r="A932" t="s">
        <v>13039</v>
      </c>
      <c r="B932" t="s">
        <v>1888</v>
      </c>
      <c r="C932" t="s">
        <v>1889</v>
      </c>
      <c r="D932" s="1" t="s">
        <v>38</v>
      </c>
      <c r="E932" s="3">
        <v>1293.3800000000001</v>
      </c>
      <c r="F932" s="3">
        <f t="shared" si="28"/>
        <v>326.83712600000007</v>
      </c>
      <c r="G932" s="3">
        <f t="shared" si="29"/>
        <v>1620.2171260000002</v>
      </c>
    </row>
    <row r="933" spans="1:7" x14ac:dyDescent="0.3">
      <c r="A933" t="s">
        <v>13039</v>
      </c>
      <c r="B933" t="s">
        <v>1890</v>
      </c>
      <c r="C933" t="s">
        <v>1891</v>
      </c>
      <c r="D933" s="1" t="s">
        <v>38</v>
      </c>
      <c r="E933" s="3">
        <v>1682.6</v>
      </c>
      <c r="F933" s="3">
        <f t="shared" si="28"/>
        <v>425.19302000000005</v>
      </c>
      <c r="G933" s="3">
        <f t="shared" si="29"/>
        <v>2107.7930200000001</v>
      </c>
    </row>
    <row r="934" spans="1:7" x14ac:dyDescent="0.3">
      <c r="A934" t="s">
        <v>13039</v>
      </c>
      <c r="B934" t="s">
        <v>1892</v>
      </c>
      <c r="C934" t="s">
        <v>1893</v>
      </c>
      <c r="D934" s="1" t="s">
        <v>38</v>
      </c>
      <c r="E934" s="3">
        <v>1332.68</v>
      </c>
      <c r="F934" s="3">
        <f t="shared" si="28"/>
        <v>336.76823600000006</v>
      </c>
      <c r="G934" s="3">
        <f t="shared" si="29"/>
        <v>1669.4482360000002</v>
      </c>
    </row>
    <row r="935" spans="1:7" x14ac:dyDescent="0.3">
      <c r="A935" t="s">
        <v>13039</v>
      </c>
      <c r="B935" t="s">
        <v>1894</v>
      </c>
      <c r="C935" t="s">
        <v>1895</v>
      </c>
      <c r="D935" s="1" t="s">
        <v>38</v>
      </c>
      <c r="E935" s="3">
        <v>1736.64</v>
      </c>
      <c r="F935" s="3">
        <f t="shared" si="28"/>
        <v>438.84892800000011</v>
      </c>
      <c r="G935" s="3">
        <f t="shared" si="29"/>
        <v>2175.4889280000002</v>
      </c>
    </row>
    <row r="936" spans="1:7" x14ac:dyDescent="0.3">
      <c r="A936" t="s">
        <v>13039</v>
      </c>
      <c r="B936" t="s">
        <v>1896</v>
      </c>
      <c r="C936" t="s">
        <v>1897</v>
      </c>
      <c r="D936" s="1" t="s">
        <v>38</v>
      </c>
      <c r="E936" s="3">
        <v>1384.44</v>
      </c>
      <c r="F936" s="3">
        <f t="shared" si="28"/>
        <v>349.84798800000004</v>
      </c>
      <c r="G936" s="3">
        <f t="shared" si="29"/>
        <v>1734.287988</v>
      </c>
    </row>
    <row r="937" spans="1:7" x14ac:dyDescent="0.3">
      <c r="A937" t="s">
        <v>13039</v>
      </c>
      <c r="B937" t="s">
        <v>1898</v>
      </c>
      <c r="C937" t="s">
        <v>1899</v>
      </c>
      <c r="D937" s="1" t="s">
        <v>38</v>
      </c>
      <c r="E937" s="3">
        <v>1810.62</v>
      </c>
      <c r="F937" s="3">
        <f t="shared" si="28"/>
        <v>457.54367400000001</v>
      </c>
      <c r="G937" s="3">
        <f t="shared" si="29"/>
        <v>2268.1636739999999</v>
      </c>
    </row>
    <row r="938" spans="1:7" x14ac:dyDescent="0.3">
      <c r="A938" t="s">
        <v>13039</v>
      </c>
      <c r="B938" t="s">
        <v>1900</v>
      </c>
      <c r="C938" t="s">
        <v>1901</v>
      </c>
      <c r="D938" s="1" t="s">
        <v>38</v>
      </c>
      <c r="E938" s="3">
        <v>1455.81</v>
      </c>
      <c r="F938" s="3">
        <f t="shared" si="28"/>
        <v>367.88318700000002</v>
      </c>
      <c r="G938" s="3">
        <f t="shared" si="29"/>
        <v>1823.6931869999999</v>
      </c>
    </row>
    <row r="939" spans="1:7" x14ac:dyDescent="0.3">
      <c r="A939" t="s">
        <v>13039</v>
      </c>
      <c r="B939" t="s">
        <v>1902</v>
      </c>
      <c r="C939" t="s">
        <v>1903</v>
      </c>
      <c r="D939" s="1" t="s">
        <v>38</v>
      </c>
      <c r="E939" s="3">
        <v>1551.89</v>
      </c>
      <c r="F939" s="3">
        <f t="shared" si="28"/>
        <v>392.1626030000001</v>
      </c>
      <c r="G939" s="3">
        <f t="shared" si="29"/>
        <v>1944.0526030000001</v>
      </c>
    </row>
    <row r="940" spans="1:7" x14ac:dyDescent="0.3">
      <c r="A940" t="s">
        <v>13039</v>
      </c>
      <c r="B940" t="s">
        <v>1904</v>
      </c>
      <c r="C940" t="s">
        <v>1905</v>
      </c>
      <c r="D940" s="1" t="s">
        <v>38</v>
      </c>
      <c r="E940" s="3">
        <v>1209.83</v>
      </c>
      <c r="F940" s="3">
        <f t="shared" si="28"/>
        <v>305.724041</v>
      </c>
      <c r="G940" s="3">
        <f t="shared" si="29"/>
        <v>1515.5540409999999</v>
      </c>
    </row>
    <row r="941" spans="1:7" x14ac:dyDescent="0.3">
      <c r="A941" t="s">
        <v>13039</v>
      </c>
      <c r="B941" t="s">
        <v>1906</v>
      </c>
      <c r="C941" t="s">
        <v>1907</v>
      </c>
      <c r="D941" s="1" t="s">
        <v>38</v>
      </c>
      <c r="E941" s="3">
        <v>4009.99</v>
      </c>
      <c r="F941" s="3">
        <f t="shared" si="28"/>
        <v>1013.3244730000001</v>
      </c>
      <c r="G941" s="3">
        <f t="shared" si="29"/>
        <v>5023.3144730000004</v>
      </c>
    </row>
    <row r="942" spans="1:7" x14ac:dyDescent="0.3">
      <c r="A942" t="s">
        <v>13039</v>
      </c>
      <c r="B942" t="s">
        <v>1908</v>
      </c>
      <c r="C942" t="s">
        <v>1909</v>
      </c>
      <c r="D942" s="1" t="s">
        <v>38</v>
      </c>
      <c r="E942" s="3">
        <v>2306.92</v>
      </c>
      <c r="F942" s="3">
        <f t="shared" si="28"/>
        <v>582.95868400000006</v>
      </c>
      <c r="G942" s="3">
        <f t="shared" si="29"/>
        <v>2889.8786840000002</v>
      </c>
    </row>
    <row r="943" spans="1:7" x14ac:dyDescent="0.3">
      <c r="A943" t="s">
        <v>13039</v>
      </c>
      <c r="B943" t="s">
        <v>1910</v>
      </c>
      <c r="C943" t="s">
        <v>1911</v>
      </c>
      <c r="D943" s="1" t="s">
        <v>38</v>
      </c>
      <c r="E943" s="3">
        <v>3117.98</v>
      </c>
      <c r="F943" s="3">
        <f t="shared" si="28"/>
        <v>787.91354600000011</v>
      </c>
      <c r="G943" s="3">
        <f t="shared" si="29"/>
        <v>3905.8935460000002</v>
      </c>
    </row>
    <row r="944" spans="1:7" x14ac:dyDescent="0.3">
      <c r="A944" t="s">
        <v>13039</v>
      </c>
      <c r="B944" t="s">
        <v>1912</v>
      </c>
      <c r="C944" t="s">
        <v>1913</v>
      </c>
      <c r="D944" s="1" t="s">
        <v>38</v>
      </c>
      <c r="E944" s="3">
        <v>1776.36</v>
      </c>
      <c r="F944" s="3">
        <f t="shared" si="28"/>
        <v>448.88617200000004</v>
      </c>
      <c r="G944" s="3">
        <f t="shared" si="29"/>
        <v>2225.2461720000001</v>
      </c>
    </row>
    <row r="945" spans="1:7" x14ac:dyDescent="0.3">
      <c r="A945" t="s">
        <v>13039</v>
      </c>
      <c r="B945" t="s">
        <v>1914</v>
      </c>
      <c r="C945" t="s">
        <v>1915</v>
      </c>
      <c r="D945" s="1" t="s">
        <v>38</v>
      </c>
      <c r="E945" s="3">
        <v>2320.11</v>
      </c>
      <c r="F945" s="3">
        <f t="shared" si="28"/>
        <v>586.29179700000009</v>
      </c>
      <c r="G945" s="3">
        <f t="shared" si="29"/>
        <v>2906.4017970000004</v>
      </c>
    </row>
    <row r="946" spans="1:7" x14ac:dyDescent="0.3">
      <c r="A946" t="s">
        <v>13039</v>
      </c>
      <c r="B946" t="s">
        <v>1916</v>
      </c>
      <c r="C946" t="s">
        <v>1917</v>
      </c>
      <c r="D946" s="1" t="s">
        <v>38</v>
      </c>
      <c r="E946" s="3">
        <v>1788.32</v>
      </c>
      <c r="F946" s="3">
        <f t="shared" si="28"/>
        <v>451.90846400000004</v>
      </c>
      <c r="G946" s="3">
        <f t="shared" si="29"/>
        <v>2240.2284639999998</v>
      </c>
    </row>
    <row r="947" spans="1:7" x14ac:dyDescent="0.3">
      <c r="A947" t="s">
        <v>13039</v>
      </c>
      <c r="B947" t="s">
        <v>1918</v>
      </c>
      <c r="C947" t="s">
        <v>1919</v>
      </c>
      <c r="D947" s="1" t="s">
        <v>38</v>
      </c>
      <c r="E947" s="3">
        <v>4194.9799999999996</v>
      </c>
      <c r="F947" s="3">
        <f t="shared" si="28"/>
        <v>1060.0714460000002</v>
      </c>
      <c r="G947" s="3">
        <f t="shared" si="29"/>
        <v>5255.0514459999995</v>
      </c>
    </row>
    <row r="948" spans="1:7" x14ac:dyDescent="0.3">
      <c r="A948" t="s">
        <v>13039</v>
      </c>
      <c r="B948" t="s">
        <v>1920</v>
      </c>
      <c r="C948" t="s">
        <v>1921</v>
      </c>
      <c r="D948" s="1" t="s">
        <v>38</v>
      </c>
      <c r="E948" s="3">
        <v>2337.2800000000002</v>
      </c>
      <c r="F948" s="3">
        <f t="shared" si="28"/>
        <v>590.63065600000016</v>
      </c>
      <c r="G948" s="3">
        <f t="shared" si="29"/>
        <v>2927.9106560000005</v>
      </c>
    </row>
    <row r="949" spans="1:7" x14ac:dyDescent="0.3">
      <c r="A949" t="s">
        <v>13039</v>
      </c>
      <c r="B949" t="s">
        <v>1922</v>
      </c>
      <c r="C949" t="s">
        <v>1923</v>
      </c>
      <c r="D949" s="1" t="s">
        <v>38</v>
      </c>
      <c r="E949" s="3">
        <v>3260.33</v>
      </c>
      <c r="F949" s="3">
        <f t="shared" si="28"/>
        <v>823.88539100000014</v>
      </c>
      <c r="G949" s="3">
        <f t="shared" si="29"/>
        <v>4084.2153910000002</v>
      </c>
    </row>
    <row r="950" spans="1:7" x14ac:dyDescent="0.3">
      <c r="A950" t="s">
        <v>13039</v>
      </c>
      <c r="B950" t="s">
        <v>1924</v>
      </c>
      <c r="C950" t="s">
        <v>1925</v>
      </c>
      <c r="D950" s="1" t="s">
        <v>38</v>
      </c>
      <c r="E950" s="3">
        <v>1803.92</v>
      </c>
      <c r="F950" s="3">
        <f t="shared" si="28"/>
        <v>455.85058400000008</v>
      </c>
      <c r="G950" s="3">
        <f t="shared" si="29"/>
        <v>2259.7705840000003</v>
      </c>
    </row>
    <row r="951" spans="1:7" x14ac:dyDescent="0.3">
      <c r="A951" t="s">
        <v>13039</v>
      </c>
      <c r="B951" t="s">
        <v>1926</v>
      </c>
      <c r="C951" t="s">
        <v>1927</v>
      </c>
      <c r="D951" s="1" t="s">
        <v>38</v>
      </c>
      <c r="E951" s="3">
        <v>2361.94</v>
      </c>
      <c r="F951" s="3">
        <f t="shared" si="28"/>
        <v>596.86223800000005</v>
      </c>
      <c r="G951" s="3">
        <f t="shared" si="29"/>
        <v>2958.8022380000002</v>
      </c>
    </row>
    <row r="952" spans="1:7" x14ac:dyDescent="0.3">
      <c r="A952" t="s">
        <v>13039</v>
      </c>
      <c r="B952" t="s">
        <v>1928</v>
      </c>
      <c r="C952" t="s">
        <v>1929</v>
      </c>
      <c r="D952" s="1" t="s">
        <v>38</v>
      </c>
      <c r="E952" s="3">
        <v>1826.49</v>
      </c>
      <c r="F952" s="3">
        <f t="shared" si="28"/>
        <v>461.55402300000009</v>
      </c>
      <c r="G952" s="3">
        <f t="shared" si="29"/>
        <v>2288.0440229999999</v>
      </c>
    </row>
    <row r="953" spans="1:7" x14ac:dyDescent="0.3">
      <c r="A953" t="s">
        <v>13039</v>
      </c>
      <c r="B953" t="s">
        <v>1930</v>
      </c>
      <c r="C953" t="s">
        <v>1931</v>
      </c>
      <c r="D953" s="1" t="s">
        <v>38</v>
      </c>
      <c r="E953" s="3">
        <v>2395.63</v>
      </c>
      <c r="F953" s="3">
        <f t="shared" si="28"/>
        <v>605.37570100000016</v>
      </c>
      <c r="G953" s="3">
        <f t="shared" si="29"/>
        <v>3001.005701</v>
      </c>
    </row>
    <row r="954" spans="1:7" x14ac:dyDescent="0.3">
      <c r="A954" t="s">
        <v>13039</v>
      </c>
      <c r="B954" t="s">
        <v>1932</v>
      </c>
      <c r="C954" t="s">
        <v>1933</v>
      </c>
      <c r="D954" s="1" t="s">
        <v>38</v>
      </c>
      <c r="E954" s="3">
        <v>1857.55</v>
      </c>
      <c r="F954" s="3">
        <f t="shared" si="28"/>
        <v>469.40288500000008</v>
      </c>
      <c r="G954" s="3">
        <f t="shared" si="29"/>
        <v>2326.9528850000002</v>
      </c>
    </row>
    <row r="955" spans="1:7" x14ac:dyDescent="0.3">
      <c r="A955" t="s">
        <v>13039</v>
      </c>
      <c r="B955" t="s">
        <v>1934</v>
      </c>
      <c r="C955" t="s">
        <v>1935</v>
      </c>
      <c r="D955" s="1" t="s">
        <v>38</v>
      </c>
      <c r="E955" s="3">
        <v>4681.57</v>
      </c>
      <c r="F955" s="3">
        <f t="shared" si="28"/>
        <v>1183.032739</v>
      </c>
      <c r="G955" s="3">
        <f t="shared" si="29"/>
        <v>5864.6027389999999</v>
      </c>
    </row>
    <row r="956" spans="1:7" x14ac:dyDescent="0.3">
      <c r="A956" t="s">
        <v>13039</v>
      </c>
      <c r="B956" t="s">
        <v>1936</v>
      </c>
      <c r="C956" t="s">
        <v>1937</v>
      </c>
      <c r="D956" s="1" t="s">
        <v>38</v>
      </c>
      <c r="E956" s="3">
        <v>2441.09</v>
      </c>
      <c r="F956" s="3">
        <f t="shared" si="28"/>
        <v>616.86344300000007</v>
      </c>
      <c r="G956" s="3">
        <f t="shared" si="29"/>
        <v>3057.9534430000003</v>
      </c>
    </row>
    <row r="957" spans="1:7" x14ac:dyDescent="0.3">
      <c r="A957" t="s">
        <v>13039</v>
      </c>
      <c r="B957" t="s">
        <v>1938</v>
      </c>
      <c r="C957" t="s">
        <v>1939</v>
      </c>
      <c r="D957" s="1" t="s">
        <v>38</v>
      </c>
      <c r="E957" s="3">
        <v>3635.64</v>
      </c>
      <c r="F957" s="3">
        <f t="shared" si="28"/>
        <v>918.72622800000011</v>
      </c>
      <c r="G957" s="3">
        <f t="shared" si="29"/>
        <v>4554.3662279999999</v>
      </c>
    </row>
    <row r="958" spans="1:7" x14ac:dyDescent="0.3">
      <c r="A958" t="s">
        <v>13039</v>
      </c>
      <c r="B958" t="s">
        <v>1940</v>
      </c>
      <c r="C958" t="s">
        <v>1941</v>
      </c>
      <c r="D958" s="1" t="s">
        <v>38</v>
      </c>
      <c r="E958" s="3">
        <v>1899.69</v>
      </c>
      <c r="F958" s="3">
        <f t="shared" si="28"/>
        <v>480.05166300000008</v>
      </c>
      <c r="G958" s="3">
        <f t="shared" si="29"/>
        <v>2379.7416630000002</v>
      </c>
    </row>
    <row r="959" spans="1:7" x14ac:dyDescent="0.3">
      <c r="A959" t="s">
        <v>13039</v>
      </c>
      <c r="B959" t="s">
        <v>1942</v>
      </c>
      <c r="C959" t="s">
        <v>1943</v>
      </c>
      <c r="D959" s="1" t="s">
        <v>38</v>
      </c>
      <c r="E959" s="3">
        <v>2500.41</v>
      </c>
      <c r="F959" s="3">
        <f t="shared" si="28"/>
        <v>631.85360700000001</v>
      </c>
      <c r="G959" s="3">
        <f t="shared" si="29"/>
        <v>3132.2636069999999</v>
      </c>
    </row>
    <row r="960" spans="1:7" x14ac:dyDescent="0.3">
      <c r="A960" t="s">
        <v>13039</v>
      </c>
      <c r="B960" t="s">
        <v>1944</v>
      </c>
      <c r="C960" t="s">
        <v>1945</v>
      </c>
      <c r="D960" s="1" t="s">
        <v>38</v>
      </c>
      <c r="E960" s="3">
        <v>1955.35</v>
      </c>
      <c r="F960" s="3">
        <f t="shared" si="28"/>
        <v>494.11694500000004</v>
      </c>
      <c r="G960" s="3">
        <f t="shared" si="29"/>
        <v>2449.4669450000001</v>
      </c>
    </row>
    <row r="961" spans="1:7" x14ac:dyDescent="0.3">
      <c r="A961" t="s">
        <v>13039</v>
      </c>
      <c r="B961" t="s">
        <v>1946</v>
      </c>
      <c r="C961" t="s">
        <v>1947</v>
      </c>
      <c r="D961" s="1" t="s">
        <v>38</v>
      </c>
      <c r="E961" s="3">
        <v>2579.87</v>
      </c>
      <c r="F961" s="3">
        <f t="shared" si="28"/>
        <v>651.93314900000007</v>
      </c>
      <c r="G961" s="3">
        <f t="shared" si="29"/>
        <v>3231.8031489999998</v>
      </c>
    </row>
    <row r="962" spans="1:7" x14ac:dyDescent="0.3">
      <c r="A962" t="s">
        <v>13039</v>
      </c>
      <c r="B962" t="s">
        <v>1948</v>
      </c>
      <c r="C962" t="s">
        <v>1949</v>
      </c>
      <c r="D962" s="1" t="s">
        <v>38</v>
      </c>
      <c r="E962" s="3">
        <v>2030.44</v>
      </c>
      <c r="F962" s="3">
        <f t="shared" si="28"/>
        <v>513.09218800000008</v>
      </c>
      <c r="G962" s="3">
        <f t="shared" si="29"/>
        <v>2543.5321880000001</v>
      </c>
    </row>
    <row r="963" spans="1:7" x14ac:dyDescent="0.3">
      <c r="A963" t="s">
        <v>13039</v>
      </c>
      <c r="B963" t="s">
        <v>1950</v>
      </c>
      <c r="C963" t="s">
        <v>1951</v>
      </c>
      <c r="D963" s="1" t="s">
        <v>38</v>
      </c>
      <c r="E963" s="3">
        <v>5798.15</v>
      </c>
      <c r="F963" s="3">
        <f t="shared" si="28"/>
        <v>1465.1925050000002</v>
      </c>
      <c r="G963" s="3">
        <f t="shared" si="29"/>
        <v>7263.3425049999996</v>
      </c>
    </row>
    <row r="964" spans="1:7" x14ac:dyDescent="0.3">
      <c r="A964" t="s">
        <v>13039</v>
      </c>
      <c r="B964" t="s">
        <v>1952</v>
      </c>
      <c r="C964" t="s">
        <v>1953</v>
      </c>
      <c r="D964" s="1" t="s">
        <v>38</v>
      </c>
      <c r="E964" s="3">
        <v>2685.66</v>
      </c>
      <c r="F964" s="3">
        <f t="shared" si="28"/>
        <v>678.66628200000002</v>
      </c>
      <c r="G964" s="3">
        <f t="shared" si="29"/>
        <v>3364.326282</v>
      </c>
    </row>
    <row r="965" spans="1:7" x14ac:dyDescent="0.3">
      <c r="A965" t="s">
        <v>13039</v>
      </c>
      <c r="B965" t="s">
        <v>1954</v>
      </c>
      <c r="C965" t="s">
        <v>1955</v>
      </c>
      <c r="D965" s="1" t="s">
        <v>38</v>
      </c>
      <c r="E965" s="3">
        <v>4493.1400000000003</v>
      </c>
      <c r="F965" s="3">
        <f t="shared" si="28"/>
        <v>1135.4164780000003</v>
      </c>
      <c r="G965" s="3">
        <f t="shared" si="29"/>
        <v>5628.5564780000004</v>
      </c>
    </row>
    <row r="966" spans="1:7" x14ac:dyDescent="0.3">
      <c r="A966" t="s">
        <v>13039</v>
      </c>
      <c r="B966" t="s">
        <v>1956</v>
      </c>
      <c r="C966" t="s">
        <v>1957</v>
      </c>
      <c r="D966" s="1" t="s">
        <v>38</v>
      </c>
      <c r="E966" s="3">
        <v>2131.69</v>
      </c>
      <c r="F966" s="3">
        <f t="shared" si="28"/>
        <v>538.67806300000007</v>
      </c>
      <c r="G966" s="3">
        <f t="shared" si="29"/>
        <v>2670.3680629999999</v>
      </c>
    </row>
    <row r="967" spans="1:7" x14ac:dyDescent="0.3">
      <c r="A967" t="s">
        <v>13039</v>
      </c>
      <c r="B967" t="s">
        <v>1958</v>
      </c>
      <c r="C967" t="s">
        <v>1959</v>
      </c>
      <c r="D967" s="1" t="s">
        <v>38</v>
      </c>
      <c r="E967" s="3">
        <v>2310.15</v>
      </c>
      <c r="F967" s="3">
        <f t="shared" ref="F967:F1030" si="30">+E967*$F$4</f>
        <v>583.7749050000001</v>
      </c>
      <c r="G967" s="3">
        <f t="shared" ref="G967:G1030" si="31">+E967+F967</f>
        <v>2893.9249050000003</v>
      </c>
    </row>
    <row r="968" spans="1:7" x14ac:dyDescent="0.3">
      <c r="A968" t="s">
        <v>13039</v>
      </c>
      <c r="B968" t="s">
        <v>1960</v>
      </c>
      <c r="C968" t="s">
        <v>1961</v>
      </c>
      <c r="D968" s="1" t="s">
        <v>38</v>
      </c>
      <c r="E968" s="3">
        <v>1779.23</v>
      </c>
      <c r="F968" s="3">
        <f t="shared" si="30"/>
        <v>449.61142100000006</v>
      </c>
      <c r="G968" s="3">
        <f t="shared" si="31"/>
        <v>2228.8414210000001</v>
      </c>
    </row>
    <row r="969" spans="1:7" x14ac:dyDescent="0.3">
      <c r="A969" t="s">
        <v>13039</v>
      </c>
      <c r="B969" t="s">
        <v>1962</v>
      </c>
      <c r="C969" t="s">
        <v>1963</v>
      </c>
      <c r="D969" s="1" t="s">
        <v>38</v>
      </c>
      <c r="E969" s="3">
        <v>5829.14</v>
      </c>
      <c r="F969" s="3">
        <f t="shared" si="30"/>
        <v>1473.0236780000002</v>
      </c>
      <c r="G969" s="3">
        <f t="shared" si="31"/>
        <v>7302.1636780000008</v>
      </c>
    </row>
    <row r="970" spans="1:7" x14ac:dyDescent="0.3">
      <c r="A970" t="s">
        <v>13039</v>
      </c>
      <c r="B970" t="s">
        <v>1964</v>
      </c>
      <c r="C970" t="s">
        <v>1965</v>
      </c>
      <c r="D970" s="1" t="s">
        <v>38</v>
      </c>
      <c r="E970" s="3">
        <v>3212.54</v>
      </c>
      <c r="F970" s="3">
        <f t="shared" si="30"/>
        <v>811.8088580000001</v>
      </c>
      <c r="G970" s="3">
        <f t="shared" si="31"/>
        <v>4024.3488580000003</v>
      </c>
    </row>
    <row r="971" spans="1:7" x14ac:dyDescent="0.3">
      <c r="A971" t="s">
        <v>13039</v>
      </c>
      <c r="B971" t="s">
        <v>1966</v>
      </c>
      <c r="C971" t="s">
        <v>1967</v>
      </c>
      <c r="D971" s="1" t="s">
        <v>38</v>
      </c>
      <c r="E971" s="3">
        <v>4450.93</v>
      </c>
      <c r="F971" s="3">
        <f t="shared" si="30"/>
        <v>1124.7500110000003</v>
      </c>
      <c r="G971" s="3">
        <f t="shared" si="31"/>
        <v>5575.6800110000004</v>
      </c>
    </row>
    <row r="972" spans="1:7" x14ac:dyDescent="0.3">
      <c r="A972" t="s">
        <v>13039</v>
      </c>
      <c r="B972" t="s">
        <v>1968</v>
      </c>
      <c r="C972" t="s">
        <v>1969</v>
      </c>
      <c r="D972" s="1" t="s">
        <v>38</v>
      </c>
      <c r="E972" s="3">
        <v>2442.46</v>
      </c>
      <c r="F972" s="3">
        <f t="shared" si="30"/>
        <v>617.20964200000014</v>
      </c>
      <c r="G972" s="3">
        <f t="shared" si="31"/>
        <v>3059.6696420000003</v>
      </c>
    </row>
    <row r="973" spans="1:7" x14ac:dyDescent="0.3">
      <c r="A973" t="s">
        <v>13039</v>
      </c>
      <c r="B973" t="s">
        <v>1970</v>
      </c>
      <c r="C973" t="s">
        <v>1971</v>
      </c>
      <c r="D973" s="1" t="s">
        <v>38</v>
      </c>
      <c r="E973" s="3">
        <v>3232.06</v>
      </c>
      <c r="F973" s="3">
        <f t="shared" si="30"/>
        <v>816.74156200000016</v>
      </c>
      <c r="G973" s="3">
        <f t="shared" si="31"/>
        <v>4048.8015620000001</v>
      </c>
    </row>
    <row r="974" spans="1:7" x14ac:dyDescent="0.3">
      <c r="A974" t="s">
        <v>13039</v>
      </c>
      <c r="B974" t="s">
        <v>1972</v>
      </c>
      <c r="C974" t="s">
        <v>1973</v>
      </c>
      <c r="D974" s="1" t="s">
        <v>38</v>
      </c>
      <c r="E974" s="3">
        <v>2459.54</v>
      </c>
      <c r="F974" s="3">
        <f t="shared" si="30"/>
        <v>621.52575800000011</v>
      </c>
      <c r="G974" s="3">
        <f t="shared" si="31"/>
        <v>3081.0657580000002</v>
      </c>
    </row>
    <row r="975" spans="1:7" x14ac:dyDescent="0.3">
      <c r="A975" t="s">
        <v>13039</v>
      </c>
      <c r="B975" t="s">
        <v>1974</v>
      </c>
      <c r="C975" t="s">
        <v>1975</v>
      </c>
      <c r="D975" s="1" t="s">
        <v>38</v>
      </c>
      <c r="E975" s="3">
        <v>6112</v>
      </c>
      <c r="F975" s="3">
        <f t="shared" si="30"/>
        <v>1544.5024000000003</v>
      </c>
      <c r="G975" s="3">
        <f t="shared" si="31"/>
        <v>7656.5024000000003</v>
      </c>
    </row>
    <row r="976" spans="1:7" x14ac:dyDescent="0.3">
      <c r="A976" t="s">
        <v>13039</v>
      </c>
      <c r="B976" t="s">
        <v>1976</v>
      </c>
      <c r="C976" t="s">
        <v>1977</v>
      </c>
      <c r="D976" s="1" t="s">
        <v>38</v>
      </c>
      <c r="E976" s="3">
        <v>3256.81</v>
      </c>
      <c r="F976" s="3">
        <f t="shared" si="30"/>
        <v>822.99588700000015</v>
      </c>
      <c r="G976" s="3">
        <f t="shared" si="31"/>
        <v>4079.805887</v>
      </c>
    </row>
    <row r="977" spans="1:7" x14ac:dyDescent="0.3">
      <c r="A977" t="s">
        <v>13039</v>
      </c>
      <c r="B977" t="s">
        <v>1978</v>
      </c>
      <c r="C977" t="s">
        <v>1979</v>
      </c>
      <c r="D977" s="1" t="s">
        <v>38</v>
      </c>
      <c r="E977" s="3">
        <v>4663.91</v>
      </c>
      <c r="F977" s="3">
        <f t="shared" si="30"/>
        <v>1178.5700570000001</v>
      </c>
      <c r="G977" s="3">
        <f t="shared" si="31"/>
        <v>5842.4800569999998</v>
      </c>
    </row>
    <row r="978" spans="1:7" x14ac:dyDescent="0.3">
      <c r="A978" t="s">
        <v>13039</v>
      </c>
      <c r="B978" t="s">
        <v>1980</v>
      </c>
      <c r="C978" t="s">
        <v>1981</v>
      </c>
      <c r="D978" s="1" t="s">
        <v>38</v>
      </c>
      <c r="E978" s="3">
        <v>2481.31</v>
      </c>
      <c r="F978" s="3">
        <f t="shared" si="30"/>
        <v>627.02703700000006</v>
      </c>
      <c r="G978" s="3">
        <f t="shared" si="31"/>
        <v>3108.3370370000002</v>
      </c>
    </row>
    <row r="979" spans="1:7" x14ac:dyDescent="0.3">
      <c r="A979" t="s">
        <v>13039</v>
      </c>
      <c r="B979" t="s">
        <v>1982</v>
      </c>
      <c r="C979" t="s">
        <v>1983</v>
      </c>
      <c r="D979" s="1" t="s">
        <v>38</v>
      </c>
      <c r="E979" s="3">
        <v>3293.21</v>
      </c>
      <c r="F979" s="3">
        <f t="shared" si="30"/>
        <v>832.19416700000011</v>
      </c>
      <c r="G979" s="3">
        <f t="shared" si="31"/>
        <v>4125.4041670000006</v>
      </c>
    </row>
    <row r="980" spans="1:7" x14ac:dyDescent="0.3">
      <c r="A980" t="s">
        <v>13039</v>
      </c>
      <c r="B980" t="s">
        <v>1984</v>
      </c>
      <c r="C980" t="s">
        <v>1985</v>
      </c>
      <c r="D980" s="1" t="s">
        <v>38</v>
      </c>
      <c r="E980" s="3">
        <v>2513.5300000000002</v>
      </c>
      <c r="F980" s="3">
        <f t="shared" si="30"/>
        <v>635.16903100000013</v>
      </c>
      <c r="G980" s="3">
        <f t="shared" si="31"/>
        <v>3148.6990310000001</v>
      </c>
    </row>
    <row r="981" spans="1:7" x14ac:dyDescent="0.3">
      <c r="A981" t="s">
        <v>13039</v>
      </c>
      <c r="B981" t="s">
        <v>1986</v>
      </c>
      <c r="C981" t="s">
        <v>1987</v>
      </c>
      <c r="D981" s="1" t="s">
        <v>38</v>
      </c>
      <c r="E981" s="3">
        <v>3342.81</v>
      </c>
      <c r="F981" s="3">
        <f t="shared" si="30"/>
        <v>844.72808700000007</v>
      </c>
      <c r="G981" s="3">
        <f t="shared" si="31"/>
        <v>4187.5380869999999</v>
      </c>
    </row>
    <row r="982" spans="1:7" x14ac:dyDescent="0.3">
      <c r="A982" t="s">
        <v>13039</v>
      </c>
      <c r="B982" t="s">
        <v>1988</v>
      </c>
      <c r="C982" t="s">
        <v>1989</v>
      </c>
      <c r="D982" s="1" t="s">
        <v>38</v>
      </c>
      <c r="E982" s="3">
        <v>2557.6999999999998</v>
      </c>
      <c r="F982" s="3">
        <f t="shared" si="30"/>
        <v>646.33079000000009</v>
      </c>
      <c r="G982" s="3">
        <f t="shared" si="31"/>
        <v>3204.0307899999998</v>
      </c>
    </row>
    <row r="983" spans="1:7" x14ac:dyDescent="0.3">
      <c r="A983" t="s">
        <v>13039</v>
      </c>
      <c r="B983" t="s">
        <v>1990</v>
      </c>
      <c r="C983" t="s">
        <v>1991</v>
      </c>
      <c r="D983" s="1" t="s">
        <v>38</v>
      </c>
      <c r="E983" s="3">
        <v>6823.34</v>
      </c>
      <c r="F983" s="3">
        <f t="shared" si="30"/>
        <v>1724.2580180000002</v>
      </c>
      <c r="G983" s="3">
        <f t="shared" si="31"/>
        <v>8547.5980180000006</v>
      </c>
    </row>
    <row r="984" spans="1:7" x14ac:dyDescent="0.3">
      <c r="A984" t="s">
        <v>13039</v>
      </c>
      <c r="B984" t="s">
        <v>1992</v>
      </c>
      <c r="C984" t="s">
        <v>1993</v>
      </c>
      <c r="D984" s="1" t="s">
        <v>38</v>
      </c>
      <c r="E984" s="3">
        <v>3408.91</v>
      </c>
      <c r="F984" s="3">
        <f t="shared" si="30"/>
        <v>861.43155700000011</v>
      </c>
      <c r="G984" s="3">
        <f t="shared" si="31"/>
        <v>4270.3415569999997</v>
      </c>
    </row>
    <row r="985" spans="1:7" x14ac:dyDescent="0.3">
      <c r="A985" t="s">
        <v>13039</v>
      </c>
      <c r="B985" t="s">
        <v>1994</v>
      </c>
      <c r="C985" t="s">
        <v>1995</v>
      </c>
      <c r="D985" s="1" t="s">
        <v>38</v>
      </c>
      <c r="E985" s="3">
        <v>5201.25</v>
      </c>
      <c r="F985" s="3">
        <f t="shared" si="30"/>
        <v>1314.3558750000002</v>
      </c>
      <c r="G985" s="3">
        <f t="shared" si="31"/>
        <v>6515.6058750000002</v>
      </c>
    </row>
    <row r="986" spans="1:7" x14ac:dyDescent="0.3">
      <c r="A986" t="s">
        <v>13039</v>
      </c>
      <c r="B986" t="s">
        <v>1996</v>
      </c>
      <c r="C986" t="s">
        <v>1997</v>
      </c>
      <c r="D986" s="1" t="s">
        <v>38</v>
      </c>
      <c r="E986" s="3">
        <v>2617.35</v>
      </c>
      <c r="F986" s="3">
        <f t="shared" si="30"/>
        <v>661.40434500000003</v>
      </c>
      <c r="G986" s="3">
        <f t="shared" si="31"/>
        <v>3278.7543449999998</v>
      </c>
    </row>
    <row r="987" spans="1:7" x14ac:dyDescent="0.3">
      <c r="A987" t="s">
        <v>13039</v>
      </c>
      <c r="B987" t="s">
        <v>1998</v>
      </c>
      <c r="C987" t="s">
        <v>1999</v>
      </c>
      <c r="D987" s="1" t="s">
        <v>38</v>
      </c>
      <c r="E987" s="3">
        <v>3493.35</v>
      </c>
      <c r="F987" s="3">
        <f t="shared" si="30"/>
        <v>882.76954500000011</v>
      </c>
      <c r="G987" s="3">
        <f t="shared" si="31"/>
        <v>4376.1195449999996</v>
      </c>
    </row>
    <row r="988" spans="1:7" x14ac:dyDescent="0.3">
      <c r="A988" t="s">
        <v>13039</v>
      </c>
      <c r="B988" t="s">
        <v>2000</v>
      </c>
      <c r="C988" t="s">
        <v>2001</v>
      </c>
      <c r="D988" s="1" t="s">
        <v>38</v>
      </c>
      <c r="E988" s="3">
        <v>2694.44</v>
      </c>
      <c r="F988" s="3">
        <f t="shared" si="30"/>
        <v>680.88498800000013</v>
      </c>
      <c r="G988" s="3">
        <f t="shared" si="31"/>
        <v>3375.3249880000003</v>
      </c>
    </row>
    <row r="989" spans="1:7" x14ac:dyDescent="0.3">
      <c r="A989" t="s">
        <v>13039</v>
      </c>
      <c r="B989" t="s">
        <v>2002</v>
      </c>
      <c r="C989" t="s">
        <v>2003</v>
      </c>
      <c r="D989" s="1" t="s">
        <v>38</v>
      </c>
      <c r="E989" s="3">
        <v>3605.41</v>
      </c>
      <c r="F989" s="3">
        <f t="shared" si="30"/>
        <v>911.08710700000006</v>
      </c>
      <c r="G989" s="3">
        <f t="shared" si="31"/>
        <v>4516.4971070000001</v>
      </c>
    </row>
    <row r="990" spans="1:7" x14ac:dyDescent="0.3">
      <c r="A990" t="s">
        <v>13039</v>
      </c>
      <c r="B990" t="s">
        <v>2004</v>
      </c>
      <c r="C990" t="s">
        <v>2005</v>
      </c>
      <c r="D990" s="1" t="s">
        <v>38</v>
      </c>
      <c r="E990" s="3">
        <v>2797.95</v>
      </c>
      <c r="F990" s="3">
        <f t="shared" si="30"/>
        <v>707.041965</v>
      </c>
      <c r="G990" s="3">
        <f t="shared" si="31"/>
        <v>3504.9919649999997</v>
      </c>
    </row>
    <row r="991" spans="1:7" x14ac:dyDescent="0.3">
      <c r="A991" t="s">
        <v>13039</v>
      </c>
      <c r="B991" t="s">
        <v>2006</v>
      </c>
      <c r="C991" t="s">
        <v>2007</v>
      </c>
      <c r="D991" s="1" t="s">
        <v>38</v>
      </c>
      <c r="E991" s="3">
        <v>8463.9500000000007</v>
      </c>
      <c r="F991" s="3">
        <f t="shared" si="30"/>
        <v>2138.8401650000005</v>
      </c>
      <c r="G991" s="3">
        <f t="shared" si="31"/>
        <v>10602.790165000002</v>
      </c>
    </row>
    <row r="992" spans="1:7" x14ac:dyDescent="0.3">
      <c r="A992" t="s">
        <v>13039</v>
      </c>
      <c r="B992" t="s">
        <v>2008</v>
      </c>
      <c r="C992" t="s">
        <v>2009</v>
      </c>
      <c r="D992" s="1" t="s">
        <v>38</v>
      </c>
      <c r="E992" s="3">
        <v>3754.82</v>
      </c>
      <c r="F992" s="3">
        <f t="shared" si="30"/>
        <v>948.84301400000015</v>
      </c>
      <c r="G992" s="3">
        <f t="shared" si="31"/>
        <v>4703.6630140000007</v>
      </c>
    </row>
    <row r="993" spans="1:7" x14ac:dyDescent="0.3">
      <c r="A993" t="s">
        <v>13039</v>
      </c>
      <c r="B993" t="s">
        <v>2010</v>
      </c>
      <c r="C993" t="s">
        <v>2011</v>
      </c>
      <c r="D993" s="1" t="s">
        <v>38</v>
      </c>
      <c r="E993" s="3">
        <v>6436.2</v>
      </c>
      <c r="F993" s="3">
        <f t="shared" si="30"/>
        <v>1626.4277400000001</v>
      </c>
      <c r="G993" s="3">
        <f t="shared" si="31"/>
        <v>8062.6277399999999</v>
      </c>
    </row>
    <row r="994" spans="1:7" x14ac:dyDescent="0.3">
      <c r="A994" t="s">
        <v>13039</v>
      </c>
      <c r="B994" t="s">
        <v>2012</v>
      </c>
      <c r="C994" t="s">
        <v>2013</v>
      </c>
      <c r="D994" s="1" t="s">
        <v>38</v>
      </c>
      <c r="E994" s="3">
        <v>2937.92</v>
      </c>
      <c r="F994" s="3">
        <f t="shared" si="30"/>
        <v>742.41238400000009</v>
      </c>
      <c r="G994" s="3">
        <f t="shared" si="31"/>
        <v>3680.3323840000003</v>
      </c>
    </row>
    <row r="995" spans="1:7" x14ac:dyDescent="0.3">
      <c r="A995" t="s">
        <v>13039</v>
      </c>
      <c r="B995" t="s">
        <v>2014</v>
      </c>
      <c r="C995" t="s">
        <v>2015</v>
      </c>
      <c r="D995" s="1" t="s">
        <v>38</v>
      </c>
      <c r="E995" s="3">
        <v>3217.46</v>
      </c>
      <c r="F995" s="3">
        <f t="shared" si="30"/>
        <v>813.05214200000012</v>
      </c>
      <c r="G995" s="3">
        <f t="shared" si="31"/>
        <v>4030.512142</v>
      </c>
    </row>
    <row r="996" spans="1:7" x14ac:dyDescent="0.3">
      <c r="A996" t="s">
        <v>13039</v>
      </c>
      <c r="B996" t="s">
        <v>2016</v>
      </c>
      <c r="C996" t="s">
        <v>2017</v>
      </c>
      <c r="D996" s="1" t="s">
        <v>38</v>
      </c>
      <c r="E996" s="3">
        <v>2446.69</v>
      </c>
      <c r="F996" s="3">
        <f t="shared" si="30"/>
        <v>618.27856300000008</v>
      </c>
      <c r="G996" s="3">
        <f t="shared" si="31"/>
        <v>3064.9685630000004</v>
      </c>
    </row>
    <row r="997" spans="1:7" x14ac:dyDescent="0.3">
      <c r="A997" t="s">
        <v>13039</v>
      </c>
      <c r="B997" t="s">
        <v>2018</v>
      </c>
      <c r="C997" t="s">
        <v>2019</v>
      </c>
      <c r="D997" s="1" t="s">
        <v>38</v>
      </c>
      <c r="E997" s="3">
        <v>10340.68</v>
      </c>
      <c r="F997" s="3">
        <f t="shared" si="30"/>
        <v>2613.0898360000006</v>
      </c>
      <c r="G997" s="3">
        <f t="shared" si="31"/>
        <v>12953.769836000001</v>
      </c>
    </row>
    <row r="998" spans="1:7" x14ac:dyDescent="0.3">
      <c r="A998" t="s">
        <v>13039</v>
      </c>
      <c r="B998" t="s">
        <v>2020</v>
      </c>
      <c r="C998" t="s">
        <v>2021</v>
      </c>
      <c r="D998" s="1" t="s">
        <v>38</v>
      </c>
      <c r="E998" s="3">
        <v>5523.86</v>
      </c>
      <c r="F998" s="3">
        <f t="shared" si="30"/>
        <v>1395.8794220000002</v>
      </c>
      <c r="G998" s="3">
        <f t="shared" si="31"/>
        <v>6919.7394219999996</v>
      </c>
    </row>
    <row r="999" spans="1:7" x14ac:dyDescent="0.3">
      <c r="A999" t="s">
        <v>13039</v>
      </c>
      <c r="B999" t="s">
        <v>2022</v>
      </c>
      <c r="C999" t="s">
        <v>2023</v>
      </c>
      <c r="D999" s="1" t="s">
        <v>38</v>
      </c>
      <c r="E999" s="3">
        <v>7696.07</v>
      </c>
      <c r="F999" s="3">
        <f t="shared" si="30"/>
        <v>1944.7968890000002</v>
      </c>
      <c r="G999" s="3">
        <f t="shared" si="31"/>
        <v>9640.8668890000008</v>
      </c>
    </row>
    <row r="1000" spans="1:7" x14ac:dyDescent="0.3">
      <c r="A1000" t="s">
        <v>13039</v>
      </c>
      <c r="B1000" t="s">
        <v>2024</v>
      </c>
      <c r="C1000" t="s">
        <v>2025</v>
      </c>
      <c r="D1000" s="1" t="s">
        <v>38</v>
      </c>
      <c r="E1000" s="3">
        <v>4146.3500000000004</v>
      </c>
      <c r="F1000" s="3">
        <f t="shared" si="30"/>
        <v>1047.7826450000002</v>
      </c>
      <c r="G1000" s="3">
        <f t="shared" si="31"/>
        <v>5194.1326450000006</v>
      </c>
    </row>
    <row r="1001" spans="1:7" x14ac:dyDescent="0.3">
      <c r="A1001" t="s">
        <v>13039</v>
      </c>
      <c r="B1001" t="s">
        <v>2026</v>
      </c>
      <c r="C1001" t="s">
        <v>2027</v>
      </c>
      <c r="D1001" s="1" t="s">
        <v>38</v>
      </c>
      <c r="E1001" s="3">
        <v>5553.42</v>
      </c>
      <c r="F1001" s="3">
        <f t="shared" si="30"/>
        <v>1403.3492340000003</v>
      </c>
      <c r="G1001" s="3">
        <f t="shared" si="31"/>
        <v>6956.7692340000003</v>
      </c>
    </row>
    <row r="1002" spans="1:7" x14ac:dyDescent="0.3">
      <c r="A1002" t="s">
        <v>13039</v>
      </c>
      <c r="B1002" t="s">
        <v>2028</v>
      </c>
      <c r="C1002" t="s">
        <v>2029</v>
      </c>
      <c r="D1002" s="1" t="s">
        <v>38</v>
      </c>
      <c r="E1002" s="3">
        <v>4171.72</v>
      </c>
      <c r="F1002" s="3">
        <f t="shared" si="30"/>
        <v>1054.1936440000002</v>
      </c>
      <c r="G1002" s="3">
        <f t="shared" si="31"/>
        <v>5225.9136440000002</v>
      </c>
    </row>
    <row r="1003" spans="1:7" x14ac:dyDescent="0.3">
      <c r="A1003" t="s">
        <v>13039</v>
      </c>
      <c r="B1003" t="s">
        <v>2030</v>
      </c>
      <c r="C1003" t="s">
        <v>2031</v>
      </c>
      <c r="D1003" s="1" t="s">
        <v>38</v>
      </c>
      <c r="E1003" s="3">
        <v>10853.84</v>
      </c>
      <c r="F1003" s="3">
        <f t="shared" si="30"/>
        <v>2742.7653680000003</v>
      </c>
      <c r="G1003" s="3">
        <f t="shared" si="31"/>
        <v>13596.605368</v>
      </c>
    </row>
    <row r="1004" spans="1:7" x14ac:dyDescent="0.3">
      <c r="A1004" t="s">
        <v>13039</v>
      </c>
      <c r="B1004" t="s">
        <v>2032</v>
      </c>
      <c r="C1004" t="s">
        <v>2033</v>
      </c>
      <c r="D1004" s="1" t="s">
        <v>38</v>
      </c>
      <c r="E1004" s="3">
        <v>5590.38</v>
      </c>
      <c r="F1004" s="3">
        <f t="shared" si="30"/>
        <v>1412.6890260000002</v>
      </c>
      <c r="G1004" s="3">
        <f t="shared" si="31"/>
        <v>7003.0690260000001</v>
      </c>
    </row>
    <row r="1005" spans="1:7" x14ac:dyDescent="0.3">
      <c r="A1005" t="s">
        <v>13039</v>
      </c>
      <c r="B1005" t="s">
        <v>2034</v>
      </c>
      <c r="C1005" t="s">
        <v>2035</v>
      </c>
      <c r="D1005" s="1" t="s">
        <v>38</v>
      </c>
      <c r="E1005" s="3">
        <v>8074.01</v>
      </c>
      <c r="F1005" s="3">
        <f t="shared" si="30"/>
        <v>2040.3023270000003</v>
      </c>
      <c r="G1005" s="3">
        <f t="shared" si="31"/>
        <v>10114.312327</v>
      </c>
    </row>
    <row r="1006" spans="1:7" x14ac:dyDescent="0.3">
      <c r="A1006" t="s">
        <v>13039</v>
      </c>
      <c r="B1006" t="s">
        <v>2036</v>
      </c>
      <c r="C1006" t="s">
        <v>2037</v>
      </c>
      <c r="D1006" s="1" t="s">
        <v>38</v>
      </c>
      <c r="E1006" s="3">
        <v>4203.43</v>
      </c>
      <c r="F1006" s="3">
        <f t="shared" si="30"/>
        <v>1062.2067610000001</v>
      </c>
      <c r="G1006" s="3">
        <f t="shared" si="31"/>
        <v>5265.6367610000007</v>
      </c>
    </row>
    <row r="1007" spans="1:7" x14ac:dyDescent="0.3">
      <c r="A1007" t="s">
        <v>13039</v>
      </c>
      <c r="B1007" t="s">
        <v>2038</v>
      </c>
      <c r="C1007" t="s">
        <v>2039</v>
      </c>
      <c r="D1007" s="1" t="s">
        <v>38</v>
      </c>
      <c r="E1007" s="3">
        <v>5644.68</v>
      </c>
      <c r="F1007" s="3">
        <f t="shared" si="30"/>
        <v>1426.4106360000003</v>
      </c>
      <c r="G1007" s="3">
        <f t="shared" si="31"/>
        <v>7071.0906360000008</v>
      </c>
    </row>
    <row r="1008" spans="1:7" x14ac:dyDescent="0.3">
      <c r="A1008" t="s">
        <v>13039</v>
      </c>
      <c r="B1008" t="s">
        <v>2040</v>
      </c>
      <c r="C1008" t="s">
        <v>2041</v>
      </c>
      <c r="D1008" s="1" t="s">
        <v>38</v>
      </c>
      <c r="E1008" s="3">
        <v>4250.58</v>
      </c>
      <c r="F1008" s="3">
        <f t="shared" si="30"/>
        <v>1074.121566</v>
      </c>
      <c r="G1008" s="3">
        <f t="shared" si="31"/>
        <v>5324.7015659999997</v>
      </c>
    </row>
    <row r="1009" spans="1:7" x14ac:dyDescent="0.3">
      <c r="A1009" t="s">
        <v>13039</v>
      </c>
      <c r="B1009" t="s">
        <v>2042</v>
      </c>
      <c r="C1009" t="s">
        <v>2043</v>
      </c>
      <c r="D1009" s="1" t="s">
        <v>38</v>
      </c>
      <c r="E1009" s="3">
        <v>5718.62</v>
      </c>
      <c r="F1009" s="3">
        <f t="shared" si="30"/>
        <v>1445.0952740000002</v>
      </c>
      <c r="G1009" s="3">
        <f t="shared" si="31"/>
        <v>7163.7152740000001</v>
      </c>
    </row>
    <row r="1010" spans="1:7" x14ac:dyDescent="0.3">
      <c r="A1010" t="s">
        <v>13039</v>
      </c>
      <c r="B1010" t="s">
        <v>2044</v>
      </c>
      <c r="C1010" t="s">
        <v>2045</v>
      </c>
      <c r="D1010" s="1" t="s">
        <v>38</v>
      </c>
      <c r="E1010" s="3">
        <v>4315.43</v>
      </c>
      <c r="F1010" s="3">
        <f t="shared" si="30"/>
        <v>1090.5091610000002</v>
      </c>
      <c r="G1010" s="3">
        <f t="shared" si="31"/>
        <v>5405.9391610000002</v>
      </c>
    </row>
    <row r="1011" spans="1:7" x14ac:dyDescent="0.3">
      <c r="A1011" t="s">
        <v>13039</v>
      </c>
      <c r="B1011" t="s">
        <v>2046</v>
      </c>
      <c r="C1011" t="s">
        <v>2047</v>
      </c>
      <c r="D1011" s="1" t="s">
        <v>38</v>
      </c>
      <c r="E1011" s="3">
        <v>12157.63</v>
      </c>
      <c r="F1011" s="3">
        <f t="shared" si="30"/>
        <v>3072.2331010000003</v>
      </c>
      <c r="G1011" s="3">
        <f t="shared" si="31"/>
        <v>15229.863100999999</v>
      </c>
    </row>
    <row r="1012" spans="1:7" x14ac:dyDescent="0.3">
      <c r="A1012" t="s">
        <v>13039</v>
      </c>
      <c r="B1012" t="s">
        <v>2048</v>
      </c>
      <c r="C1012" t="s">
        <v>2049</v>
      </c>
      <c r="D1012" s="1" t="s">
        <v>38</v>
      </c>
      <c r="E1012" s="3">
        <v>5815.71</v>
      </c>
      <c r="F1012" s="3">
        <f t="shared" si="30"/>
        <v>1469.6299170000002</v>
      </c>
      <c r="G1012" s="3">
        <f t="shared" si="31"/>
        <v>7285.3399170000002</v>
      </c>
    </row>
    <row r="1013" spans="1:7" x14ac:dyDescent="0.3">
      <c r="A1013" t="s">
        <v>13039</v>
      </c>
      <c r="B1013" t="s">
        <v>2050</v>
      </c>
      <c r="C1013" t="s">
        <v>2051</v>
      </c>
      <c r="D1013" s="1" t="s">
        <v>38</v>
      </c>
      <c r="E1013" s="3">
        <v>9034.69</v>
      </c>
      <c r="F1013" s="3">
        <f t="shared" si="30"/>
        <v>2283.0661630000004</v>
      </c>
      <c r="G1013" s="3">
        <f t="shared" si="31"/>
        <v>11317.756163000002</v>
      </c>
    </row>
    <row r="1014" spans="1:7" x14ac:dyDescent="0.3">
      <c r="A1014" t="s">
        <v>13039</v>
      </c>
      <c r="B1014" t="s">
        <v>2052</v>
      </c>
      <c r="C1014" t="s">
        <v>2053</v>
      </c>
      <c r="D1014" s="1" t="s">
        <v>38</v>
      </c>
      <c r="E1014" s="3">
        <v>4401.34</v>
      </c>
      <c r="F1014" s="3">
        <f t="shared" si="30"/>
        <v>1112.2186180000001</v>
      </c>
      <c r="G1014" s="3">
        <f t="shared" si="31"/>
        <v>5513.558618</v>
      </c>
    </row>
    <row r="1015" spans="1:7" x14ac:dyDescent="0.3">
      <c r="A1015" t="s">
        <v>13039</v>
      </c>
      <c r="B1015" t="s">
        <v>2054</v>
      </c>
      <c r="C1015" t="s">
        <v>2055</v>
      </c>
      <c r="D1015" s="1" t="s">
        <v>38</v>
      </c>
      <c r="E1015" s="3">
        <v>5941.37</v>
      </c>
      <c r="F1015" s="3">
        <f t="shared" si="30"/>
        <v>1501.3841990000001</v>
      </c>
      <c r="G1015" s="3">
        <f t="shared" si="31"/>
        <v>7442.754199</v>
      </c>
    </row>
    <row r="1016" spans="1:7" x14ac:dyDescent="0.3">
      <c r="A1016" t="s">
        <v>13039</v>
      </c>
      <c r="B1016" t="s">
        <v>2056</v>
      </c>
      <c r="C1016" t="s">
        <v>2057</v>
      </c>
      <c r="D1016" s="1" t="s">
        <v>38</v>
      </c>
      <c r="E1016" s="3">
        <v>4514.25</v>
      </c>
      <c r="F1016" s="3">
        <f t="shared" si="30"/>
        <v>1140.7509750000002</v>
      </c>
      <c r="G1016" s="3">
        <f t="shared" si="31"/>
        <v>5655.0009749999999</v>
      </c>
    </row>
    <row r="1017" spans="1:7" x14ac:dyDescent="0.3">
      <c r="A1017" t="s">
        <v>13039</v>
      </c>
      <c r="B1017" t="s">
        <v>2058</v>
      </c>
      <c r="C1017" t="s">
        <v>2059</v>
      </c>
      <c r="D1017" s="1" t="s">
        <v>38</v>
      </c>
      <c r="E1017" s="3">
        <v>6105.67</v>
      </c>
      <c r="F1017" s="3">
        <f t="shared" si="30"/>
        <v>1542.9028090000002</v>
      </c>
      <c r="G1017" s="3">
        <f t="shared" si="31"/>
        <v>7648.5728090000002</v>
      </c>
    </row>
    <row r="1018" spans="1:7" x14ac:dyDescent="0.3">
      <c r="A1018" t="s">
        <v>13039</v>
      </c>
      <c r="B1018" t="s">
        <v>2060</v>
      </c>
      <c r="C1018" t="s">
        <v>2061</v>
      </c>
      <c r="D1018" s="1" t="s">
        <v>38</v>
      </c>
      <c r="E1018" s="3">
        <v>4663.88</v>
      </c>
      <c r="F1018" s="3">
        <f t="shared" si="30"/>
        <v>1178.5624760000003</v>
      </c>
      <c r="G1018" s="3">
        <f t="shared" si="31"/>
        <v>5842.4424760000002</v>
      </c>
    </row>
    <row r="1019" spans="1:7" x14ac:dyDescent="0.3">
      <c r="A1019" t="s">
        <v>13039</v>
      </c>
      <c r="B1019" t="s">
        <v>2062</v>
      </c>
      <c r="C1019" t="s">
        <v>2063</v>
      </c>
      <c r="D1019" s="1" t="s">
        <v>38</v>
      </c>
      <c r="E1019" s="3">
        <v>15146.27</v>
      </c>
      <c r="F1019" s="3">
        <f t="shared" si="30"/>
        <v>3827.4624290000006</v>
      </c>
      <c r="G1019" s="3">
        <f t="shared" si="31"/>
        <v>18973.732429</v>
      </c>
    </row>
    <row r="1020" spans="1:7" x14ac:dyDescent="0.3">
      <c r="A1020" t="s">
        <v>13039</v>
      </c>
      <c r="B1020" t="s">
        <v>2064</v>
      </c>
      <c r="C1020" t="s">
        <v>2065</v>
      </c>
      <c r="D1020" s="1" t="s">
        <v>38</v>
      </c>
      <c r="E1020" s="3">
        <v>6322.42</v>
      </c>
      <c r="F1020" s="3">
        <f t="shared" si="30"/>
        <v>1597.6755340000002</v>
      </c>
      <c r="G1020" s="3">
        <f t="shared" si="31"/>
        <v>7920.095534</v>
      </c>
    </row>
    <row r="1021" spans="1:7" x14ac:dyDescent="0.3">
      <c r="A1021" t="s">
        <v>13039</v>
      </c>
      <c r="B1021" t="s">
        <v>2066</v>
      </c>
      <c r="C1021" t="s">
        <v>2067</v>
      </c>
      <c r="D1021" s="1" t="s">
        <v>38</v>
      </c>
      <c r="E1021" s="3">
        <v>11229.14</v>
      </c>
      <c r="F1021" s="3">
        <f t="shared" si="30"/>
        <v>2837.6036780000004</v>
      </c>
      <c r="G1021" s="3">
        <f t="shared" si="31"/>
        <v>14066.743677999999</v>
      </c>
    </row>
    <row r="1022" spans="1:7" x14ac:dyDescent="0.3">
      <c r="A1022" t="s">
        <v>13039</v>
      </c>
      <c r="B1022" t="s">
        <v>2068</v>
      </c>
      <c r="C1022" t="s">
        <v>2069</v>
      </c>
      <c r="D1022" s="1" t="s">
        <v>38</v>
      </c>
      <c r="E1022" s="3">
        <v>4864.54</v>
      </c>
      <c r="F1022" s="3">
        <f t="shared" si="30"/>
        <v>1229.2692580000003</v>
      </c>
      <c r="G1022" s="3">
        <f t="shared" si="31"/>
        <v>6093.8092580000002</v>
      </c>
    </row>
    <row r="1023" spans="1:7" x14ac:dyDescent="0.3">
      <c r="A1023" t="s">
        <v>13039</v>
      </c>
      <c r="B1023" t="s">
        <v>2070</v>
      </c>
      <c r="C1023" t="s">
        <v>2071</v>
      </c>
      <c r="D1023" s="1" t="s">
        <v>38</v>
      </c>
      <c r="E1023" s="3">
        <v>5531.25</v>
      </c>
      <c r="F1023" s="3">
        <f t="shared" si="30"/>
        <v>1397.7468750000003</v>
      </c>
      <c r="G1023" s="3">
        <f t="shared" si="31"/>
        <v>6928.9968750000007</v>
      </c>
    </row>
    <row r="1024" spans="1:7" x14ac:dyDescent="0.3">
      <c r="A1024" t="s">
        <v>13039</v>
      </c>
      <c r="B1024" t="s">
        <v>2072</v>
      </c>
      <c r="C1024" t="s">
        <v>2073</v>
      </c>
      <c r="D1024" s="1" t="s">
        <v>38</v>
      </c>
      <c r="E1024" s="3">
        <v>4152.6899999999996</v>
      </c>
      <c r="F1024" s="3">
        <f t="shared" si="30"/>
        <v>1049.384763</v>
      </c>
      <c r="G1024" s="3">
        <f t="shared" si="31"/>
        <v>5202.0747629999996</v>
      </c>
    </row>
    <row r="1025" spans="1:7" x14ac:dyDescent="0.3">
      <c r="A1025" t="s">
        <v>13039</v>
      </c>
      <c r="B1025" t="s">
        <v>2074</v>
      </c>
      <c r="C1025" t="s">
        <v>2075</v>
      </c>
      <c r="D1025" s="1" t="s">
        <v>38</v>
      </c>
      <c r="E1025" s="3">
        <v>373.54</v>
      </c>
      <c r="F1025" s="3">
        <f t="shared" si="30"/>
        <v>94.393558000000013</v>
      </c>
      <c r="G1025" s="3">
        <f t="shared" si="31"/>
        <v>467.93355800000006</v>
      </c>
    </row>
    <row r="1026" spans="1:7" x14ac:dyDescent="0.3">
      <c r="A1026" t="s">
        <v>13039</v>
      </c>
      <c r="B1026" t="s">
        <v>2076</v>
      </c>
      <c r="C1026" t="s">
        <v>2077</v>
      </c>
      <c r="D1026" s="1" t="s">
        <v>38</v>
      </c>
      <c r="E1026" s="3">
        <v>299.64</v>
      </c>
      <c r="F1026" s="3">
        <f t="shared" si="30"/>
        <v>75.719028000000009</v>
      </c>
      <c r="G1026" s="3">
        <f t="shared" si="31"/>
        <v>375.35902799999997</v>
      </c>
    </row>
    <row r="1027" spans="1:7" x14ac:dyDescent="0.3">
      <c r="A1027" t="s">
        <v>13039</v>
      </c>
      <c r="B1027" t="s">
        <v>2078</v>
      </c>
      <c r="C1027" t="s">
        <v>2079</v>
      </c>
      <c r="D1027" s="1" t="s">
        <v>38</v>
      </c>
      <c r="E1027" s="3">
        <v>375.06</v>
      </c>
      <c r="F1027" s="3">
        <f t="shared" si="30"/>
        <v>94.777662000000021</v>
      </c>
      <c r="G1027" s="3">
        <f t="shared" si="31"/>
        <v>469.83766200000002</v>
      </c>
    </row>
    <row r="1028" spans="1:7" x14ac:dyDescent="0.3">
      <c r="A1028" t="s">
        <v>13039</v>
      </c>
      <c r="B1028" t="s">
        <v>2080</v>
      </c>
      <c r="C1028" t="s">
        <v>2081</v>
      </c>
      <c r="D1028" s="1" t="s">
        <v>38</v>
      </c>
      <c r="E1028" s="3">
        <v>301.17</v>
      </c>
      <c r="F1028" s="3">
        <f t="shared" si="30"/>
        <v>76.105659000000017</v>
      </c>
      <c r="G1028" s="3">
        <f t="shared" si="31"/>
        <v>377.27565900000002</v>
      </c>
    </row>
    <row r="1029" spans="1:7" x14ac:dyDescent="0.3">
      <c r="A1029" t="s">
        <v>13039</v>
      </c>
      <c r="B1029" t="s">
        <v>2082</v>
      </c>
      <c r="C1029" t="s">
        <v>2083</v>
      </c>
      <c r="D1029" s="1" t="s">
        <v>38</v>
      </c>
      <c r="E1029" s="3">
        <v>376.58</v>
      </c>
      <c r="F1029" s="3">
        <f t="shared" si="30"/>
        <v>95.161766000000014</v>
      </c>
      <c r="G1029" s="3">
        <f t="shared" si="31"/>
        <v>471.74176599999998</v>
      </c>
    </row>
    <row r="1030" spans="1:7" x14ac:dyDescent="0.3">
      <c r="A1030" t="s">
        <v>13039</v>
      </c>
      <c r="B1030" t="s">
        <v>2084</v>
      </c>
      <c r="C1030" t="s">
        <v>2085</v>
      </c>
      <c r="D1030" s="1" t="s">
        <v>38</v>
      </c>
      <c r="E1030" s="3">
        <v>302.69</v>
      </c>
      <c r="F1030" s="3">
        <f t="shared" si="30"/>
        <v>76.489763000000011</v>
      </c>
      <c r="G1030" s="3">
        <f t="shared" si="31"/>
        <v>379.17976299999998</v>
      </c>
    </row>
    <row r="1031" spans="1:7" x14ac:dyDescent="0.3">
      <c r="A1031" t="s">
        <v>13039</v>
      </c>
      <c r="B1031" t="s">
        <v>2086</v>
      </c>
      <c r="C1031" t="s">
        <v>2087</v>
      </c>
      <c r="D1031" s="1" t="s">
        <v>38</v>
      </c>
      <c r="E1031" s="3">
        <v>379.34</v>
      </c>
      <c r="F1031" s="3">
        <f t="shared" ref="F1031:F1094" si="32">+E1031*$F$4</f>
        <v>95.859218000000013</v>
      </c>
      <c r="G1031" s="3">
        <f t="shared" ref="G1031:G1094" si="33">+E1031+F1031</f>
        <v>475.19921799999997</v>
      </c>
    </row>
    <row r="1032" spans="1:7" x14ac:dyDescent="0.3">
      <c r="A1032" t="s">
        <v>13039</v>
      </c>
      <c r="B1032" t="s">
        <v>2088</v>
      </c>
      <c r="C1032" t="s">
        <v>2089</v>
      </c>
      <c r="D1032" s="1" t="s">
        <v>38</v>
      </c>
      <c r="E1032" s="3">
        <v>305.26</v>
      </c>
      <c r="F1032" s="3">
        <f t="shared" si="32"/>
        <v>77.139202000000012</v>
      </c>
      <c r="G1032" s="3">
        <f t="shared" si="33"/>
        <v>382.399202</v>
      </c>
    </row>
    <row r="1033" spans="1:7" x14ac:dyDescent="0.3">
      <c r="A1033" t="s">
        <v>13039</v>
      </c>
      <c r="B1033" t="s">
        <v>2090</v>
      </c>
      <c r="C1033" t="s">
        <v>2091</v>
      </c>
      <c r="D1033" s="1" t="s">
        <v>38</v>
      </c>
      <c r="E1033" s="3">
        <v>383.14</v>
      </c>
      <c r="F1033" s="3">
        <f t="shared" si="32"/>
        <v>96.819478000000004</v>
      </c>
      <c r="G1033" s="3">
        <f t="shared" si="33"/>
        <v>479.95947799999999</v>
      </c>
    </row>
    <row r="1034" spans="1:7" x14ac:dyDescent="0.3">
      <c r="A1034" t="s">
        <v>13039</v>
      </c>
      <c r="B1034" t="s">
        <v>2092</v>
      </c>
      <c r="C1034" t="s">
        <v>2093</v>
      </c>
      <c r="D1034" s="1" t="s">
        <v>38</v>
      </c>
      <c r="E1034" s="3">
        <v>309.07</v>
      </c>
      <c r="F1034" s="3">
        <f t="shared" si="32"/>
        <v>78.101989000000003</v>
      </c>
      <c r="G1034" s="3">
        <f t="shared" si="33"/>
        <v>387.171989</v>
      </c>
    </row>
    <row r="1035" spans="1:7" x14ac:dyDescent="0.3">
      <c r="A1035" t="s">
        <v>13039</v>
      </c>
      <c r="B1035" t="s">
        <v>2094</v>
      </c>
      <c r="C1035" t="s">
        <v>2095</v>
      </c>
      <c r="D1035" s="1" t="s">
        <v>38</v>
      </c>
      <c r="E1035" s="3">
        <v>388.17</v>
      </c>
      <c r="F1035" s="3">
        <f t="shared" si="32"/>
        <v>98.090559000000013</v>
      </c>
      <c r="G1035" s="3">
        <f t="shared" si="33"/>
        <v>486.26055900000006</v>
      </c>
    </row>
    <row r="1036" spans="1:7" x14ac:dyDescent="0.3">
      <c r="A1036" t="s">
        <v>13039</v>
      </c>
      <c r="B1036" t="s">
        <v>2096</v>
      </c>
      <c r="C1036" t="s">
        <v>2097</v>
      </c>
      <c r="D1036" s="1" t="s">
        <v>38</v>
      </c>
      <c r="E1036" s="3">
        <v>313.92</v>
      </c>
      <c r="F1036" s="3">
        <f t="shared" si="32"/>
        <v>79.327584000000016</v>
      </c>
      <c r="G1036" s="3">
        <f t="shared" si="33"/>
        <v>393.24758400000002</v>
      </c>
    </row>
    <row r="1037" spans="1:7" x14ac:dyDescent="0.3">
      <c r="A1037" t="s">
        <v>13039</v>
      </c>
      <c r="B1037" t="s">
        <v>2098</v>
      </c>
      <c r="C1037" t="s">
        <v>2099</v>
      </c>
      <c r="D1037" s="1" t="s">
        <v>38</v>
      </c>
      <c r="E1037" s="3">
        <v>395.02</v>
      </c>
      <c r="F1037" s="3">
        <f t="shared" si="32"/>
        <v>99.821554000000006</v>
      </c>
      <c r="G1037" s="3">
        <f t="shared" si="33"/>
        <v>494.84155399999997</v>
      </c>
    </row>
    <row r="1038" spans="1:7" x14ac:dyDescent="0.3">
      <c r="A1038" t="s">
        <v>13039</v>
      </c>
      <c r="B1038" t="s">
        <v>2100</v>
      </c>
      <c r="C1038" t="s">
        <v>2101</v>
      </c>
      <c r="D1038" s="1" t="s">
        <v>38</v>
      </c>
      <c r="E1038" s="3">
        <v>320.77</v>
      </c>
      <c r="F1038" s="3">
        <f t="shared" si="32"/>
        <v>81.058579000000009</v>
      </c>
      <c r="G1038" s="3">
        <f t="shared" si="33"/>
        <v>401.82857899999999</v>
      </c>
    </row>
    <row r="1039" spans="1:7" x14ac:dyDescent="0.3">
      <c r="A1039" t="s">
        <v>13039</v>
      </c>
      <c r="B1039" t="s">
        <v>2102</v>
      </c>
      <c r="C1039" t="s">
        <v>2103</v>
      </c>
      <c r="D1039" s="1" t="s">
        <v>38</v>
      </c>
      <c r="E1039" s="3">
        <v>403.85</v>
      </c>
      <c r="F1039" s="3">
        <f t="shared" si="32"/>
        <v>102.05289500000002</v>
      </c>
      <c r="G1039" s="3">
        <f t="shared" si="33"/>
        <v>505.90289500000006</v>
      </c>
    </row>
    <row r="1040" spans="1:7" x14ac:dyDescent="0.3">
      <c r="A1040" t="s">
        <v>13039</v>
      </c>
      <c r="B1040" t="s">
        <v>2104</v>
      </c>
      <c r="C1040" t="s">
        <v>2105</v>
      </c>
      <c r="D1040" s="1" t="s">
        <v>38</v>
      </c>
      <c r="E1040" s="3">
        <v>329.43</v>
      </c>
      <c r="F1040" s="3">
        <f t="shared" si="32"/>
        <v>83.246961000000013</v>
      </c>
      <c r="G1040" s="3">
        <f t="shared" si="33"/>
        <v>412.67696100000001</v>
      </c>
    </row>
    <row r="1041" spans="1:7" x14ac:dyDescent="0.3">
      <c r="A1041" t="s">
        <v>13039</v>
      </c>
      <c r="B1041" t="s">
        <v>2106</v>
      </c>
      <c r="C1041" t="s">
        <v>2107</v>
      </c>
      <c r="D1041" s="1" t="s">
        <v>38</v>
      </c>
      <c r="E1041" s="3">
        <v>417.25</v>
      </c>
      <c r="F1041" s="3">
        <f t="shared" si="32"/>
        <v>105.43907500000002</v>
      </c>
      <c r="G1041" s="3">
        <f t="shared" si="33"/>
        <v>522.689075</v>
      </c>
    </row>
    <row r="1042" spans="1:7" x14ac:dyDescent="0.3">
      <c r="A1042" t="s">
        <v>13039</v>
      </c>
      <c r="B1042" t="s">
        <v>2108</v>
      </c>
      <c r="C1042" t="s">
        <v>2109</v>
      </c>
      <c r="D1042" s="1" t="s">
        <v>38</v>
      </c>
      <c r="E1042" s="3">
        <v>342.65</v>
      </c>
      <c r="F1042" s="3">
        <f t="shared" si="32"/>
        <v>86.587655000000012</v>
      </c>
      <c r="G1042" s="3">
        <f t="shared" si="33"/>
        <v>429.23765500000002</v>
      </c>
    </row>
    <row r="1043" spans="1:7" x14ac:dyDescent="0.3">
      <c r="A1043" t="s">
        <v>13039</v>
      </c>
      <c r="B1043" t="s">
        <v>2110</v>
      </c>
      <c r="C1043" t="s">
        <v>2111</v>
      </c>
      <c r="D1043" s="1" t="s">
        <v>38</v>
      </c>
      <c r="E1043" s="3">
        <v>374.3</v>
      </c>
      <c r="F1043" s="3">
        <f t="shared" si="32"/>
        <v>94.585610000000017</v>
      </c>
      <c r="G1043" s="3">
        <f t="shared" si="33"/>
        <v>468.88561000000004</v>
      </c>
    </row>
    <row r="1044" spans="1:7" x14ac:dyDescent="0.3">
      <c r="A1044" t="s">
        <v>13039</v>
      </c>
      <c r="B1044" t="s">
        <v>2112</v>
      </c>
      <c r="C1044" t="s">
        <v>2113</v>
      </c>
      <c r="D1044" s="1" t="s">
        <v>38</v>
      </c>
      <c r="E1044" s="3">
        <v>300.39999999999998</v>
      </c>
      <c r="F1044" s="3">
        <f t="shared" si="32"/>
        <v>75.911079999999998</v>
      </c>
      <c r="G1044" s="3">
        <f t="shared" si="33"/>
        <v>376.31107999999995</v>
      </c>
    </row>
    <row r="1045" spans="1:7" x14ac:dyDescent="0.3">
      <c r="A1045" t="s">
        <v>13039</v>
      </c>
      <c r="B1045" t="s">
        <v>2114</v>
      </c>
      <c r="C1045" t="s">
        <v>2115</v>
      </c>
      <c r="D1045" s="1" t="s">
        <v>38</v>
      </c>
      <c r="E1045" s="3">
        <v>1110.05</v>
      </c>
      <c r="F1045" s="3">
        <f t="shared" si="32"/>
        <v>280.509635</v>
      </c>
      <c r="G1045" s="3">
        <f t="shared" si="33"/>
        <v>1390.5596350000001</v>
      </c>
    </row>
    <row r="1046" spans="1:7" x14ac:dyDescent="0.3">
      <c r="A1046" t="s">
        <v>13039</v>
      </c>
      <c r="B1046" t="s">
        <v>2116</v>
      </c>
      <c r="C1046" t="s">
        <v>2117</v>
      </c>
      <c r="D1046" s="1" t="s">
        <v>38</v>
      </c>
      <c r="E1046" s="3">
        <v>756.45</v>
      </c>
      <c r="F1046" s="3">
        <f t="shared" si="32"/>
        <v>191.15491500000005</v>
      </c>
      <c r="G1046" s="3">
        <f t="shared" si="33"/>
        <v>947.60491500000012</v>
      </c>
    </row>
    <row r="1047" spans="1:7" x14ac:dyDescent="0.3">
      <c r="A1047" t="s">
        <v>13039</v>
      </c>
      <c r="B1047" t="s">
        <v>2118</v>
      </c>
      <c r="C1047" t="s">
        <v>2119</v>
      </c>
      <c r="D1047" s="1" t="s">
        <v>38</v>
      </c>
      <c r="E1047" s="3">
        <v>908.62</v>
      </c>
      <c r="F1047" s="3">
        <f t="shared" si="32"/>
        <v>229.60827400000002</v>
      </c>
      <c r="G1047" s="3">
        <f t="shared" si="33"/>
        <v>1138.2282740000001</v>
      </c>
    </row>
    <row r="1048" spans="1:7" x14ac:dyDescent="0.3">
      <c r="A1048" t="s">
        <v>13039</v>
      </c>
      <c r="B1048" t="s">
        <v>2120</v>
      </c>
      <c r="C1048" t="s">
        <v>2121</v>
      </c>
      <c r="D1048" s="1" t="s">
        <v>38</v>
      </c>
      <c r="E1048" s="3">
        <v>593.63</v>
      </c>
      <c r="F1048" s="3">
        <f t="shared" si="32"/>
        <v>150.01030100000003</v>
      </c>
      <c r="G1048" s="3">
        <f t="shared" si="33"/>
        <v>743.64030100000002</v>
      </c>
    </row>
    <row r="1049" spans="1:7" x14ac:dyDescent="0.3">
      <c r="A1049" t="s">
        <v>13039</v>
      </c>
      <c r="B1049" t="s">
        <v>2122</v>
      </c>
      <c r="C1049" t="s">
        <v>2123</v>
      </c>
      <c r="D1049" s="1" t="s">
        <v>38</v>
      </c>
      <c r="E1049" s="3">
        <v>759.2</v>
      </c>
      <c r="F1049" s="3">
        <f t="shared" si="32"/>
        <v>191.84984000000003</v>
      </c>
      <c r="G1049" s="3">
        <f t="shared" si="33"/>
        <v>951.04984000000013</v>
      </c>
    </row>
    <row r="1050" spans="1:7" x14ac:dyDescent="0.3">
      <c r="A1050" t="s">
        <v>13039</v>
      </c>
      <c r="B1050" t="s">
        <v>2124</v>
      </c>
      <c r="C1050" t="s">
        <v>2125</v>
      </c>
      <c r="D1050" s="1" t="s">
        <v>38</v>
      </c>
      <c r="E1050" s="3">
        <v>596.21</v>
      </c>
      <c r="F1050" s="3">
        <f t="shared" si="32"/>
        <v>150.66226700000004</v>
      </c>
      <c r="G1050" s="3">
        <f t="shared" si="33"/>
        <v>746.87226700000008</v>
      </c>
    </row>
    <row r="1051" spans="1:7" x14ac:dyDescent="0.3">
      <c r="A1051" t="s">
        <v>13039</v>
      </c>
      <c r="B1051" t="s">
        <v>2126</v>
      </c>
      <c r="C1051" t="s">
        <v>2127</v>
      </c>
      <c r="D1051" s="1" t="s">
        <v>38</v>
      </c>
      <c r="E1051" s="3">
        <v>940.7</v>
      </c>
      <c r="F1051" s="3">
        <f t="shared" si="32"/>
        <v>237.71489000000005</v>
      </c>
      <c r="G1051" s="3">
        <f t="shared" si="33"/>
        <v>1178.41489</v>
      </c>
    </row>
    <row r="1052" spans="1:7" x14ac:dyDescent="0.3">
      <c r="A1052" t="s">
        <v>13039</v>
      </c>
      <c r="B1052" t="s">
        <v>2128</v>
      </c>
      <c r="C1052" t="s">
        <v>2129</v>
      </c>
      <c r="D1052" s="1" t="s">
        <v>38</v>
      </c>
      <c r="E1052" s="3">
        <v>762.24</v>
      </c>
      <c r="F1052" s="3">
        <f t="shared" si="32"/>
        <v>192.61804800000002</v>
      </c>
      <c r="G1052" s="3">
        <f t="shared" si="33"/>
        <v>954.85804800000005</v>
      </c>
    </row>
    <row r="1053" spans="1:7" x14ac:dyDescent="0.3">
      <c r="A1053" t="s">
        <v>13039</v>
      </c>
      <c r="B1053" t="s">
        <v>2130</v>
      </c>
      <c r="C1053" t="s">
        <v>2131</v>
      </c>
      <c r="D1053" s="1" t="s">
        <v>38</v>
      </c>
      <c r="E1053" s="3">
        <v>727.92</v>
      </c>
      <c r="F1053" s="3">
        <f t="shared" si="32"/>
        <v>183.94538400000002</v>
      </c>
      <c r="G1053" s="3">
        <f t="shared" si="33"/>
        <v>911.86538399999995</v>
      </c>
    </row>
    <row r="1054" spans="1:7" x14ac:dyDescent="0.3">
      <c r="A1054" t="s">
        <v>13039</v>
      </c>
      <c r="B1054" t="s">
        <v>2132</v>
      </c>
      <c r="C1054" t="s">
        <v>2133</v>
      </c>
      <c r="D1054" s="1" t="s">
        <v>38</v>
      </c>
      <c r="E1054" s="3">
        <v>599.25</v>
      </c>
      <c r="F1054" s="3">
        <f t="shared" si="32"/>
        <v>151.43047500000003</v>
      </c>
      <c r="G1054" s="3">
        <f t="shared" si="33"/>
        <v>750.680475</v>
      </c>
    </row>
    <row r="1055" spans="1:7" x14ac:dyDescent="0.3">
      <c r="A1055" t="s">
        <v>13039</v>
      </c>
      <c r="B1055" t="s">
        <v>2134</v>
      </c>
      <c r="C1055" t="s">
        <v>2135</v>
      </c>
      <c r="D1055" s="1" t="s">
        <v>38</v>
      </c>
      <c r="E1055" s="3">
        <v>767.28</v>
      </c>
      <c r="F1055" s="3">
        <f t="shared" si="32"/>
        <v>193.89165600000001</v>
      </c>
      <c r="G1055" s="3">
        <f t="shared" si="33"/>
        <v>961.17165599999998</v>
      </c>
    </row>
    <row r="1056" spans="1:7" x14ac:dyDescent="0.3">
      <c r="A1056" t="s">
        <v>13039</v>
      </c>
      <c r="B1056" t="s">
        <v>2136</v>
      </c>
      <c r="C1056" t="s">
        <v>2137</v>
      </c>
      <c r="D1056" s="1" t="s">
        <v>38</v>
      </c>
      <c r="E1056" s="3">
        <v>604.11</v>
      </c>
      <c r="F1056" s="3">
        <f t="shared" si="32"/>
        <v>152.65859700000001</v>
      </c>
      <c r="G1056" s="3">
        <f t="shared" si="33"/>
        <v>756.768597</v>
      </c>
    </row>
    <row r="1057" spans="1:7" x14ac:dyDescent="0.3">
      <c r="A1057" t="s">
        <v>13039</v>
      </c>
      <c r="B1057" t="s">
        <v>2138</v>
      </c>
      <c r="C1057" t="s">
        <v>2139</v>
      </c>
      <c r="D1057" s="1" t="s">
        <v>38</v>
      </c>
      <c r="E1057" s="3">
        <v>773.83</v>
      </c>
      <c r="F1057" s="3">
        <f t="shared" si="32"/>
        <v>195.54684100000003</v>
      </c>
      <c r="G1057" s="3">
        <f t="shared" si="33"/>
        <v>969.37684100000001</v>
      </c>
    </row>
    <row r="1058" spans="1:7" x14ac:dyDescent="0.3">
      <c r="A1058" t="s">
        <v>13039</v>
      </c>
      <c r="B1058" t="s">
        <v>2140</v>
      </c>
      <c r="C1058" t="s">
        <v>2141</v>
      </c>
      <c r="D1058" s="1" t="s">
        <v>38</v>
      </c>
      <c r="E1058" s="3">
        <v>610.49</v>
      </c>
      <c r="F1058" s="3">
        <f t="shared" si="32"/>
        <v>154.27082300000004</v>
      </c>
      <c r="G1058" s="3">
        <f t="shared" si="33"/>
        <v>764.76082300000007</v>
      </c>
    </row>
    <row r="1059" spans="1:7" x14ac:dyDescent="0.3">
      <c r="A1059" t="s">
        <v>13039</v>
      </c>
      <c r="B1059" t="s">
        <v>2142</v>
      </c>
      <c r="C1059" t="s">
        <v>2143</v>
      </c>
      <c r="D1059" s="1" t="s">
        <v>38</v>
      </c>
      <c r="E1059" s="3">
        <v>1312.87</v>
      </c>
      <c r="F1059" s="3">
        <f t="shared" si="32"/>
        <v>331.762249</v>
      </c>
      <c r="G1059" s="3">
        <f t="shared" si="33"/>
        <v>1644.6322489999998</v>
      </c>
    </row>
    <row r="1060" spans="1:7" x14ac:dyDescent="0.3">
      <c r="A1060" t="s">
        <v>13039</v>
      </c>
      <c r="B1060" t="s">
        <v>2144</v>
      </c>
      <c r="C1060" t="s">
        <v>2145</v>
      </c>
      <c r="D1060" s="1" t="s">
        <v>38</v>
      </c>
      <c r="E1060" s="3">
        <v>783.14</v>
      </c>
      <c r="F1060" s="3">
        <f t="shared" si="32"/>
        <v>197.89947800000002</v>
      </c>
      <c r="G1060" s="3">
        <f t="shared" si="33"/>
        <v>981.03947800000003</v>
      </c>
    </row>
    <row r="1061" spans="1:7" x14ac:dyDescent="0.3">
      <c r="A1061" t="s">
        <v>13039</v>
      </c>
      <c r="B1061" t="s">
        <v>2146</v>
      </c>
      <c r="C1061" t="s">
        <v>2147</v>
      </c>
      <c r="D1061" s="1" t="s">
        <v>38</v>
      </c>
      <c r="E1061" s="3">
        <v>1071.78</v>
      </c>
      <c r="F1061" s="3">
        <f t="shared" si="32"/>
        <v>270.83880600000003</v>
      </c>
      <c r="G1061" s="3">
        <f t="shared" si="33"/>
        <v>1342.6188059999999</v>
      </c>
    </row>
    <row r="1062" spans="1:7" x14ac:dyDescent="0.3">
      <c r="A1062" t="s">
        <v>13039</v>
      </c>
      <c r="B1062" t="s">
        <v>2148</v>
      </c>
      <c r="C1062" t="s">
        <v>2149</v>
      </c>
      <c r="D1062" s="1" t="s">
        <v>38</v>
      </c>
      <c r="E1062" s="3">
        <v>619.45000000000005</v>
      </c>
      <c r="F1062" s="3">
        <f t="shared" si="32"/>
        <v>156.53501500000004</v>
      </c>
      <c r="G1062" s="3">
        <f t="shared" si="33"/>
        <v>775.98501500000009</v>
      </c>
    </row>
    <row r="1063" spans="1:7" x14ac:dyDescent="0.3">
      <c r="A1063" t="s">
        <v>13039</v>
      </c>
      <c r="B1063" t="s">
        <v>2150</v>
      </c>
      <c r="C1063" t="s">
        <v>2151</v>
      </c>
      <c r="D1063" s="1" t="s">
        <v>38</v>
      </c>
      <c r="E1063" s="3">
        <v>795.78</v>
      </c>
      <c r="F1063" s="3">
        <f t="shared" si="32"/>
        <v>201.09360600000002</v>
      </c>
      <c r="G1063" s="3">
        <f t="shared" si="33"/>
        <v>996.873606</v>
      </c>
    </row>
    <row r="1064" spans="1:7" x14ac:dyDescent="0.3">
      <c r="A1064" t="s">
        <v>13039</v>
      </c>
      <c r="B1064" t="s">
        <v>2152</v>
      </c>
      <c r="C1064" t="s">
        <v>2153</v>
      </c>
      <c r="D1064" s="1" t="s">
        <v>38</v>
      </c>
      <c r="E1064" s="3">
        <v>631.91</v>
      </c>
      <c r="F1064" s="3">
        <f t="shared" si="32"/>
        <v>159.68365700000001</v>
      </c>
      <c r="G1064" s="3">
        <f t="shared" si="33"/>
        <v>791.59365700000001</v>
      </c>
    </row>
    <row r="1065" spans="1:7" x14ac:dyDescent="0.3">
      <c r="A1065" t="s">
        <v>13039</v>
      </c>
      <c r="B1065" t="s">
        <v>2154</v>
      </c>
      <c r="C1065" t="s">
        <v>2155</v>
      </c>
      <c r="D1065" s="1" t="s">
        <v>38</v>
      </c>
      <c r="E1065" s="3">
        <v>811.93</v>
      </c>
      <c r="F1065" s="3">
        <f t="shared" si="32"/>
        <v>205.17471100000003</v>
      </c>
      <c r="G1065" s="3">
        <f t="shared" si="33"/>
        <v>1017.104711</v>
      </c>
    </row>
    <row r="1066" spans="1:7" x14ac:dyDescent="0.3">
      <c r="A1066" t="s">
        <v>13039</v>
      </c>
      <c r="B1066" t="s">
        <v>2156</v>
      </c>
      <c r="C1066" t="s">
        <v>2157</v>
      </c>
      <c r="D1066" s="1" t="s">
        <v>38</v>
      </c>
      <c r="E1066" s="3">
        <v>647.71</v>
      </c>
      <c r="F1066" s="3">
        <f t="shared" si="32"/>
        <v>163.67631700000004</v>
      </c>
      <c r="G1066" s="3">
        <f t="shared" si="33"/>
        <v>811.38631700000008</v>
      </c>
    </row>
    <row r="1067" spans="1:7" x14ac:dyDescent="0.3">
      <c r="A1067" t="s">
        <v>13039</v>
      </c>
      <c r="B1067" t="s">
        <v>2158</v>
      </c>
      <c r="C1067" t="s">
        <v>2159</v>
      </c>
      <c r="D1067" s="1" t="s">
        <v>38</v>
      </c>
      <c r="E1067" s="3">
        <v>1623.89</v>
      </c>
      <c r="F1067" s="3">
        <f t="shared" si="32"/>
        <v>410.35700300000008</v>
      </c>
      <c r="G1067" s="3">
        <f t="shared" si="33"/>
        <v>2034.2470030000002</v>
      </c>
    </row>
    <row r="1068" spans="1:7" x14ac:dyDescent="0.3">
      <c r="A1068" t="s">
        <v>13039</v>
      </c>
      <c r="B1068" t="s">
        <v>2160</v>
      </c>
      <c r="C1068" t="s">
        <v>2161</v>
      </c>
      <c r="D1068" s="1" t="s">
        <v>38</v>
      </c>
      <c r="E1068" s="3">
        <v>834.92</v>
      </c>
      <c r="F1068" s="3">
        <f t="shared" si="32"/>
        <v>210.98428400000003</v>
      </c>
      <c r="G1068" s="3">
        <f t="shared" si="33"/>
        <v>1045.904284</v>
      </c>
    </row>
    <row r="1069" spans="1:7" x14ac:dyDescent="0.3">
      <c r="A1069" t="s">
        <v>13039</v>
      </c>
      <c r="B1069" t="s">
        <v>2162</v>
      </c>
      <c r="C1069" t="s">
        <v>2163</v>
      </c>
      <c r="D1069" s="1" t="s">
        <v>38</v>
      </c>
      <c r="E1069" s="3">
        <v>1323.06</v>
      </c>
      <c r="F1069" s="3">
        <f t="shared" si="32"/>
        <v>334.33726200000001</v>
      </c>
      <c r="G1069" s="3">
        <f t="shared" si="33"/>
        <v>1657.397262</v>
      </c>
    </row>
    <row r="1070" spans="1:7" x14ac:dyDescent="0.3">
      <c r="A1070" t="s">
        <v>13039</v>
      </c>
      <c r="B1070" t="s">
        <v>2164</v>
      </c>
      <c r="C1070" t="s">
        <v>2165</v>
      </c>
      <c r="D1070" s="1" t="s">
        <v>38</v>
      </c>
      <c r="E1070" s="3">
        <v>670.36</v>
      </c>
      <c r="F1070" s="3">
        <f t="shared" si="32"/>
        <v>169.39997200000002</v>
      </c>
      <c r="G1070" s="3">
        <f t="shared" si="33"/>
        <v>839.75997200000006</v>
      </c>
    </row>
    <row r="1071" spans="1:7" x14ac:dyDescent="0.3">
      <c r="A1071" t="s">
        <v>13039</v>
      </c>
      <c r="B1071" t="s">
        <v>2166</v>
      </c>
      <c r="C1071" t="s">
        <v>2167</v>
      </c>
      <c r="D1071" s="1" t="s">
        <v>38</v>
      </c>
      <c r="E1071" s="3">
        <v>757.21</v>
      </c>
      <c r="F1071" s="3">
        <f t="shared" si="32"/>
        <v>191.34696700000003</v>
      </c>
      <c r="G1071" s="3">
        <f t="shared" si="33"/>
        <v>948.5569670000001</v>
      </c>
    </row>
    <row r="1072" spans="1:7" x14ac:dyDescent="0.3">
      <c r="A1072" t="s">
        <v>13039</v>
      </c>
      <c r="B1072" t="s">
        <v>2168</v>
      </c>
      <c r="C1072" t="s">
        <v>2169</v>
      </c>
      <c r="D1072" s="1" t="s">
        <v>38</v>
      </c>
      <c r="E1072" s="3">
        <v>594.39</v>
      </c>
      <c r="F1072" s="3">
        <f t="shared" si="32"/>
        <v>150.20235300000002</v>
      </c>
      <c r="G1072" s="3">
        <f t="shared" si="33"/>
        <v>744.592353</v>
      </c>
    </row>
    <row r="1073" spans="1:7" x14ac:dyDescent="0.3">
      <c r="A1073" t="s">
        <v>13039</v>
      </c>
      <c r="B1073" t="s">
        <v>2170</v>
      </c>
      <c r="C1073" t="s">
        <v>2171</v>
      </c>
      <c r="D1073" s="1" t="s">
        <v>38</v>
      </c>
      <c r="E1073" s="3">
        <v>1858.21</v>
      </c>
      <c r="F1073" s="3">
        <f t="shared" si="32"/>
        <v>469.56966700000009</v>
      </c>
      <c r="G1073" s="3">
        <f t="shared" si="33"/>
        <v>2327.7796670000002</v>
      </c>
    </row>
    <row r="1074" spans="1:7" x14ac:dyDescent="0.3">
      <c r="A1074" t="s">
        <v>13039</v>
      </c>
      <c r="B1074" t="s">
        <v>2172</v>
      </c>
      <c r="C1074" t="s">
        <v>2173</v>
      </c>
      <c r="D1074" s="1" t="s">
        <v>38</v>
      </c>
      <c r="E1074" s="3">
        <v>1282.58</v>
      </c>
      <c r="F1074" s="3">
        <f t="shared" si="32"/>
        <v>324.10796600000003</v>
      </c>
      <c r="G1074" s="3">
        <f t="shared" si="33"/>
        <v>1606.687966</v>
      </c>
    </row>
    <row r="1075" spans="1:7" x14ac:dyDescent="0.3">
      <c r="A1075" t="s">
        <v>13039</v>
      </c>
      <c r="B1075" t="s">
        <v>2174</v>
      </c>
      <c r="C1075" t="s">
        <v>2175</v>
      </c>
      <c r="D1075" s="1" t="s">
        <v>38</v>
      </c>
      <c r="E1075" s="3">
        <v>1484.35</v>
      </c>
      <c r="F1075" s="3">
        <f t="shared" si="32"/>
        <v>375.09524500000003</v>
      </c>
      <c r="G1075" s="3">
        <f t="shared" si="33"/>
        <v>1859.4452449999999</v>
      </c>
    </row>
    <row r="1076" spans="1:7" x14ac:dyDescent="0.3">
      <c r="A1076" t="s">
        <v>13039</v>
      </c>
      <c r="B1076" t="s">
        <v>2176</v>
      </c>
      <c r="C1076" t="s">
        <v>2177</v>
      </c>
      <c r="D1076" s="1" t="s">
        <v>38</v>
      </c>
      <c r="E1076" s="3">
        <v>999.74</v>
      </c>
      <c r="F1076" s="3">
        <f t="shared" si="32"/>
        <v>252.63429800000003</v>
      </c>
      <c r="G1076" s="3">
        <f t="shared" si="33"/>
        <v>1252.374298</v>
      </c>
    </row>
    <row r="1077" spans="1:7" x14ac:dyDescent="0.3">
      <c r="A1077" t="s">
        <v>13039</v>
      </c>
      <c r="B1077" t="s">
        <v>2178</v>
      </c>
      <c r="C1077" t="s">
        <v>2179</v>
      </c>
      <c r="D1077" s="1" t="s">
        <v>38</v>
      </c>
      <c r="E1077" s="3">
        <v>1286.8599999999999</v>
      </c>
      <c r="F1077" s="3">
        <f t="shared" si="32"/>
        <v>325.18952200000001</v>
      </c>
      <c r="G1077" s="3">
        <f t="shared" si="33"/>
        <v>1612.0495219999998</v>
      </c>
    </row>
    <row r="1078" spans="1:7" x14ac:dyDescent="0.3">
      <c r="A1078" t="s">
        <v>13039</v>
      </c>
      <c r="B1078" t="s">
        <v>2180</v>
      </c>
      <c r="C1078" t="s">
        <v>2181</v>
      </c>
      <c r="D1078" s="1" t="s">
        <v>38</v>
      </c>
      <c r="E1078" s="3">
        <v>1003.84</v>
      </c>
      <c r="F1078" s="3">
        <f t="shared" si="32"/>
        <v>253.67036800000005</v>
      </c>
      <c r="G1078" s="3">
        <f t="shared" si="33"/>
        <v>1257.5103680000002</v>
      </c>
    </row>
    <row r="1079" spans="1:7" x14ac:dyDescent="0.3">
      <c r="A1079" t="s">
        <v>13039</v>
      </c>
      <c r="B1079" t="s">
        <v>2182</v>
      </c>
      <c r="C1079" t="s">
        <v>2183</v>
      </c>
      <c r="D1079" s="1" t="s">
        <v>38</v>
      </c>
      <c r="E1079" s="3">
        <v>1958.3</v>
      </c>
      <c r="F1079" s="3">
        <f t="shared" si="32"/>
        <v>494.86241000000007</v>
      </c>
      <c r="G1079" s="3">
        <f t="shared" si="33"/>
        <v>2453.1624099999999</v>
      </c>
    </row>
    <row r="1080" spans="1:7" x14ac:dyDescent="0.3">
      <c r="A1080" t="s">
        <v>13039</v>
      </c>
      <c r="B1080" t="s">
        <v>2184</v>
      </c>
      <c r="C1080" t="s">
        <v>2185</v>
      </c>
      <c r="D1080" s="1" t="s">
        <v>38</v>
      </c>
      <c r="E1080" s="3">
        <v>1292.6500000000001</v>
      </c>
      <c r="F1080" s="3">
        <f t="shared" si="32"/>
        <v>326.6526550000001</v>
      </c>
      <c r="G1080" s="3">
        <f t="shared" si="33"/>
        <v>1619.3026550000002</v>
      </c>
    </row>
    <row r="1081" spans="1:7" x14ac:dyDescent="0.3">
      <c r="A1081" t="s">
        <v>13039</v>
      </c>
      <c r="B1081" t="s">
        <v>2186</v>
      </c>
      <c r="C1081" t="s">
        <v>2187</v>
      </c>
      <c r="D1081" s="1" t="s">
        <v>38</v>
      </c>
      <c r="E1081" s="3">
        <v>1563.13</v>
      </c>
      <c r="F1081" s="3">
        <f t="shared" si="32"/>
        <v>395.00295100000011</v>
      </c>
      <c r="G1081" s="3">
        <f t="shared" si="33"/>
        <v>1958.1329510000003</v>
      </c>
    </row>
    <row r="1082" spans="1:7" x14ac:dyDescent="0.3">
      <c r="A1082" t="s">
        <v>13039</v>
      </c>
      <c r="B1082" t="s">
        <v>2188</v>
      </c>
      <c r="C1082" t="s">
        <v>2189</v>
      </c>
      <c r="D1082" s="1" t="s">
        <v>38</v>
      </c>
      <c r="E1082" s="3">
        <v>1009.46</v>
      </c>
      <c r="F1082" s="3">
        <f t="shared" si="32"/>
        <v>255.09054200000006</v>
      </c>
      <c r="G1082" s="3">
        <f t="shared" si="33"/>
        <v>1264.5505420000002</v>
      </c>
    </row>
    <row r="1083" spans="1:7" x14ac:dyDescent="0.3">
      <c r="A1083" t="s">
        <v>13039</v>
      </c>
      <c r="B1083" t="s">
        <v>2190</v>
      </c>
      <c r="C1083" t="s">
        <v>2191</v>
      </c>
      <c r="D1083" s="1" t="s">
        <v>38</v>
      </c>
      <c r="E1083" s="3">
        <v>1301.49</v>
      </c>
      <c r="F1083" s="3">
        <f t="shared" si="32"/>
        <v>328.88652300000007</v>
      </c>
      <c r="G1083" s="3">
        <f t="shared" si="33"/>
        <v>1630.3765230000001</v>
      </c>
    </row>
    <row r="1084" spans="1:7" x14ac:dyDescent="0.3">
      <c r="A1084" t="s">
        <v>13039</v>
      </c>
      <c r="B1084" t="s">
        <v>2192</v>
      </c>
      <c r="C1084" t="s">
        <v>2193</v>
      </c>
      <c r="D1084" s="1" t="s">
        <v>38</v>
      </c>
      <c r="E1084" s="3">
        <v>1018.12</v>
      </c>
      <c r="F1084" s="3">
        <f t="shared" si="32"/>
        <v>257.27892400000002</v>
      </c>
      <c r="G1084" s="3">
        <f t="shared" si="33"/>
        <v>1275.3989240000001</v>
      </c>
    </row>
    <row r="1085" spans="1:7" x14ac:dyDescent="0.3">
      <c r="A1085" t="s">
        <v>13039</v>
      </c>
      <c r="B1085" t="s">
        <v>2194</v>
      </c>
      <c r="C1085" t="s">
        <v>2195</v>
      </c>
      <c r="D1085" s="1" t="s">
        <v>38</v>
      </c>
      <c r="E1085" s="3">
        <v>1313.07</v>
      </c>
      <c r="F1085" s="3">
        <f t="shared" si="32"/>
        <v>331.81278900000001</v>
      </c>
      <c r="G1085" s="3">
        <f t="shared" si="33"/>
        <v>1644.882789</v>
      </c>
    </row>
    <row r="1086" spans="1:7" x14ac:dyDescent="0.3">
      <c r="A1086" t="s">
        <v>13039</v>
      </c>
      <c r="B1086" t="s">
        <v>2196</v>
      </c>
      <c r="C1086" t="s">
        <v>2197</v>
      </c>
      <c r="D1086" s="1" t="s">
        <v>38</v>
      </c>
      <c r="E1086" s="3">
        <v>1029.3599999999999</v>
      </c>
      <c r="F1086" s="3">
        <f t="shared" si="32"/>
        <v>260.11927200000002</v>
      </c>
      <c r="G1086" s="3">
        <f t="shared" si="33"/>
        <v>1289.479272</v>
      </c>
    </row>
    <row r="1087" spans="1:7" x14ac:dyDescent="0.3">
      <c r="A1087" t="s">
        <v>13039</v>
      </c>
      <c r="B1087" t="s">
        <v>2198</v>
      </c>
      <c r="C1087" t="s">
        <v>2199</v>
      </c>
      <c r="D1087" s="1" t="s">
        <v>38</v>
      </c>
      <c r="E1087" s="3">
        <v>2187.7399999999998</v>
      </c>
      <c r="F1087" s="3">
        <f t="shared" si="32"/>
        <v>552.84189800000001</v>
      </c>
      <c r="G1087" s="3">
        <f t="shared" si="33"/>
        <v>2740.5818979999999</v>
      </c>
    </row>
    <row r="1088" spans="1:7" x14ac:dyDescent="0.3">
      <c r="A1088" t="s">
        <v>13039</v>
      </c>
      <c r="B1088" t="s">
        <v>2200</v>
      </c>
      <c r="C1088" t="s">
        <v>2201</v>
      </c>
      <c r="D1088" s="1" t="s">
        <v>38</v>
      </c>
      <c r="E1088" s="3">
        <v>1328.94</v>
      </c>
      <c r="F1088" s="3">
        <f t="shared" si="32"/>
        <v>335.82313800000009</v>
      </c>
      <c r="G1088" s="3">
        <f t="shared" si="33"/>
        <v>1664.7631380000003</v>
      </c>
    </row>
    <row r="1089" spans="1:7" x14ac:dyDescent="0.3">
      <c r="A1089" t="s">
        <v>13039</v>
      </c>
      <c r="B1089" t="s">
        <v>2202</v>
      </c>
      <c r="C1089" t="s">
        <v>2203</v>
      </c>
      <c r="D1089" s="1" t="s">
        <v>38</v>
      </c>
      <c r="E1089" s="3">
        <v>1744.17</v>
      </c>
      <c r="F1089" s="3">
        <f t="shared" si="32"/>
        <v>440.75175900000011</v>
      </c>
      <c r="G1089" s="3">
        <f t="shared" si="33"/>
        <v>2184.9217590000003</v>
      </c>
    </row>
    <row r="1090" spans="1:7" x14ac:dyDescent="0.3">
      <c r="A1090" t="s">
        <v>13039</v>
      </c>
      <c r="B1090" t="s">
        <v>2204</v>
      </c>
      <c r="C1090" t="s">
        <v>2205</v>
      </c>
      <c r="D1090" s="1" t="s">
        <v>38</v>
      </c>
      <c r="E1090" s="3">
        <v>1044.7</v>
      </c>
      <c r="F1090" s="3">
        <f t="shared" si="32"/>
        <v>263.99569000000002</v>
      </c>
      <c r="G1090" s="3">
        <f t="shared" si="33"/>
        <v>1308.69569</v>
      </c>
    </row>
    <row r="1091" spans="1:7" x14ac:dyDescent="0.3">
      <c r="A1091" t="s">
        <v>13039</v>
      </c>
      <c r="B1091" t="s">
        <v>2206</v>
      </c>
      <c r="C1091" t="s">
        <v>2207</v>
      </c>
      <c r="D1091" s="1" t="s">
        <v>38</v>
      </c>
      <c r="E1091" s="3">
        <v>1350.88</v>
      </c>
      <c r="F1091" s="3">
        <f t="shared" si="32"/>
        <v>341.36737600000009</v>
      </c>
      <c r="G1091" s="3">
        <f t="shared" si="33"/>
        <v>1692.2473760000003</v>
      </c>
    </row>
    <row r="1092" spans="1:7" x14ac:dyDescent="0.3">
      <c r="A1092" t="s">
        <v>13039</v>
      </c>
      <c r="B1092" t="s">
        <v>2208</v>
      </c>
      <c r="C1092" t="s">
        <v>2209</v>
      </c>
      <c r="D1092" s="1" t="s">
        <v>38</v>
      </c>
      <c r="E1092" s="3">
        <v>1066.1199999999999</v>
      </c>
      <c r="F1092" s="3">
        <f t="shared" si="32"/>
        <v>269.408524</v>
      </c>
      <c r="G1092" s="3">
        <f t="shared" si="33"/>
        <v>1335.5285239999998</v>
      </c>
    </row>
    <row r="1093" spans="1:7" x14ac:dyDescent="0.3">
      <c r="A1093" t="s">
        <v>13039</v>
      </c>
      <c r="B1093" t="s">
        <v>2210</v>
      </c>
      <c r="C1093" t="s">
        <v>2211</v>
      </c>
      <c r="D1093" s="1" t="s">
        <v>38</v>
      </c>
      <c r="E1093" s="3">
        <v>1379.67</v>
      </c>
      <c r="F1093" s="3">
        <f t="shared" si="32"/>
        <v>348.64260900000005</v>
      </c>
      <c r="G1093" s="3">
        <f t="shared" si="33"/>
        <v>1728.3126090000001</v>
      </c>
    </row>
    <row r="1094" spans="1:7" x14ac:dyDescent="0.3">
      <c r="A1094" t="s">
        <v>13039</v>
      </c>
      <c r="B1094" t="s">
        <v>2212</v>
      </c>
      <c r="C1094" t="s">
        <v>2213</v>
      </c>
      <c r="D1094" s="1" t="s">
        <v>38</v>
      </c>
      <c r="E1094" s="3">
        <v>1094.3800000000001</v>
      </c>
      <c r="F1094" s="3">
        <f t="shared" si="32"/>
        <v>276.54982600000005</v>
      </c>
      <c r="G1094" s="3">
        <f t="shared" si="33"/>
        <v>1370.929826</v>
      </c>
    </row>
    <row r="1095" spans="1:7" x14ac:dyDescent="0.3">
      <c r="A1095" t="s">
        <v>13039</v>
      </c>
      <c r="B1095" t="s">
        <v>2214</v>
      </c>
      <c r="C1095" t="s">
        <v>2215</v>
      </c>
      <c r="D1095" s="1" t="s">
        <v>38</v>
      </c>
      <c r="E1095" s="3">
        <v>2717.25</v>
      </c>
      <c r="F1095" s="3">
        <f t="shared" ref="F1095:F1158" si="34">+E1095*$F$4</f>
        <v>686.64907500000015</v>
      </c>
      <c r="G1095" s="3">
        <f t="shared" ref="G1095:G1158" si="35">+E1095+F1095</f>
        <v>3403.8990750000003</v>
      </c>
    </row>
    <row r="1096" spans="1:7" x14ac:dyDescent="0.3">
      <c r="A1096" t="s">
        <v>13039</v>
      </c>
      <c r="B1096" t="s">
        <v>2216</v>
      </c>
      <c r="C1096" t="s">
        <v>2217</v>
      </c>
      <c r="D1096" s="1" t="s">
        <v>38</v>
      </c>
      <c r="E1096" s="3">
        <v>1419.1</v>
      </c>
      <c r="F1096" s="3">
        <f t="shared" si="34"/>
        <v>358.60657000000003</v>
      </c>
      <c r="G1096" s="3">
        <f t="shared" si="35"/>
        <v>1777.7065699999998</v>
      </c>
    </row>
    <row r="1097" spans="1:7" x14ac:dyDescent="0.3">
      <c r="A1097" t="s">
        <v>13039</v>
      </c>
      <c r="B1097" t="s">
        <v>2218</v>
      </c>
      <c r="C1097" t="s">
        <v>2219</v>
      </c>
      <c r="D1097" s="1" t="s">
        <v>38</v>
      </c>
      <c r="E1097" s="3">
        <v>2160.3000000000002</v>
      </c>
      <c r="F1097" s="3">
        <f t="shared" si="34"/>
        <v>545.90781000000015</v>
      </c>
      <c r="G1097" s="3">
        <f t="shared" si="35"/>
        <v>2706.2078100000003</v>
      </c>
    </row>
    <row r="1098" spans="1:7" x14ac:dyDescent="0.3">
      <c r="A1098" t="s">
        <v>13039</v>
      </c>
      <c r="B1098" t="s">
        <v>2220</v>
      </c>
      <c r="C1098" t="s">
        <v>2221</v>
      </c>
      <c r="D1098" s="1" t="s">
        <v>38</v>
      </c>
      <c r="E1098" s="3">
        <v>1133.29</v>
      </c>
      <c r="F1098" s="3">
        <f t="shared" si="34"/>
        <v>286.382383</v>
      </c>
      <c r="G1098" s="3">
        <f t="shared" si="35"/>
        <v>1419.6723830000001</v>
      </c>
    </row>
    <row r="1099" spans="1:7" x14ac:dyDescent="0.3">
      <c r="A1099" t="s">
        <v>13039</v>
      </c>
      <c r="B1099" t="s">
        <v>2222</v>
      </c>
      <c r="C1099" t="s">
        <v>2223</v>
      </c>
      <c r="D1099" s="1" t="s">
        <v>38</v>
      </c>
      <c r="E1099" s="3">
        <v>1284.0999999999999</v>
      </c>
      <c r="F1099" s="3">
        <f t="shared" si="34"/>
        <v>324.49207000000001</v>
      </c>
      <c r="G1099" s="3">
        <f t="shared" si="35"/>
        <v>1608.5920699999999</v>
      </c>
    </row>
    <row r="1100" spans="1:7" x14ac:dyDescent="0.3">
      <c r="A1100" t="s">
        <v>13039</v>
      </c>
      <c r="B1100" t="s">
        <v>2224</v>
      </c>
      <c r="C1100" t="s">
        <v>2225</v>
      </c>
      <c r="D1100" s="1" t="s">
        <v>38</v>
      </c>
      <c r="E1100" s="3">
        <v>1001.26</v>
      </c>
      <c r="F1100" s="3">
        <f t="shared" si="34"/>
        <v>253.01840200000004</v>
      </c>
      <c r="G1100" s="3">
        <f t="shared" si="35"/>
        <v>1254.2784019999999</v>
      </c>
    </row>
    <row r="1101" spans="1:7" x14ac:dyDescent="0.3">
      <c r="A1101" t="s">
        <v>13039</v>
      </c>
      <c r="B1101" t="s">
        <v>2226</v>
      </c>
      <c r="C1101" t="s">
        <v>2227</v>
      </c>
      <c r="D1101" s="1" t="s">
        <v>38</v>
      </c>
      <c r="E1101" s="3">
        <v>2873.86</v>
      </c>
      <c r="F1101" s="3">
        <f t="shared" si="34"/>
        <v>726.22442200000012</v>
      </c>
      <c r="G1101" s="3">
        <f t="shared" si="35"/>
        <v>3600.0844220000004</v>
      </c>
    </row>
    <row r="1102" spans="1:7" x14ac:dyDescent="0.3">
      <c r="A1102" t="s">
        <v>13039</v>
      </c>
      <c r="B1102" t="s">
        <v>2228</v>
      </c>
      <c r="C1102" t="s">
        <v>2229</v>
      </c>
      <c r="D1102" s="1" t="s">
        <v>38</v>
      </c>
      <c r="E1102" s="3">
        <v>1921.22</v>
      </c>
      <c r="F1102" s="3">
        <f t="shared" si="34"/>
        <v>485.49229400000007</v>
      </c>
      <c r="G1102" s="3">
        <f t="shared" si="35"/>
        <v>2406.7122939999999</v>
      </c>
    </row>
    <row r="1103" spans="1:7" x14ac:dyDescent="0.3">
      <c r="A1103" t="s">
        <v>13039</v>
      </c>
      <c r="B1103" t="s">
        <v>2230</v>
      </c>
      <c r="C1103" t="s">
        <v>2231</v>
      </c>
      <c r="D1103" s="1" t="s">
        <v>38</v>
      </c>
      <c r="E1103" s="3">
        <v>2250.71</v>
      </c>
      <c r="F1103" s="3">
        <f t="shared" si="34"/>
        <v>568.7544170000001</v>
      </c>
      <c r="G1103" s="3">
        <f t="shared" si="35"/>
        <v>2819.4644170000001</v>
      </c>
    </row>
    <row r="1104" spans="1:7" x14ac:dyDescent="0.3">
      <c r="A1104" t="s">
        <v>13039</v>
      </c>
      <c r="B1104" t="s">
        <v>2232</v>
      </c>
      <c r="C1104" t="s">
        <v>2233</v>
      </c>
      <c r="D1104" s="1" t="s">
        <v>38</v>
      </c>
      <c r="E1104" s="3">
        <v>1482.02</v>
      </c>
      <c r="F1104" s="3">
        <f t="shared" si="34"/>
        <v>374.50645400000008</v>
      </c>
      <c r="G1104" s="3">
        <f t="shared" si="35"/>
        <v>1856.5264540000001</v>
      </c>
    </row>
    <row r="1105" spans="1:7" x14ac:dyDescent="0.3">
      <c r="A1105" t="s">
        <v>13039</v>
      </c>
      <c r="B1105" t="s">
        <v>2234</v>
      </c>
      <c r="C1105" t="s">
        <v>2235</v>
      </c>
      <c r="D1105" s="1" t="s">
        <v>38</v>
      </c>
      <c r="E1105" s="3">
        <v>1927.01</v>
      </c>
      <c r="F1105" s="3">
        <f t="shared" si="34"/>
        <v>486.95542700000004</v>
      </c>
      <c r="G1105" s="3">
        <f t="shared" si="35"/>
        <v>2413.9654270000001</v>
      </c>
    </row>
    <row r="1106" spans="1:7" x14ac:dyDescent="0.3">
      <c r="A1106" t="s">
        <v>13039</v>
      </c>
      <c r="B1106" t="s">
        <v>2236</v>
      </c>
      <c r="C1106" t="s">
        <v>2237</v>
      </c>
      <c r="D1106" s="1" t="s">
        <v>38</v>
      </c>
      <c r="E1106" s="3">
        <v>1487.64</v>
      </c>
      <c r="F1106" s="3">
        <f t="shared" si="34"/>
        <v>375.92662800000005</v>
      </c>
      <c r="G1106" s="3">
        <f t="shared" si="35"/>
        <v>1863.566628</v>
      </c>
    </row>
    <row r="1107" spans="1:7" x14ac:dyDescent="0.3">
      <c r="A1107" t="s">
        <v>13039</v>
      </c>
      <c r="B1107" t="s">
        <v>2238</v>
      </c>
      <c r="C1107" t="s">
        <v>2239</v>
      </c>
      <c r="D1107" s="1" t="s">
        <v>38</v>
      </c>
      <c r="E1107" s="3">
        <v>3018.94</v>
      </c>
      <c r="F1107" s="3">
        <f t="shared" si="34"/>
        <v>762.88613800000007</v>
      </c>
      <c r="G1107" s="3">
        <f t="shared" si="35"/>
        <v>3781.8261380000004</v>
      </c>
    </row>
    <row r="1108" spans="1:7" x14ac:dyDescent="0.3">
      <c r="A1108" t="s">
        <v>13039</v>
      </c>
      <c r="B1108" t="s">
        <v>2240</v>
      </c>
      <c r="C1108" t="s">
        <v>2241</v>
      </c>
      <c r="D1108" s="1" t="s">
        <v>38</v>
      </c>
      <c r="E1108" s="3">
        <v>1935.56</v>
      </c>
      <c r="F1108" s="3">
        <f t="shared" si="34"/>
        <v>489.11601200000007</v>
      </c>
      <c r="G1108" s="3">
        <f t="shared" si="35"/>
        <v>2424.6760119999999</v>
      </c>
    </row>
    <row r="1109" spans="1:7" x14ac:dyDescent="0.3">
      <c r="A1109" t="s">
        <v>13039</v>
      </c>
      <c r="B1109" t="s">
        <v>2242</v>
      </c>
      <c r="C1109" t="s">
        <v>2243</v>
      </c>
      <c r="D1109" s="1" t="s">
        <v>38</v>
      </c>
      <c r="E1109" s="3">
        <v>2362.59</v>
      </c>
      <c r="F1109" s="3">
        <f t="shared" si="34"/>
        <v>597.02649300000007</v>
      </c>
      <c r="G1109" s="3">
        <f t="shared" si="35"/>
        <v>2959.6164930000004</v>
      </c>
    </row>
    <row r="1110" spans="1:7" x14ac:dyDescent="0.3">
      <c r="A1110" t="s">
        <v>13039</v>
      </c>
      <c r="B1110" t="s">
        <v>2244</v>
      </c>
      <c r="C1110" t="s">
        <v>2245</v>
      </c>
      <c r="D1110" s="1" t="s">
        <v>38</v>
      </c>
      <c r="E1110" s="3">
        <v>1495.84</v>
      </c>
      <c r="F1110" s="3">
        <f t="shared" si="34"/>
        <v>377.99876800000004</v>
      </c>
      <c r="G1110" s="3">
        <f t="shared" si="35"/>
        <v>1873.8387680000001</v>
      </c>
    </row>
    <row r="1111" spans="1:7" x14ac:dyDescent="0.3">
      <c r="A1111" t="s">
        <v>13039</v>
      </c>
      <c r="B1111" t="s">
        <v>2246</v>
      </c>
      <c r="C1111" t="s">
        <v>2247</v>
      </c>
      <c r="D1111" s="1" t="s">
        <v>38</v>
      </c>
      <c r="E1111" s="3">
        <v>1947.62</v>
      </c>
      <c r="F1111" s="3">
        <f t="shared" si="34"/>
        <v>492.16357400000004</v>
      </c>
      <c r="G1111" s="3">
        <f t="shared" si="35"/>
        <v>2439.783574</v>
      </c>
    </row>
    <row r="1112" spans="1:7" x14ac:dyDescent="0.3">
      <c r="A1112" t="s">
        <v>13039</v>
      </c>
      <c r="B1112" t="s">
        <v>2248</v>
      </c>
      <c r="C1112" t="s">
        <v>2249</v>
      </c>
      <c r="D1112" s="1" t="s">
        <v>38</v>
      </c>
      <c r="E1112" s="3">
        <v>1507.37</v>
      </c>
      <c r="F1112" s="3">
        <f t="shared" si="34"/>
        <v>380.91239900000005</v>
      </c>
      <c r="G1112" s="3">
        <f t="shared" si="35"/>
        <v>1888.2823989999999</v>
      </c>
    </row>
    <row r="1113" spans="1:7" x14ac:dyDescent="0.3">
      <c r="A1113" t="s">
        <v>13039</v>
      </c>
      <c r="B1113" t="s">
        <v>2250</v>
      </c>
      <c r="C1113" t="s">
        <v>2251</v>
      </c>
      <c r="D1113" s="1" t="s">
        <v>38</v>
      </c>
      <c r="E1113" s="3">
        <v>1964.24</v>
      </c>
      <c r="F1113" s="3">
        <f t="shared" si="34"/>
        <v>496.36344800000006</v>
      </c>
      <c r="G1113" s="3">
        <f t="shared" si="35"/>
        <v>2460.6034479999998</v>
      </c>
    </row>
    <row r="1114" spans="1:7" x14ac:dyDescent="0.3">
      <c r="A1114" t="s">
        <v>13039</v>
      </c>
      <c r="B1114" t="s">
        <v>2252</v>
      </c>
      <c r="C1114" t="s">
        <v>2253</v>
      </c>
      <c r="D1114" s="1" t="s">
        <v>38</v>
      </c>
      <c r="E1114" s="3">
        <v>1523.47</v>
      </c>
      <c r="F1114" s="3">
        <f t="shared" si="34"/>
        <v>384.98086900000004</v>
      </c>
      <c r="G1114" s="3">
        <f t="shared" si="35"/>
        <v>1908.450869</v>
      </c>
    </row>
    <row r="1115" spans="1:7" x14ac:dyDescent="0.3">
      <c r="A1115" t="s">
        <v>13039</v>
      </c>
      <c r="B1115" t="s">
        <v>2254</v>
      </c>
      <c r="C1115" t="s">
        <v>2255</v>
      </c>
      <c r="D1115" s="1" t="s">
        <v>38</v>
      </c>
      <c r="E1115" s="3">
        <v>3365.49</v>
      </c>
      <c r="F1115" s="3">
        <f t="shared" si="34"/>
        <v>850.45932300000004</v>
      </c>
      <c r="G1115" s="3">
        <f t="shared" si="35"/>
        <v>4215.9493229999998</v>
      </c>
    </row>
    <row r="1116" spans="1:7" x14ac:dyDescent="0.3">
      <c r="A1116" t="s">
        <v>13039</v>
      </c>
      <c r="B1116" t="s">
        <v>2256</v>
      </c>
      <c r="C1116" t="s">
        <v>2257</v>
      </c>
      <c r="D1116" s="1" t="s">
        <v>38</v>
      </c>
      <c r="E1116" s="3">
        <v>1987.42</v>
      </c>
      <c r="F1116" s="3">
        <f t="shared" si="34"/>
        <v>502.22103400000009</v>
      </c>
      <c r="G1116" s="3">
        <f t="shared" si="35"/>
        <v>2489.6410340000002</v>
      </c>
    </row>
    <row r="1117" spans="1:7" x14ac:dyDescent="0.3">
      <c r="A1117" t="s">
        <v>13039</v>
      </c>
      <c r="B1117" t="s">
        <v>2258</v>
      </c>
      <c r="C1117" t="s">
        <v>2259</v>
      </c>
      <c r="D1117" s="1" t="s">
        <v>38</v>
      </c>
      <c r="E1117" s="3">
        <v>2630.88</v>
      </c>
      <c r="F1117" s="3">
        <f t="shared" si="34"/>
        <v>664.82337600000017</v>
      </c>
      <c r="G1117" s="3">
        <f t="shared" si="35"/>
        <v>3295.7033760000004</v>
      </c>
    </row>
    <row r="1118" spans="1:7" x14ac:dyDescent="0.3">
      <c r="A1118" t="s">
        <v>13039</v>
      </c>
      <c r="B1118" t="s">
        <v>2260</v>
      </c>
      <c r="C1118" t="s">
        <v>2261</v>
      </c>
      <c r="D1118" s="1" t="s">
        <v>38</v>
      </c>
      <c r="E1118" s="3">
        <v>1545.95</v>
      </c>
      <c r="F1118" s="3">
        <f t="shared" si="34"/>
        <v>390.66156500000005</v>
      </c>
      <c r="G1118" s="3">
        <f t="shared" si="35"/>
        <v>1936.6115650000002</v>
      </c>
    </row>
    <row r="1119" spans="1:7" x14ac:dyDescent="0.3">
      <c r="A1119" t="s">
        <v>13039</v>
      </c>
      <c r="B1119" t="s">
        <v>2262</v>
      </c>
      <c r="C1119" t="s">
        <v>2263</v>
      </c>
      <c r="D1119" s="1" t="s">
        <v>38</v>
      </c>
      <c r="E1119" s="3">
        <v>2017.44</v>
      </c>
      <c r="F1119" s="3">
        <f t="shared" si="34"/>
        <v>509.80708800000008</v>
      </c>
      <c r="G1119" s="3">
        <f t="shared" si="35"/>
        <v>2527.2470880000001</v>
      </c>
    </row>
    <row r="1120" spans="1:7" x14ac:dyDescent="0.3">
      <c r="A1120" t="s">
        <v>13039</v>
      </c>
      <c r="B1120" t="s">
        <v>2264</v>
      </c>
      <c r="C1120" t="s">
        <v>2265</v>
      </c>
      <c r="D1120" s="1" t="s">
        <v>38</v>
      </c>
      <c r="E1120" s="3">
        <v>1575.27</v>
      </c>
      <c r="F1120" s="3">
        <f t="shared" si="34"/>
        <v>398.07072900000003</v>
      </c>
      <c r="G1120" s="3">
        <f t="shared" si="35"/>
        <v>1973.340729</v>
      </c>
    </row>
    <row r="1121" spans="1:7" x14ac:dyDescent="0.3">
      <c r="A1121" t="s">
        <v>13039</v>
      </c>
      <c r="B1121" t="s">
        <v>2266</v>
      </c>
      <c r="C1121" t="s">
        <v>2267</v>
      </c>
      <c r="D1121" s="1" t="s">
        <v>38</v>
      </c>
      <c r="E1121" s="3">
        <v>1983.3</v>
      </c>
      <c r="F1121" s="3">
        <f t="shared" si="34"/>
        <v>501.17991000000006</v>
      </c>
      <c r="G1121" s="3">
        <f t="shared" si="35"/>
        <v>2484.47991</v>
      </c>
    </row>
    <row r="1122" spans="1:7" x14ac:dyDescent="0.3">
      <c r="A1122" t="s">
        <v>13039</v>
      </c>
      <c r="B1122" t="s">
        <v>2268</v>
      </c>
      <c r="C1122" t="s">
        <v>2269</v>
      </c>
      <c r="D1122" s="1" t="s">
        <v>38</v>
      </c>
      <c r="E1122" s="3">
        <v>1540.26</v>
      </c>
      <c r="F1122" s="3">
        <f t="shared" si="34"/>
        <v>389.22370200000006</v>
      </c>
      <c r="G1122" s="3">
        <f t="shared" si="35"/>
        <v>1929.483702</v>
      </c>
    </row>
    <row r="1123" spans="1:7" x14ac:dyDescent="0.3">
      <c r="A1123" t="s">
        <v>13039</v>
      </c>
      <c r="B1123" t="s">
        <v>2270</v>
      </c>
      <c r="C1123" t="s">
        <v>2271</v>
      </c>
      <c r="D1123" s="1" t="s">
        <v>38</v>
      </c>
      <c r="E1123" s="3">
        <v>4190.92</v>
      </c>
      <c r="F1123" s="3">
        <f t="shared" si="34"/>
        <v>1059.0454840000002</v>
      </c>
      <c r="G1123" s="3">
        <f t="shared" si="35"/>
        <v>5249.9654840000003</v>
      </c>
    </row>
    <row r="1124" spans="1:7" x14ac:dyDescent="0.3">
      <c r="A1124" t="s">
        <v>13039</v>
      </c>
      <c r="B1124" t="s">
        <v>2272</v>
      </c>
      <c r="C1124" t="s">
        <v>2273</v>
      </c>
      <c r="D1124" s="1" t="s">
        <v>38</v>
      </c>
      <c r="E1124" s="3">
        <v>2116.15</v>
      </c>
      <c r="F1124" s="3">
        <f t="shared" si="34"/>
        <v>534.75110500000005</v>
      </c>
      <c r="G1124" s="3">
        <f t="shared" si="35"/>
        <v>2650.9011049999999</v>
      </c>
    </row>
    <row r="1125" spans="1:7" x14ac:dyDescent="0.3">
      <c r="A1125" t="s">
        <v>13039</v>
      </c>
      <c r="B1125" t="s">
        <v>2274</v>
      </c>
      <c r="C1125" t="s">
        <v>2275</v>
      </c>
      <c r="D1125" s="1" t="s">
        <v>38</v>
      </c>
      <c r="E1125" s="3">
        <v>3266.23</v>
      </c>
      <c r="F1125" s="3">
        <f t="shared" si="34"/>
        <v>825.37632100000008</v>
      </c>
      <c r="G1125" s="3">
        <f t="shared" si="35"/>
        <v>4091.6063210000002</v>
      </c>
    </row>
    <row r="1126" spans="1:7" x14ac:dyDescent="0.3">
      <c r="A1126" t="s">
        <v>13039</v>
      </c>
      <c r="B1126" t="s">
        <v>2276</v>
      </c>
      <c r="C1126" t="s">
        <v>2277</v>
      </c>
      <c r="D1126" s="1" t="s">
        <v>38</v>
      </c>
      <c r="E1126" s="3">
        <v>1672.07</v>
      </c>
      <c r="F1126" s="3">
        <f t="shared" si="34"/>
        <v>422.53208900000004</v>
      </c>
      <c r="G1126" s="3">
        <f t="shared" si="35"/>
        <v>2094.602089</v>
      </c>
    </row>
    <row r="1127" spans="1:7" x14ac:dyDescent="0.3">
      <c r="A1127" t="s">
        <v>13039</v>
      </c>
      <c r="B1127" t="s">
        <v>2278</v>
      </c>
      <c r="C1127" t="s">
        <v>2279</v>
      </c>
      <c r="D1127" s="1" t="s">
        <v>38</v>
      </c>
      <c r="E1127" s="3">
        <v>1921.98</v>
      </c>
      <c r="F1127" s="3">
        <f t="shared" si="34"/>
        <v>485.68434600000006</v>
      </c>
      <c r="G1127" s="3">
        <f t="shared" si="35"/>
        <v>2407.664346</v>
      </c>
    </row>
    <row r="1128" spans="1:7" x14ac:dyDescent="0.3">
      <c r="A1128" t="s">
        <v>13039</v>
      </c>
      <c r="B1128" t="s">
        <v>2280</v>
      </c>
      <c r="C1128" t="s">
        <v>2281</v>
      </c>
      <c r="D1128" s="1" t="s">
        <v>38</v>
      </c>
      <c r="E1128" s="3">
        <v>1482.78</v>
      </c>
      <c r="F1128" s="3">
        <f t="shared" si="34"/>
        <v>374.69850600000007</v>
      </c>
      <c r="G1128" s="3">
        <f t="shared" si="35"/>
        <v>1857.4785059999999</v>
      </c>
    </row>
    <row r="1129" spans="1:7" x14ac:dyDescent="0.3">
      <c r="A1129" t="s">
        <v>13039</v>
      </c>
      <c r="B1129" t="s">
        <v>2282</v>
      </c>
      <c r="C1129" t="s">
        <v>2283</v>
      </c>
      <c r="D1129" s="1" t="s">
        <v>38</v>
      </c>
      <c r="E1129" s="3">
        <v>4165.8599999999997</v>
      </c>
      <c r="F1129" s="3">
        <f t="shared" si="34"/>
        <v>1052.712822</v>
      </c>
      <c r="G1129" s="3">
        <f t="shared" si="35"/>
        <v>5218.5728220000001</v>
      </c>
    </row>
    <row r="1130" spans="1:7" x14ac:dyDescent="0.3">
      <c r="A1130" t="s">
        <v>13039</v>
      </c>
      <c r="B1130" t="s">
        <v>2284</v>
      </c>
      <c r="C1130" t="s">
        <v>2285</v>
      </c>
      <c r="D1130" s="1" t="s">
        <v>38</v>
      </c>
      <c r="E1130" s="3">
        <v>2673.89</v>
      </c>
      <c r="F1130" s="3">
        <f t="shared" si="34"/>
        <v>675.69200300000011</v>
      </c>
      <c r="G1130" s="3">
        <f t="shared" si="35"/>
        <v>3349.582003</v>
      </c>
    </row>
    <row r="1131" spans="1:7" x14ac:dyDescent="0.3">
      <c r="A1131" t="s">
        <v>13039</v>
      </c>
      <c r="B1131" t="s">
        <v>2286</v>
      </c>
      <c r="C1131" t="s">
        <v>2287</v>
      </c>
      <c r="D1131" s="1" t="s">
        <v>38</v>
      </c>
      <c r="E1131" s="3">
        <v>3203.97</v>
      </c>
      <c r="F1131" s="3">
        <f t="shared" si="34"/>
        <v>809.64321900000004</v>
      </c>
      <c r="G1131" s="3">
        <f t="shared" si="35"/>
        <v>4013.6132189999998</v>
      </c>
    </row>
    <row r="1132" spans="1:7" x14ac:dyDescent="0.3">
      <c r="A1132" t="s">
        <v>13039</v>
      </c>
      <c r="B1132" t="s">
        <v>2288</v>
      </c>
      <c r="C1132" t="s">
        <v>2289</v>
      </c>
      <c r="D1132" s="1" t="s">
        <v>38</v>
      </c>
      <c r="E1132" s="3">
        <v>2038.33</v>
      </c>
      <c r="F1132" s="3">
        <f t="shared" si="34"/>
        <v>515.08599100000004</v>
      </c>
      <c r="G1132" s="3">
        <f t="shared" si="35"/>
        <v>2553.4159909999998</v>
      </c>
    </row>
    <row r="1133" spans="1:7" x14ac:dyDescent="0.3">
      <c r="A1133" t="s">
        <v>13039</v>
      </c>
      <c r="B1133" t="s">
        <v>2290</v>
      </c>
      <c r="C1133" t="s">
        <v>2291</v>
      </c>
      <c r="D1133" s="1" t="s">
        <v>38</v>
      </c>
      <c r="E1133" s="3">
        <v>2683.38</v>
      </c>
      <c r="F1133" s="3">
        <f t="shared" si="34"/>
        <v>678.09012600000017</v>
      </c>
      <c r="G1133" s="3">
        <f t="shared" si="35"/>
        <v>3361.4701260000002</v>
      </c>
    </row>
    <row r="1134" spans="1:7" x14ac:dyDescent="0.3">
      <c r="A1134" t="s">
        <v>13039</v>
      </c>
      <c r="B1134" t="s">
        <v>2292</v>
      </c>
      <c r="C1134" t="s">
        <v>2293</v>
      </c>
      <c r="D1134" s="1" t="s">
        <v>38</v>
      </c>
      <c r="E1134" s="3">
        <v>2047.12</v>
      </c>
      <c r="F1134" s="3">
        <f t="shared" si="34"/>
        <v>517.30722400000002</v>
      </c>
      <c r="G1134" s="3">
        <f t="shared" si="35"/>
        <v>2564.427224</v>
      </c>
    </row>
    <row r="1135" spans="1:7" x14ac:dyDescent="0.3">
      <c r="A1135" t="s">
        <v>13039</v>
      </c>
      <c r="B1135" t="s">
        <v>2294</v>
      </c>
      <c r="C1135" t="s">
        <v>2295</v>
      </c>
      <c r="D1135" s="1" t="s">
        <v>38</v>
      </c>
      <c r="E1135" s="3">
        <v>4387.9399999999996</v>
      </c>
      <c r="F1135" s="3">
        <f t="shared" si="34"/>
        <v>1108.8324380000001</v>
      </c>
      <c r="G1135" s="3">
        <f t="shared" si="35"/>
        <v>5496.772438</v>
      </c>
    </row>
    <row r="1136" spans="1:7" x14ac:dyDescent="0.3">
      <c r="A1136" t="s">
        <v>13039</v>
      </c>
      <c r="B1136" t="s">
        <v>2296</v>
      </c>
      <c r="C1136" t="s">
        <v>2297</v>
      </c>
      <c r="D1136" s="1" t="s">
        <v>38</v>
      </c>
      <c r="E1136" s="3">
        <v>2695.15</v>
      </c>
      <c r="F1136" s="3">
        <f t="shared" si="34"/>
        <v>681.06440500000008</v>
      </c>
      <c r="G1136" s="3">
        <f t="shared" si="35"/>
        <v>3376.2144050000002</v>
      </c>
    </row>
    <row r="1137" spans="1:7" x14ac:dyDescent="0.3">
      <c r="A1137" t="s">
        <v>13039</v>
      </c>
      <c r="B1137" t="s">
        <v>2298</v>
      </c>
      <c r="C1137" t="s">
        <v>2299</v>
      </c>
      <c r="D1137" s="1" t="s">
        <v>38</v>
      </c>
      <c r="E1137" s="3">
        <v>3371.36</v>
      </c>
      <c r="F1137" s="3">
        <f t="shared" si="34"/>
        <v>851.94267200000013</v>
      </c>
      <c r="G1137" s="3">
        <f t="shared" si="35"/>
        <v>4223.3026719999998</v>
      </c>
    </row>
    <row r="1138" spans="1:7" x14ac:dyDescent="0.3">
      <c r="A1138" t="s">
        <v>13039</v>
      </c>
      <c r="B1138" t="s">
        <v>2300</v>
      </c>
      <c r="C1138" t="s">
        <v>2301</v>
      </c>
      <c r="D1138" s="1" t="s">
        <v>38</v>
      </c>
      <c r="E1138" s="3">
        <v>2058.19</v>
      </c>
      <c r="F1138" s="3">
        <f t="shared" si="34"/>
        <v>520.10461300000009</v>
      </c>
      <c r="G1138" s="3">
        <f t="shared" si="35"/>
        <v>2578.294613</v>
      </c>
    </row>
    <row r="1139" spans="1:7" x14ac:dyDescent="0.3">
      <c r="A1139" t="s">
        <v>13039</v>
      </c>
      <c r="B1139" t="s">
        <v>2302</v>
      </c>
      <c r="C1139" t="s">
        <v>2303</v>
      </c>
      <c r="D1139" s="1" t="s">
        <v>38</v>
      </c>
      <c r="E1139" s="3">
        <v>2712.9</v>
      </c>
      <c r="F1139" s="3">
        <f t="shared" si="34"/>
        <v>685.54983000000016</v>
      </c>
      <c r="G1139" s="3">
        <f t="shared" si="35"/>
        <v>3398.4498300000005</v>
      </c>
    </row>
    <row r="1140" spans="1:7" x14ac:dyDescent="0.3">
      <c r="A1140" t="s">
        <v>13039</v>
      </c>
      <c r="B1140" t="s">
        <v>2304</v>
      </c>
      <c r="C1140" t="s">
        <v>2305</v>
      </c>
      <c r="D1140" s="1" t="s">
        <v>38</v>
      </c>
      <c r="E1140" s="3">
        <v>2074.7199999999998</v>
      </c>
      <c r="F1140" s="3">
        <f t="shared" si="34"/>
        <v>524.281744</v>
      </c>
      <c r="G1140" s="3">
        <f t="shared" si="35"/>
        <v>2599.0017439999997</v>
      </c>
    </row>
    <row r="1141" spans="1:7" x14ac:dyDescent="0.3">
      <c r="A1141" t="s">
        <v>13039</v>
      </c>
      <c r="B1141" t="s">
        <v>2306</v>
      </c>
      <c r="C1141" t="s">
        <v>2307</v>
      </c>
      <c r="D1141" s="1" t="s">
        <v>38</v>
      </c>
      <c r="E1141" s="3">
        <v>2737.2</v>
      </c>
      <c r="F1141" s="3">
        <f t="shared" si="34"/>
        <v>691.69044000000008</v>
      </c>
      <c r="G1141" s="3">
        <f t="shared" si="35"/>
        <v>3428.8904400000001</v>
      </c>
    </row>
    <row r="1142" spans="1:7" x14ac:dyDescent="0.3">
      <c r="A1142" t="s">
        <v>13039</v>
      </c>
      <c r="B1142" t="s">
        <v>2308</v>
      </c>
      <c r="C1142" t="s">
        <v>2309</v>
      </c>
      <c r="D1142" s="1" t="s">
        <v>38</v>
      </c>
      <c r="E1142" s="3">
        <v>2097.62</v>
      </c>
      <c r="F1142" s="3">
        <f t="shared" si="34"/>
        <v>530.06857400000001</v>
      </c>
      <c r="G1142" s="3">
        <f t="shared" si="35"/>
        <v>2627.6885739999998</v>
      </c>
    </row>
    <row r="1143" spans="1:7" x14ac:dyDescent="0.3">
      <c r="A1143" t="s">
        <v>13039</v>
      </c>
      <c r="B1143" t="s">
        <v>2310</v>
      </c>
      <c r="C1143" t="s">
        <v>2311</v>
      </c>
      <c r="D1143" s="1" t="s">
        <v>38</v>
      </c>
      <c r="E1143" s="3">
        <v>4906.16</v>
      </c>
      <c r="F1143" s="3">
        <f t="shared" si="34"/>
        <v>1239.7866320000001</v>
      </c>
      <c r="G1143" s="3">
        <f t="shared" si="35"/>
        <v>6145.9466320000001</v>
      </c>
    </row>
    <row r="1144" spans="1:7" x14ac:dyDescent="0.3">
      <c r="A1144" t="s">
        <v>13039</v>
      </c>
      <c r="B1144" t="s">
        <v>2312</v>
      </c>
      <c r="C1144" t="s">
        <v>2313</v>
      </c>
      <c r="D1144" s="1" t="s">
        <v>38</v>
      </c>
      <c r="E1144" s="3">
        <v>2770.05</v>
      </c>
      <c r="F1144" s="3">
        <f t="shared" si="34"/>
        <v>699.9916350000002</v>
      </c>
      <c r="G1144" s="3">
        <f t="shared" si="35"/>
        <v>3470.0416350000005</v>
      </c>
    </row>
    <row r="1145" spans="1:7" x14ac:dyDescent="0.3">
      <c r="A1145" t="s">
        <v>13039</v>
      </c>
      <c r="B1145" t="s">
        <v>2314</v>
      </c>
      <c r="C1145" t="s">
        <v>2315</v>
      </c>
      <c r="D1145" s="1" t="s">
        <v>38</v>
      </c>
      <c r="E1145" s="3">
        <v>3764.32</v>
      </c>
      <c r="F1145" s="3">
        <f t="shared" si="34"/>
        <v>951.24366400000019</v>
      </c>
      <c r="G1145" s="3">
        <f t="shared" si="35"/>
        <v>4715.5636640000002</v>
      </c>
    </row>
    <row r="1146" spans="1:7" x14ac:dyDescent="0.3">
      <c r="A1146" t="s">
        <v>13039</v>
      </c>
      <c r="B1146" t="s">
        <v>2316</v>
      </c>
      <c r="C1146" t="s">
        <v>2317</v>
      </c>
      <c r="D1146" s="1" t="s">
        <v>38</v>
      </c>
      <c r="E1146" s="3">
        <v>2128.73</v>
      </c>
      <c r="F1146" s="3">
        <f t="shared" si="34"/>
        <v>537.93007100000011</v>
      </c>
      <c r="G1146" s="3">
        <f t="shared" si="35"/>
        <v>2666.6600710000002</v>
      </c>
    </row>
    <row r="1147" spans="1:7" x14ac:dyDescent="0.3">
      <c r="A1147" t="s">
        <v>13039</v>
      </c>
      <c r="B1147" t="s">
        <v>2318</v>
      </c>
      <c r="C1147" t="s">
        <v>2319</v>
      </c>
      <c r="D1147" s="1" t="s">
        <v>38</v>
      </c>
      <c r="E1147" s="3">
        <v>2812.49</v>
      </c>
      <c r="F1147" s="3">
        <f t="shared" si="34"/>
        <v>710.71622300000001</v>
      </c>
      <c r="G1147" s="3">
        <f t="shared" si="35"/>
        <v>3523.2062229999997</v>
      </c>
    </row>
    <row r="1148" spans="1:7" x14ac:dyDescent="0.3">
      <c r="A1148" t="s">
        <v>13039</v>
      </c>
      <c r="B1148" t="s">
        <v>2320</v>
      </c>
      <c r="C1148" t="s">
        <v>2321</v>
      </c>
      <c r="D1148" s="1" t="s">
        <v>38</v>
      </c>
      <c r="E1148" s="3">
        <v>2169.25</v>
      </c>
      <c r="F1148" s="3">
        <f t="shared" si="34"/>
        <v>548.16947500000003</v>
      </c>
      <c r="G1148" s="3">
        <f t="shared" si="35"/>
        <v>2717.4194750000001</v>
      </c>
    </row>
    <row r="1149" spans="1:7" x14ac:dyDescent="0.3">
      <c r="A1149" t="s">
        <v>13039</v>
      </c>
      <c r="B1149" t="s">
        <v>2322</v>
      </c>
      <c r="C1149" t="s">
        <v>2323</v>
      </c>
      <c r="D1149" s="1" t="s">
        <v>38</v>
      </c>
      <c r="E1149" s="3">
        <v>2871.09</v>
      </c>
      <c r="F1149" s="3">
        <f t="shared" si="34"/>
        <v>725.52444300000013</v>
      </c>
      <c r="G1149" s="3">
        <f t="shared" si="35"/>
        <v>3596.6144430000004</v>
      </c>
    </row>
    <row r="1150" spans="1:7" x14ac:dyDescent="0.3">
      <c r="A1150" t="s">
        <v>13039</v>
      </c>
      <c r="B1150" t="s">
        <v>2324</v>
      </c>
      <c r="C1150" t="s">
        <v>2325</v>
      </c>
      <c r="D1150" s="1" t="s">
        <v>38</v>
      </c>
      <c r="E1150" s="3">
        <v>2225.5700000000002</v>
      </c>
      <c r="F1150" s="3">
        <f t="shared" si="34"/>
        <v>562.40153900000007</v>
      </c>
      <c r="G1150" s="3">
        <f t="shared" si="35"/>
        <v>2787.9715390000001</v>
      </c>
    </row>
    <row r="1151" spans="1:7" x14ac:dyDescent="0.3">
      <c r="A1151" t="s">
        <v>13039</v>
      </c>
      <c r="B1151" t="s">
        <v>2326</v>
      </c>
      <c r="C1151" t="s">
        <v>2327</v>
      </c>
      <c r="D1151" s="1" t="s">
        <v>38</v>
      </c>
      <c r="E1151" s="3">
        <v>6116.93</v>
      </c>
      <c r="F1151" s="3">
        <f t="shared" si="34"/>
        <v>1545.7482110000003</v>
      </c>
      <c r="G1151" s="3">
        <f t="shared" si="35"/>
        <v>7662.6782110000004</v>
      </c>
    </row>
    <row r="1152" spans="1:7" x14ac:dyDescent="0.3">
      <c r="A1152" t="s">
        <v>13039</v>
      </c>
      <c r="B1152" t="s">
        <v>2328</v>
      </c>
      <c r="C1152" t="s">
        <v>2329</v>
      </c>
      <c r="D1152" s="1" t="s">
        <v>38</v>
      </c>
      <c r="E1152" s="3">
        <v>2949.17</v>
      </c>
      <c r="F1152" s="3">
        <f t="shared" si="34"/>
        <v>745.25525900000014</v>
      </c>
      <c r="G1152" s="3">
        <f t="shared" si="35"/>
        <v>3694.4252590000001</v>
      </c>
    </row>
    <row r="1153" spans="1:7" x14ac:dyDescent="0.3">
      <c r="A1153" t="s">
        <v>13039</v>
      </c>
      <c r="B1153" t="s">
        <v>2330</v>
      </c>
      <c r="C1153" t="s">
        <v>2331</v>
      </c>
      <c r="D1153" s="1" t="s">
        <v>38</v>
      </c>
      <c r="E1153" s="3">
        <v>4676.88</v>
      </c>
      <c r="F1153" s="3">
        <f t="shared" si="34"/>
        <v>1181.8475760000001</v>
      </c>
      <c r="G1153" s="3">
        <f t="shared" si="35"/>
        <v>5858.7275760000002</v>
      </c>
    </row>
    <row r="1154" spans="1:7" x14ac:dyDescent="0.3">
      <c r="A1154" t="s">
        <v>13039</v>
      </c>
      <c r="B1154" t="s">
        <v>2332</v>
      </c>
      <c r="C1154" t="s">
        <v>2333</v>
      </c>
      <c r="D1154" s="1" t="s">
        <v>38</v>
      </c>
      <c r="E1154" s="3">
        <v>2301.21</v>
      </c>
      <c r="F1154" s="3">
        <f t="shared" si="34"/>
        <v>581.5157670000001</v>
      </c>
      <c r="G1154" s="3">
        <f t="shared" si="35"/>
        <v>2882.7257669999999</v>
      </c>
    </row>
    <row r="1155" spans="1:7" x14ac:dyDescent="0.3">
      <c r="A1155" t="s">
        <v>13039</v>
      </c>
      <c r="B1155" t="s">
        <v>2334</v>
      </c>
      <c r="C1155" t="s">
        <v>2335</v>
      </c>
      <c r="D1155" s="1" t="s">
        <v>38</v>
      </c>
      <c r="E1155" s="3">
        <v>2676.64</v>
      </c>
      <c r="F1155" s="3">
        <f t="shared" si="34"/>
        <v>676.38692800000001</v>
      </c>
      <c r="G1155" s="3">
        <f t="shared" si="35"/>
        <v>3353.0269279999998</v>
      </c>
    </row>
    <row r="1156" spans="1:7" x14ac:dyDescent="0.3">
      <c r="A1156" t="s">
        <v>13039</v>
      </c>
      <c r="B1156" t="s">
        <v>2336</v>
      </c>
      <c r="C1156" t="s">
        <v>2337</v>
      </c>
      <c r="D1156" s="1" t="s">
        <v>38</v>
      </c>
      <c r="E1156" s="3">
        <v>2040.91</v>
      </c>
      <c r="F1156" s="3">
        <f t="shared" si="34"/>
        <v>515.73795700000005</v>
      </c>
      <c r="G1156" s="3">
        <f t="shared" si="35"/>
        <v>2556.6479570000001</v>
      </c>
    </row>
    <row r="1157" spans="1:7" x14ac:dyDescent="0.3">
      <c r="A1157" t="s">
        <v>13039</v>
      </c>
      <c r="B1157" t="s">
        <v>2338</v>
      </c>
      <c r="C1157" t="s">
        <v>2339</v>
      </c>
      <c r="D1157" s="1" t="s">
        <v>38</v>
      </c>
      <c r="E1157" s="3">
        <v>7570.39</v>
      </c>
      <c r="F1157" s="3">
        <f t="shared" si="34"/>
        <v>1913.0375530000003</v>
      </c>
      <c r="G1157" s="3">
        <f t="shared" si="35"/>
        <v>9483.4275530000014</v>
      </c>
    </row>
    <row r="1158" spans="1:7" x14ac:dyDescent="0.3">
      <c r="A1158" t="s">
        <v>13039</v>
      </c>
      <c r="B1158" t="s">
        <v>2340</v>
      </c>
      <c r="C1158" t="s">
        <v>2341</v>
      </c>
      <c r="D1158" s="1" t="s">
        <v>38</v>
      </c>
      <c r="E1158" s="3">
        <v>4608.5600000000004</v>
      </c>
      <c r="F1158" s="3">
        <f t="shared" si="34"/>
        <v>1164.5831120000003</v>
      </c>
      <c r="G1158" s="3">
        <f t="shared" si="35"/>
        <v>5773.1431120000007</v>
      </c>
    </row>
    <row r="1159" spans="1:7" x14ac:dyDescent="0.3">
      <c r="A1159" t="s">
        <v>13039</v>
      </c>
      <c r="B1159" t="s">
        <v>2342</v>
      </c>
      <c r="C1159" t="s">
        <v>2343</v>
      </c>
      <c r="D1159" s="1" t="s">
        <v>38</v>
      </c>
      <c r="E1159" s="3">
        <v>5681.88</v>
      </c>
      <c r="F1159" s="3">
        <f t="shared" ref="F1159:F1222" si="36">+E1159*$F$4</f>
        <v>1435.8110760000002</v>
      </c>
      <c r="G1159" s="3">
        <f t="shared" ref="G1159:G1222" si="37">+E1159+F1159</f>
        <v>7117.6910760000001</v>
      </c>
    </row>
    <row r="1160" spans="1:7" x14ac:dyDescent="0.3">
      <c r="A1160" t="s">
        <v>13039</v>
      </c>
      <c r="B1160" t="s">
        <v>2344</v>
      </c>
      <c r="C1160" t="s">
        <v>2345</v>
      </c>
      <c r="D1160" s="1" t="s">
        <v>38</v>
      </c>
      <c r="E1160" s="3">
        <v>3475.28</v>
      </c>
      <c r="F1160" s="3">
        <f t="shared" si="36"/>
        <v>878.20325600000012</v>
      </c>
      <c r="G1160" s="3">
        <f t="shared" si="37"/>
        <v>4353.4832560000004</v>
      </c>
    </row>
    <row r="1161" spans="1:7" x14ac:dyDescent="0.3">
      <c r="A1161" t="s">
        <v>13039</v>
      </c>
      <c r="B1161" t="s">
        <v>2346</v>
      </c>
      <c r="C1161" t="s">
        <v>2347</v>
      </c>
      <c r="D1161" s="1" t="s">
        <v>38</v>
      </c>
      <c r="E1161" s="3">
        <v>4621.5600000000004</v>
      </c>
      <c r="F1161" s="3">
        <f t="shared" si="36"/>
        <v>1167.8682120000003</v>
      </c>
      <c r="G1161" s="3">
        <f t="shared" si="37"/>
        <v>5789.4282120000007</v>
      </c>
    </row>
    <row r="1162" spans="1:7" x14ac:dyDescent="0.3">
      <c r="A1162" t="s">
        <v>13039</v>
      </c>
      <c r="B1162" t="s">
        <v>2348</v>
      </c>
      <c r="C1162" t="s">
        <v>2349</v>
      </c>
      <c r="D1162" s="1" t="s">
        <v>38</v>
      </c>
      <c r="E1162" s="3">
        <v>3487.41</v>
      </c>
      <c r="F1162" s="3">
        <f t="shared" si="36"/>
        <v>881.26850700000011</v>
      </c>
      <c r="G1162" s="3">
        <f t="shared" si="37"/>
        <v>4368.6785069999996</v>
      </c>
    </row>
    <row r="1163" spans="1:7" x14ac:dyDescent="0.3">
      <c r="A1163" t="s">
        <v>13039</v>
      </c>
      <c r="B1163" t="s">
        <v>2350</v>
      </c>
      <c r="C1163" t="s">
        <v>2351</v>
      </c>
      <c r="D1163" s="1" t="s">
        <v>38</v>
      </c>
      <c r="E1163" s="3">
        <v>7985.57</v>
      </c>
      <c r="F1163" s="3">
        <f t="shared" si="36"/>
        <v>2017.9535390000003</v>
      </c>
      <c r="G1163" s="3">
        <f t="shared" si="37"/>
        <v>10003.523539</v>
      </c>
    </row>
    <row r="1164" spans="1:7" x14ac:dyDescent="0.3">
      <c r="A1164" t="s">
        <v>13039</v>
      </c>
      <c r="B1164" t="s">
        <v>2352</v>
      </c>
      <c r="C1164" t="s">
        <v>2353</v>
      </c>
      <c r="D1164" s="1" t="s">
        <v>38</v>
      </c>
      <c r="E1164" s="3">
        <v>4638.55</v>
      </c>
      <c r="F1164" s="3">
        <f t="shared" si="36"/>
        <v>1172.1615850000003</v>
      </c>
      <c r="G1164" s="3">
        <f t="shared" si="37"/>
        <v>5810.7115850000009</v>
      </c>
    </row>
    <row r="1165" spans="1:7" x14ac:dyDescent="0.3">
      <c r="A1165" t="s">
        <v>13039</v>
      </c>
      <c r="B1165" t="s">
        <v>2354</v>
      </c>
      <c r="C1165" t="s">
        <v>2355</v>
      </c>
      <c r="D1165" s="1" t="s">
        <v>38</v>
      </c>
      <c r="E1165" s="3">
        <v>5988.57</v>
      </c>
      <c r="F1165" s="3">
        <f t="shared" si="36"/>
        <v>1513.3116390000002</v>
      </c>
      <c r="G1165" s="3">
        <f t="shared" si="37"/>
        <v>7501.8816390000002</v>
      </c>
    </row>
    <row r="1166" spans="1:7" x14ac:dyDescent="0.3">
      <c r="A1166" t="s">
        <v>13039</v>
      </c>
      <c r="B1166" t="s">
        <v>2356</v>
      </c>
      <c r="C1166" t="s">
        <v>2357</v>
      </c>
      <c r="D1166" s="1" t="s">
        <v>38</v>
      </c>
      <c r="E1166" s="3">
        <v>3503.17</v>
      </c>
      <c r="F1166" s="3">
        <f t="shared" si="36"/>
        <v>885.25105900000017</v>
      </c>
      <c r="G1166" s="3">
        <f t="shared" si="37"/>
        <v>4388.4210590000002</v>
      </c>
    </row>
    <row r="1167" spans="1:7" x14ac:dyDescent="0.3">
      <c r="A1167" t="s">
        <v>13039</v>
      </c>
      <c r="B1167" t="s">
        <v>2358</v>
      </c>
      <c r="C1167" t="s">
        <v>2359</v>
      </c>
      <c r="D1167" s="1" t="s">
        <v>38</v>
      </c>
      <c r="E1167" s="3">
        <v>4663.32</v>
      </c>
      <c r="F1167" s="3">
        <f t="shared" si="36"/>
        <v>1178.4209640000001</v>
      </c>
      <c r="G1167" s="3">
        <f t="shared" si="37"/>
        <v>5841.7409639999996</v>
      </c>
    </row>
    <row r="1168" spans="1:7" x14ac:dyDescent="0.3">
      <c r="A1168" t="s">
        <v>13039</v>
      </c>
      <c r="B1168" t="s">
        <v>2360</v>
      </c>
      <c r="C1168" t="s">
        <v>2361</v>
      </c>
      <c r="D1168" s="1" t="s">
        <v>38</v>
      </c>
      <c r="E1168" s="3">
        <v>3526.37</v>
      </c>
      <c r="F1168" s="3">
        <f t="shared" si="36"/>
        <v>891.11369900000011</v>
      </c>
      <c r="G1168" s="3">
        <f t="shared" si="37"/>
        <v>4417.4836990000003</v>
      </c>
    </row>
    <row r="1169" spans="1:7" x14ac:dyDescent="0.3">
      <c r="A1169" t="s">
        <v>13039</v>
      </c>
      <c r="B1169" t="s">
        <v>2362</v>
      </c>
      <c r="C1169" t="s">
        <v>2363</v>
      </c>
      <c r="D1169" s="1" t="s">
        <v>38</v>
      </c>
      <c r="E1169" s="3">
        <v>4697.1099999999997</v>
      </c>
      <c r="F1169" s="3">
        <f t="shared" si="36"/>
        <v>1186.959697</v>
      </c>
      <c r="G1169" s="3">
        <f t="shared" si="37"/>
        <v>5884.0696969999999</v>
      </c>
    </row>
    <row r="1170" spans="1:7" x14ac:dyDescent="0.3">
      <c r="A1170" t="s">
        <v>13039</v>
      </c>
      <c r="B1170" t="s">
        <v>2364</v>
      </c>
      <c r="C1170" t="s">
        <v>2365</v>
      </c>
      <c r="D1170" s="1" t="s">
        <v>38</v>
      </c>
      <c r="E1170" s="3">
        <v>3558.07</v>
      </c>
      <c r="F1170" s="3">
        <f t="shared" si="36"/>
        <v>899.1242890000002</v>
      </c>
      <c r="G1170" s="3">
        <f t="shared" si="37"/>
        <v>4457.194289</v>
      </c>
    </row>
    <row r="1171" spans="1:7" x14ac:dyDescent="0.3">
      <c r="A1171" t="s">
        <v>13039</v>
      </c>
      <c r="B1171" t="s">
        <v>2366</v>
      </c>
      <c r="C1171" t="s">
        <v>2367</v>
      </c>
      <c r="D1171" s="1" t="s">
        <v>38</v>
      </c>
      <c r="E1171" s="3">
        <v>8951.9500000000007</v>
      </c>
      <c r="F1171" s="3">
        <f t="shared" si="36"/>
        <v>2262.1577650000004</v>
      </c>
      <c r="G1171" s="3">
        <f t="shared" si="37"/>
        <v>11214.107765000001</v>
      </c>
    </row>
    <row r="1172" spans="1:7" x14ac:dyDescent="0.3">
      <c r="A1172" t="s">
        <v>13039</v>
      </c>
      <c r="B1172" t="s">
        <v>2368</v>
      </c>
      <c r="C1172" t="s">
        <v>2369</v>
      </c>
      <c r="D1172" s="1" t="s">
        <v>38</v>
      </c>
      <c r="E1172" s="3">
        <v>4742.49</v>
      </c>
      <c r="F1172" s="3">
        <f t="shared" si="36"/>
        <v>1198.4272230000001</v>
      </c>
      <c r="G1172" s="3">
        <f t="shared" si="37"/>
        <v>5940.9172230000004</v>
      </c>
    </row>
    <row r="1173" spans="1:7" x14ac:dyDescent="0.3">
      <c r="A1173" t="s">
        <v>13039</v>
      </c>
      <c r="B1173" t="s">
        <v>2370</v>
      </c>
      <c r="C1173" t="s">
        <v>2371</v>
      </c>
      <c r="D1173" s="1" t="s">
        <v>38</v>
      </c>
      <c r="E1173" s="3">
        <v>6703.91</v>
      </c>
      <c r="F1173" s="3">
        <f t="shared" si="36"/>
        <v>1694.0780570000002</v>
      </c>
      <c r="G1173" s="3">
        <f t="shared" si="37"/>
        <v>8397.9880570000005</v>
      </c>
    </row>
    <row r="1174" spans="1:7" x14ac:dyDescent="0.3">
      <c r="A1174" t="s">
        <v>13039</v>
      </c>
      <c r="B1174" t="s">
        <v>2372</v>
      </c>
      <c r="C1174" t="s">
        <v>2373</v>
      </c>
      <c r="D1174" s="1" t="s">
        <v>38</v>
      </c>
      <c r="E1174" s="3">
        <v>3601</v>
      </c>
      <c r="F1174" s="3">
        <f t="shared" si="36"/>
        <v>909.97270000000015</v>
      </c>
      <c r="G1174" s="3">
        <f t="shared" si="37"/>
        <v>4510.9727000000003</v>
      </c>
    </row>
    <row r="1175" spans="1:7" x14ac:dyDescent="0.3">
      <c r="A1175" t="s">
        <v>13039</v>
      </c>
      <c r="B1175" t="s">
        <v>2374</v>
      </c>
      <c r="C1175" t="s">
        <v>2375</v>
      </c>
      <c r="D1175" s="1" t="s">
        <v>38</v>
      </c>
      <c r="E1175" s="3">
        <v>4803.26</v>
      </c>
      <c r="F1175" s="3">
        <f t="shared" si="36"/>
        <v>1213.7838020000002</v>
      </c>
      <c r="G1175" s="3">
        <f t="shared" si="37"/>
        <v>6017.0438020000001</v>
      </c>
    </row>
    <row r="1176" spans="1:7" x14ac:dyDescent="0.3">
      <c r="A1176" t="s">
        <v>13039</v>
      </c>
      <c r="B1176" t="s">
        <v>2376</v>
      </c>
      <c r="C1176" t="s">
        <v>2377</v>
      </c>
      <c r="D1176" s="1" t="s">
        <v>38</v>
      </c>
      <c r="E1176" s="3">
        <v>3658.98</v>
      </c>
      <c r="F1176" s="3">
        <f t="shared" si="36"/>
        <v>924.62424600000008</v>
      </c>
      <c r="G1176" s="3">
        <f t="shared" si="37"/>
        <v>4583.6042459999999</v>
      </c>
    </row>
    <row r="1177" spans="1:7" x14ac:dyDescent="0.3">
      <c r="A1177" t="s">
        <v>13039</v>
      </c>
      <c r="B1177" t="s">
        <v>2378</v>
      </c>
      <c r="C1177" t="s">
        <v>2379</v>
      </c>
      <c r="D1177" s="1" t="s">
        <v>38</v>
      </c>
      <c r="E1177" s="3">
        <v>4884.46</v>
      </c>
      <c r="F1177" s="3">
        <f t="shared" si="36"/>
        <v>1234.3030420000002</v>
      </c>
      <c r="G1177" s="3">
        <f t="shared" si="37"/>
        <v>6118.7630420000005</v>
      </c>
    </row>
    <row r="1178" spans="1:7" x14ac:dyDescent="0.3">
      <c r="A1178" t="s">
        <v>13039</v>
      </c>
      <c r="B1178" t="s">
        <v>2380</v>
      </c>
      <c r="C1178" t="s">
        <v>2381</v>
      </c>
      <c r="D1178" s="1" t="s">
        <v>38</v>
      </c>
      <c r="E1178" s="3">
        <v>3736.85</v>
      </c>
      <c r="F1178" s="3">
        <f t="shared" si="36"/>
        <v>944.30199500000015</v>
      </c>
      <c r="G1178" s="3">
        <f t="shared" si="37"/>
        <v>4681.1519950000002</v>
      </c>
    </row>
    <row r="1179" spans="1:7" x14ac:dyDescent="0.3">
      <c r="A1179" t="s">
        <v>13039</v>
      </c>
      <c r="B1179" t="s">
        <v>2382</v>
      </c>
      <c r="C1179" t="s">
        <v>2383</v>
      </c>
      <c r="D1179" s="1" t="s">
        <v>38</v>
      </c>
      <c r="E1179" s="3">
        <v>11229.02</v>
      </c>
      <c r="F1179" s="3">
        <f t="shared" si="36"/>
        <v>2837.5733540000006</v>
      </c>
      <c r="G1179" s="3">
        <f t="shared" si="37"/>
        <v>14066.593354000001</v>
      </c>
    </row>
    <row r="1180" spans="1:7" x14ac:dyDescent="0.3">
      <c r="A1180" t="s">
        <v>13039</v>
      </c>
      <c r="B1180" t="s">
        <v>2384</v>
      </c>
      <c r="C1180" t="s">
        <v>2385</v>
      </c>
      <c r="D1180" s="1" t="s">
        <v>38</v>
      </c>
      <c r="E1180" s="3">
        <v>4995.49</v>
      </c>
      <c r="F1180" s="3">
        <f t="shared" si="36"/>
        <v>1262.3603230000001</v>
      </c>
      <c r="G1180" s="3">
        <f t="shared" si="37"/>
        <v>6257.8503229999997</v>
      </c>
    </row>
    <row r="1181" spans="1:7" x14ac:dyDescent="0.3">
      <c r="A1181" t="s">
        <v>13039</v>
      </c>
      <c r="B1181" t="s">
        <v>2386</v>
      </c>
      <c r="C1181" t="s">
        <v>2387</v>
      </c>
      <c r="D1181" s="1" t="s">
        <v>38</v>
      </c>
      <c r="E1181" s="3">
        <v>8380.89</v>
      </c>
      <c r="F1181" s="3">
        <f t="shared" si="36"/>
        <v>2117.850903</v>
      </c>
      <c r="G1181" s="3">
        <f t="shared" si="37"/>
        <v>10498.740903</v>
      </c>
    </row>
    <row r="1182" spans="1:7" x14ac:dyDescent="0.3">
      <c r="A1182" t="s">
        <v>13039</v>
      </c>
      <c r="B1182" t="s">
        <v>2388</v>
      </c>
      <c r="C1182" t="s">
        <v>2389</v>
      </c>
      <c r="D1182" s="1" t="s">
        <v>38</v>
      </c>
      <c r="E1182" s="3">
        <v>3844.22</v>
      </c>
      <c r="F1182" s="3">
        <f t="shared" si="36"/>
        <v>971.43439400000011</v>
      </c>
      <c r="G1182" s="3">
        <f t="shared" si="37"/>
        <v>4815.6543940000001</v>
      </c>
    </row>
    <row r="1183" spans="1:7" x14ac:dyDescent="0.3">
      <c r="A1183" t="s">
        <v>13039</v>
      </c>
      <c r="B1183" t="s">
        <v>2390</v>
      </c>
      <c r="C1183" t="s">
        <v>2391</v>
      </c>
      <c r="D1183" s="1" t="s">
        <v>38</v>
      </c>
      <c r="E1183" s="3">
        <v>4612.07</v>
      </c>
      <c r="F1183" s="3">
        <f t="shared" si="36"/>
        <v>1165.4700890000001</v>
      </c>
      <c r="G1183" s="3">
        <f t="shared" si="37"/>
        <v>5777.5400890000001</v>
      </c>
    </row>
    <row r="1184" spans="1:7" x14ac:dyDescent="0.3">
      <c r="A1184" t="s">
        <v>13039</v>
      </c>
      <c r="B1184" t="s">
        <v>2392</v>
      </c>
      <c r="C1184" t="s">
        <v>2393</v>
      </c>
      <c r="D1184" s="1" t="s">
        <v>38</v>
      </c>
      <c r="E1184" s="3">
        <v>3478.62</v>
      </c>
      <c r="F1184" s="3">
        <f t="shared" si="36"/>
        <v>879.04727400000013</v>
      </c>
      <c r="G1184" s="3">
        <f t="shared" si="37"/>
        <v>4357.6672740000004</v>
      </c>
    </row>
    <row r="1185" spans="1:7" x14ac:dyDescent="0.3">
      <c r="A1185" t="s">
        <v>13039</v>
      </c>
      <c r="B1185" t="s">
        <v>2394</v>
      </c>
      <c r="C1185" t="s">
        <v>2395</v>
      </c>
      <c r="D1185" s="1" t="s">
        <v>38</v>
      </c>
      <c r="E1185" s="3">
        <v>5146.13</v>
      </c>
      <c r="F1185" s="3">
        <f t="shared" si="36"/>
        <v>1300.4270510000001</v>
      </c>
      <c r="G1185" s="3">
        <f t="shared" si="37"/>
        <v>6446.5570509999998</v>
      </c>
    </row>
    <row r="1186" spans="1:7" x14ac:dyDescent="0.3">
      <c r="A1186" t="s">
        <v>13039</v>
      </c>
      <c r="B1186" t="s">
        <v>2396</v>
      </c>
      <c r="C1186" t="s">
        <v>2397</v>
      </c>
      <c r="D1186" s="1" t="s">
        <v>38</v>
      </c>
      <c r="E1186" s="3">
        <v>2810.96</v>
      </c>
      <c r="F1186" s="3">
        <f t="shared" si="36"/>
        <v>710.32959200000016</v>
      </c>
      <c r="G1186" s="3">
        <f t="shared" si="37"/>
        <v>3521.2895920000001</v>
      </c>
    </row>
    <row r="1187" spans="1:7" x14ac:dyDescent="0.3">
      <c r="A1187" t="s">
        <v>13039</v>
      </c>
      <c r="B1187" t="s">
        <v>2398</v>
      </c>
      <c r="C1187" t="s">
        <v>2399</v>
      </c>
      <c r="D1187" s="1" t="s">
        <v>38</v>
      </c>
      <c r="E1187" s="3">
        <v>3985.24</v>
      </c>
      <c r="F1187" s="3">
        <f t="shared" si="36"/>
        <v>1007.0701480000001</v>
      </c>
      <c r="G1187" s="3">
        <f t="shared" si="37"/>
        <v>4992.3101479999996</v>
      </c>
    </row>
    <row r="1188" spans="1:7" x14ac:dyDescent="0.3">
      <c r="A1188" t="s">
        <v>13039</v>
      </c>
      <c r="B1188" t="s">
        <v>2400</v>
      </c>
      <c r="C1188" t="s">
        <v>2401</v>
      </c>
      <c r="D1188" s="1" t="s">
        <v>38</v>
      </c>
      <c r="E1188" s="3">
        <v>2145.17</v>
      </c>
      <c r="F1188" s="3">
        <f t="shared" si="36"/>
        <v>542.08445900000015</v>
      </c>
      <c r="G1188" s="3">
        <f t="shared" si="37"/>
        <v>2687.2544590000002</v>
      </c>
    </row>
    <row r="1189" spans="1:7" x14ac:dyDescent="0.3">
      <c r="A1189" t="s">
        <v>13039</v>
      </c>
      <c r="B1189" t="s">
        <v>2402</v>
      </c>
      <c r="C1189" t="s">
        <v>2403</v>
      </c>
      <c r="D1189" s="1" t="s">
        <v>38</v>
      </c>
      <c r="E1189" s="3">
        <v>2830.3</v>
      </c>
      <c r="F1189" s="3">
        <f t="shared" si="36"/>
        <v>715.21681000000012</v>
      </c>
      <c r="G1189" s="3">
        <f t="shared" si="37"/>
        <v>3545.5168100000001</v>
      </c>
    </row>
    <row r="1190" spans="1:7" x14ac:dyDescent="0.3">
      <c r="A1190" t="s">
        <v>13039</v>
      </c>
      <c r="B1190" t="s">
        <v>2404</v>
      </c>
      <c r="C1190" t="s">
        <v>2405</v>
      </c>
      <c r="D1190" s="1" t="s">
        <v>38</v>
      </c>
      <c r="E1190" s="3">
        <v>2162.42</v>
      </c>
      <c r="F1190" s="3">
        <f t="shared" si="36"/>
        <v>546.44353400000011</v>
      </c>
      <c r="G1190" s="3">
        <f t="shared" si="37"/>
        <v>2708.8635340000001</v>
      </c>
    </row>
    <row r="1191" spans="1:7" x14ac:dyDescent="0.3">
      <c r="A1191" t="s">
        <v>13039</v>
      </c>
      <c r="B1191" t="s">
        <v>2406</v>
      </c>
      <c r="C1191" t="s">
        <v>2407</v>
      </c>
      <c r="D1191" s="1" t="s">
        <v>38</v>
      </c>
      <c r="E1191" s="3">
        <v>5370.54</v>
      </c>
      <c r="F1191" s="3">
        <f t="shared" si="36"/>
        <v>1357.1354580000002</v>
      </c>
      <c r="G1191" s="3">
        <f t="shared" si="37"/>
        <v>6727.6754579999997</v>
      </c>
    </row>
    <row r="1192" spans="1:7" x14ac:dyDescent="0.3">
      <c r="A1192" t="s">
        <v>13039</v>
      </c>
      <c r="B1192" t="s">
        <v>2408</v>
      </c>
      <c r="C1192" t="s">
        <v>2409</v>
      </c>
      <c r="D1192" s="1" t="s">
        <v>38</v>
      </c>
      <c r="E1192" s="3">
        <v>2856.09</v>
      </c>
      <c r="F1192" s="3">
        <f t="shared" si="36"/>
        <v>721.73394300000018</v>
      </c>
      <c r="G1192" s="3">
        <f t="shared" si="37"/>
        <v>3577.8239430000003</v>
      </c>
    </row>
    <row r="1193" spans="1:7" x14ac:dyDescent="0.3">
      <c r="A1193" t="s">
        <v>13039</v>
      </c>
      <c r="B1193" t="s">
        <v>2410</v>
      </c>
      <c r="C1193" t="s">
        <v>2411</v>
      </c>
      <c r="D1193" s="1" t="s">
        <v>38</v>
      </c>
      <c r="E1193" s="3">
        <v>4157.7700000000004</v>
      </c>
      <c r="F1193" s="3">
        <f t="shared" si="36"/>
        <v>1050.6684790000002</v>
      </c>
      <c r="G1193" s="3">
        <f t="shared" si="37"/>
        <v>5208.4384790000004</v>
      </c>
    </row>
    <row r="1194" spans="1:7" x14ac:dyDescent="0.3">
      <c r="A1194" t="s">
        <v>13039</v>
      </c>
      <c r="B1194" t="s">
        <v>2412</v>
      </c>
      <c r="C1194" t="s">
        <v>2413</v>
      </c>
      <c r="D1194" s="1" t="s">
        <v>38</v>
      </c>
      <c r="E1194" s="3">
        <v>2185.42</v>
      </c>
      <c r="F1194" s="3">
        <f t="shared" si="36"/>
        <v>552.2556340000001</v>
      </c>
      <c r="G1194" s="3">
        <f t="shared" si="37"/>
        <v>2737.6756340000002</v>
      </c>
    </row>
    <row r="1195" spans="1:7" x14ac:dyDescent="0.3">
      <c r="A1195" t="s">
        <v>13039</v>
      </c>
      <c r="B1195" t="s">
        <v>2414</v>
      </c>
      <c r="C1195" t="s">
        <v>2415</v>
      </c>
      <c r="D1195" s="1" t="s">
        <v>38</v>
      </c>
      <c r="E1195" s="3">
        <v>2893.37</v>
      </c>
      <c r="F1195" s="3">
        <f t="shared" si="36"/>
        <v>731.15459900000008</v>
      </c>
      <c r="G1195" s="3">
        <f t="shared" si="37"/>
        <v>3624.5245989999999</v>
      </c>
    </row>
    <row r="1196" spans="1:7" x14ac:dyDescent="0.3">
      <c r="A1196" t="s">
        <v>13039</v>
      </c>
      <c r="B1196" t="s">
        <v>2416</v>
      </c>
      <c r="C1196" t="s">
        <v>2417</v>
      </c>
      <c r="D1196" s="1" t="s">
        <v>38</v>
      </c>
      <c r="E1196" s="3">
        <v>2219.02</v>
      </c>
      <c r="F1196" s="3">
        <f t="shared" si="36"/>
        <v>560.74635400000011</v>
      </c>
      <c r="G1196" s="3">
        <f t="shared" si="37"/>
        <v>2779.7663540000003</v>
      </c>
    </row>
    <row r="1197" spans="1:7" x14ac:dyDescent="0.3">
      <c r="A1197" t="s">
        <v>13039</v>
      </c>
      <c r="B1197" t="s">
        <v>2418</v>
      </c>
      <c r="C1197" t="s">
        <v>2419</v>
      </c>
      <c r="D1197" s="1" t="s">
        <v>38</v>
      </c>
      <c r="E1197" s="3">
        <v>2944.59</v>
      </c>
      <c r="F1197" s="3">
        <f t="shared" si="36"/>
        <v>744.09789300000011</v>
      </c>
      <c r="G1197" s="3">
        <f t="shared" si="37"/>
        <v>3688.6878930000003</v>
      </c>
    </row>
    <row r="1198" spans="1:7" x14ac:dyDescent="0.3">
      <c r="A1198" t="s">
        <v>13039</v>
      </c>
      <c r="B1198" t="s">
        <v>2420</v>
      </c>
      <c r="C1198" t="s">
        <v>2421</v>
      </c>
      <c r="D1198" s="1" t="s">
        <v>38</v>
      </c>
      <c r="E1198" s="3">
        <v>2265.35</v>
      </c>
      <c r="F1198" s="3">
        <f t="shared" si="36"/>
        <v>572.45394500000009</v>
      </c>
      <c r="G1198" s="3">
        <f t="shared" si="37"/>
        <v>2837.8039450000001</v>
      </c>
    </row>
    <row r="1199" spans="1:7" x14ac:dyDescent="0.3">
      <c r="A1199" t="s">
        <v>13039</v>
      </c>
      <c r="B1199" t="s">
        <v>2422</v>
      </c>
      <c r="C1199" t="s">
        <v>2423</v>
      </c>
      <c r="D1199" s="1" t="s">
        <v>38</v>
      </c>
      <c r="E1199" s="3">
        <v>5993.95</v>
      </c>
      <c r="F1199" s="3">
        <f t="shared" si="36"/>
        <v>1514.6711650000002</v>
      </c>
      <c r="G1199" s="3">
        <f t="shared" si="37"/>
        <v>7508.6211650000005</v>
      </c>
    </row>
    <row r="1200" spans="1:7" x14ac:dyDescent="0.3">
      <c r="A1200" t="s">
        <v>13039</v>
      </c>
      <c r="B1200" t="s">
        <v>2424</v>
      </c>
      <c r="C1200" t="s">
        <v>2425</v>
      </c>
      <c r="D1200" s="1" t="s">
        <v>38</v>
      </c>
      <c r="E1200" s="3">
        <v>3012.61</v>
      </c>
      <c r="F1200" s="3">
        <f t="shared" si="36"/>
        <v>761.28654700000016</v>
      </c>
      <c r="G1200" s="3">
        <f t="shared" si="37"/>
        <v>3773.8965470000003</v>
      </c>
    </row>
    <row r="1201" spans="1:7" x14ac:dyDescent="0.3">
      <c r="A1201" t="s">
        <v>13039</v>
      </c>
      <c r="B1201" t="s">
        <v>2426</v>
      </c>
      <c r="C1201" t="s">
        <v>2427</v>
      </c>
      <c r="D1201" s="1" t="s">
        <v>38</v>
      </c>
      <c r="E1201" s="3">
        <v>4637.2299999999996</v>
      </c>
      <c r="F1201" s="3">
        <f t="shared" si="36"/>
        <v>1171.828021</v>
      </c>
      <c r="G1201" s="3">
        <f t="shared" si="37"/>
        <v>5809.0580209999998</v>
      </c>
    </row>
    <row r="1202" spans="1:7" x14ac:dyDescent="0.3">
      <c r="A1202" t="s">
        <v>13039</v>
      </c>
      <c r="B1202" t="s">
        <v>2428</v>
      </c>
      <c r="C1202" t="s">
        <v>2429</v>
      </c>
      <c r="D1202" s="1" t="s">
        <v>38</v>
      </c>
      <c r="E1202" s="3">
        <v>2327.61</v>
      </c>
      <c r="F1202" s="3">
        <f t="shared" si="36"/>
        <v>588.18704700000012</v>
      </c>
      <c r="G1202" s="3">
        <f t="shared" si="37"/>
        <v>2915.797047</v>
      </c>
    </row>
    <row r="1203" spans="1:7" x14ac:dyDescent="0.3">
      <c r="A1203" t="s">
        <v>13039</v>
      </c>
      <c r="B1203" t="s">
        <v>2430</v>
      </c>
      <c r="C1203" t="s">
        <v>2431</v>
      </c>
      <c r="D1203" s="1" t="s">
        <v>38</v>
      </c>
      <c r="E1203" s="3">
        <v>3100.48</v>
      </c>
      <c r="F1203" s="3">
        <f t="shared" si="36"/>
        <v>783.49129600000015</v>
      </c>
      <c r="G1203" s="3">
        <f t="shared" si="37"/>
        <v>3883.9712960000002</v>
      </c>
    </row>
    <row r="1204" spans="1:7" x14ac:dyDescent="0.3">
      <c r="A1204" t="s">
        <v>13039</v>
      </c>
      <c r="B1204" t="s">
        <v>2432</v>
      </c>
      <c r="C1204" t="s">
        <v>2433</v>
      </c>
      <c r="D1204" s="1" t="s">
        <v>38</v>
      </c>
      <c r="E1204" s="3">
        <v>2408.84</v>
      </c>
      <c r="F1204" s="3">
        <f t="shared" si="36"/>
        <v>608.71386800000016</v>
      </c>
      <c r="G1204" s="3">
        <f t="shared" si="37"/>
        <v>3017.5538680000004</v>
      </c>
    </row>
    <row r="1205" spans="1:7" x14ac:dyDescent="0.3">
      <c r="A1205" t="s">
        <v>13039</v>
      </c>
      <c r="B1205" t="s">
        <v>2434</v>
      </c>
      <c r="C1205" t="s">
        <v>2435</v>
      </c>
      <c r="D1205" s="1" t="s">
        <v>38</v>
      </c>
      <c r="E1205" s="3">
        <v>3217.79</v>
      </c>
      <c r="F1205" s="3">
        <f t="shared" si="36"/>
        <v>813.13553300000012</v>
      </c>
      <c r="G1205" s="3">
        <f t="shared" si="37"/>
        <v>4030.9255330000001</v>
      </c>
    </row>
    <row r="1206" spans="1:7" x14ac:dyDescent="0.3">
      <c r="A1206" t="s">
        <v>13039</v>
      </c>
      <c r="B1206" t="s">
        <v>2436</v>
      </c>
      <c r="C1206" t="s">
        <v>2437</v>
      </c>
      <c r="D1206" s="1" t="s">
        <v>38</v>
      </c>
      <c r="E1206" s="3">
        <v>2518.4699999999998</v>
      </c>
      <c r="F1206" s="3">
        <f t="shared" si="36"/>
        <v>636.41736900000001</v>
      </c>
      <c r="G1206" s="3">
        <f t="shared" si="37"/>
        <v>3154.887369</v>
      </c>
    </row>
    <row r="1207" spans="1:7" x14ac:dyDescent="0.3">
      <c r="A1207" t="s">
        <v>13039</v>
      </c>
      <c r="B1207" t="s">
        <v>2438</v>
      </c>
      <c r="C1207" t="s">
        <v>2439</v>
      </c>
      <c r="D1207" s="1" t="s">
        <v>38</v>
      </c>
      <c r="E1207" s="3">
        <v>7416.56</v>
      </c>
      <c r="F1207" s="3">
        <f t="shared" si="36"/>
        <v>1874.1647120000005</v>
      </c>
      <c r="G1207" s="3">
        <f t="shared" si="37"/>
        <v>9290.7247120000011</v>
      </c>
    </row>
    <row r="1208" spans="1:7" x14ac:dyDescent="0.3">
      <c r="A1208" t="s">
        <v>13039</v>
      </c>
      <c r="B1208" t="s">
        <v>2440</v>
      </c>
      <c r="C1208" t="s">
        <v>2441</v>
      </c>
      <c r="D1208" s="1" t="s">
        <v>38</v>
      </c>
      <c r="E1208" s="3">
        <v>3372.73</v>
      </c>
      <c r="F1208" s="3">
        <f t="shared" si="36"/>
        <v>852.28887100000009</v>
      </c>
      <c r="G1208" s="3">
        <f t="shared" si="37"/>
        <v>4225.0188710000002</v>
      </c>
    </row>
    <row r="1209" spans="1:7" x14ac:dyDescent="0.3">
      <c r="A1209" t="s">
        <v>13039</v>
      </c>
      <c r="B1209" t="s">
        <v>2442</v>
      </c>
      <c r="C1209" t="s">
        <v>2443</v>
      </c>
      <c r="D1209" s="1" t="s">
        <v>38</v>
      </c>
      <c r="E1209" s="3">
        <v>5730.19</v>
      </c>
      <c r="F1209" s="3">
        <f t="shared" si="36"/>
        <v>1448.0190130000001</v>
      </c>
      <c r="G1209" s="3">
        <f t="shared" si="37"/>
        <v>7178.2090129999997</v>
      </c>
    </row>
    <row r="1210" spans="1:7" x14ac:dyDescent="0.3">
      <c r="A1210" t="s">
        <v>13039</v>
      </c>
      <c r="B1210" t="s">
        <v>2444</v>
      </c>
      <c r="C1210" t="s">
        <v>2445</v>
      </c>
      <c r="D1210" s="1" t="s">
        <v>38</v>
      </c>
      <c r="E1210" s="3">
        <v>2665.02</v>
      </c>
      <c r="F1210" s="3">
        <f t="shared" si="36"/>
        <v>673.45055400000012</v>
      </c>
      <c r="G1210" s="3">
        <f t="shared" si="37"/>
        <v>3338.470554</v>
      </c>
    </row>
    <row r="1211" spans="1:7" x14ac:dyDescent="0.3">
      <c r="A1211" t="s">
        <v>13039</v>
      </c>
      <c r="B1211" t="s">
        <v>2446</v>
      </c>
      <c r="C1211" t="s">
        <v>2447</v>
      </c>
      <c r="D1211" s="1" t="s">
        <v>38</v>
      </c>
      <c r="E1211" s="3">
        <v>2815.41</v>
      </c>
      <c r="F1211" s="3">
        <f t="shared" si="36"/>
        <v>711.45410700000002</v>
      </c>
      <c r="G1211" s="3">
        <f t="shared" si="37"/>
        <v>3526.8641069999999</v>
      </c>
    </row>
    <row r="1212" spans="1:7" x14ac:dyDescent="0.3">
      <c r="A1212" t="s">
        <v>13039</v>
      </c>
      <c r="B1212" t="s">
        <v>2448</v>
      </c>
      <c r="C1212" t="s">
        <v>2449</v>
      </c>
      <c r="D1212" s="1" t="s">
        <v>38</v>
      </c>
      <c r="E1212" s="3">
        <v>2149.11</v>
      </c>
      <c r="F1212" s="3">
        <f t="shared" si="36"/>
        <v>543.08009700000014</v>
      </c>
      <c r="G1212" s="3">
        <f t="shared" si="37"/>
        <v>2692.1900970000002</v>
      </c>
    </row>
    <row r="1213" spans="1:7" x14ac:dyDescent="0.3">
      <c r="A1213" t="s">
        <v>13039</v>
      </c>
      <c r="B1213" t="s">
        <v>2450</v>
      </c>
      <c r="C1213" t="s">
        <v>2451</v>
      </c>
      <c r="D1213" s="1" t="s">
        <v>38</v>
      </c>
      <c r="E1213" s="3">
        <v>7491.66</v>
      </c>
      <c r="F1213" s="3">
        <f t="shared" si="36"/>
        <v>1893.1424820000002</v>
      </c>
      <c r="G1213" s="3">
        <f t="shared" si="37"/>
        <v>9384.8024819999991</v>
      </c>
    </row>
    <row r="1214" spans="1:7" x14ac:dyDescent="0.3">
      <c r="A1214" t="s">
        <v>13039</v>
      </c>
      <c r="B1214" t="s">
        <v>2452</v>
      </c>
      <c r="C1214" t="s">
        <v>2453</v>
      </c>
      <c r="D1214" s="1" t="s">
        <v>38</v>
      </c>
      <c r="E1214" s="3">
        <v>3858.22</v>
      </c>
      <c r="F1214" s="3">
        <f t="shared" si="36"/>
        <v>974.97219400000006</v>
      </c>
      <c r="G1214" s="3">
        <f t="shared" si="37"/>
        <v>4833.1921940000002</v>
      </c>
    </row>
    <row r="1215" spans="1:7" x14ac:dyDescent="0.3">
      <c r="A1215" t="s">
        <v>13039</v>
      </c>
      <c r="B1215" t="s">
        <v>2454</v>
      </c>
      <c r="C1215" t="s">
        <v>2455</v>
      </c>
      <c r="D1215" s="1" t="s">
        <v>38</v>
      </c>
      <c r="E1215" s="3">
        <v>5697.14</v>
      </c>
      <c r="F1215" s="3">
        <f t="shared" si="36"/>
        <v>1439.6672780000004</v>
      </c>
      <c r="G1215" s="3">
        <f t="shared" si="37"/>
        <v>7136.8072780000002</v>
      </c>
    </row>
    <row r="1216" spans="1:7" x14ac:dyDescent="0.3">
      <c r="A1216" t="s">
        <v>13039</v>
      </c>
      <c r="B1216" t="s">
        <v>2456</v>
      </c>
      <c r="C1216" t="s">
        <v>2457</v>
      </c>
      <c r="D1216" s="1" t="s">
        <v>38</v>
      </c>
      <c r="E1216" s="3">
        <v>2897.9</v>
      </c>
      <c r="F1216" s="3">
        <f t="shared" si="36"/>
        <v>732.29933000000017</v>
      </c>
      <c r="G1216" s="3">
        <f t="shared" si="37"/>
        <v>3630.1993300000004</v>
      </c>
    </row>
    <row r="1217" spans="1:7" x14ac:dyDescent="0.3">
      <c r="A1217" t="s">
        <v>13039</v>
      </c>
      <c r="B1217" t="s">
        <v>2458</v>
      </c>
      <c r="C1217" t="s">
        <v>2459</v>
      </c>
      <c r="D1217" s="1" t="s">
        <v>38</v>
      </c>
      <c r="E1217" s="3">
        <v>3887.79</v>
      </c>
      <c r="F1217" s="3">
        <f t="shared" si="36"/>
        <v>982.44453300000009</v>
      </c>
      <c r="G1217" s="3">
        <f t="shared" si="37"/>
        <v>4870.2345329999998</v>
      </c>
    </row>
    <row r="1218" spans="1:7" x14ac:dyDescent="0.3">
      <c r="A1218" t="s">
        <v>13039</v>
      </c>
      <c r="B1218" t="s">
        <v>2460</v>
      </c>
      <c r="C1218" t="s">
        <v>2461</v>
      </c>
      <c r="D1218" s="1" t="s">
        <v>38</v>
      </c>
      <c r="E1218" s="3">
        <v>2923.27</v>
      </c>
      <c r="F1218" s="3">
        <f t="shared" si="36"/>
        <v>738.71032900000012</v>
      </c>
      <c r="G1218" s="3">
        <f t="shared" si="37"/>
        <v>3661.980329</v>
      </c>
    </row>
    <row r="1219" spans="1:7" x14ac:dyDescent="0.3">
      <c r="A1219" t="s">
        <v>13039</v>
      </c>
      <c r="B1219" t="s">
        <v>2462</v>
      </c>
      <c r="C1219" t="s">
        <v>2463</v>
      </c>
      <c r="D1219" s="1" t="s">
        <v>38</v>
      </c>
      <c r="E1219" s="3">
        <v>7836.06</v>
      </c>
      <c r="F1219" s="3">
        <f t="shared" si="36"/>
        <v>1980.1723620000005</v>
      </c>
      <c r="G1219" s="3">
        <f t="shared" si="37"/>
        <v>9816.2323620000006</v>
      </c>
    </row>
    <row r="1220" spans="1:7" x14ac:dyDescent="0.3">
      <c r="A1220" t="s">
        <v>13039</v>
      </c>
      <c r="B1220" t="s">
        <v>2464</v>
      </c>
      <c r="C1220" t="s">
        <v>2465</v>
      </c>
      <c r="D1220" s="1" t="s">
        <v>38</v>
      </c>
      <c r="E1220" s="3">
        <v>3925.5</v>
      </c>
      <c r="F1220" s="3">
        <f t="shared" si="36"/>
        <v>991.97385000000008</v>
      </c>
      <c r="G1220" s="3">
        <f t="shared" si="37"/>
        <v>4917.4738500000003</v>
      </c>
    </row>
    <row r="1221" spans="1:7" x14ac:dyDescent="0.3">
      <c r="A1221" t="s">
        <v>13039</v>
      </c>
      <c r="B1221" t="s">
        <v>2466</v>
      </c>
      <c r="C1221" t="s">
        <v>2467</v>
      </c>
      <c r="D1221" s="1" t="s">
        <v>38</v>
      </c>
      <c r="E1221" s="3">
        <v>5956.46</v>
      </c>
      <c r="F1221" s="3">
        <f t="shared" si="36"/>
        <v>1505.1974420000001</v>
      </c>
      <c r="G1221" s="3">
        <f t="shared" si="37"/>
        <v>7461.6574419999997</v>
      </c>
    </row>
    <row r="1222" spans="1:7" x14ac:dyDescent="0.3">
      <c r="A1222" t="s">
        <v>13039</v>
      </c>
      <c r="B1222" t="s">
        <v>2468</v>
      </c>
      <c r="C1222" t="s">
        <v>2469</v>
      </c>
      <c r="D1222" s="1" t="s">
        <v>38</v>
      </c>
      <c r="E1222" s="3">
        <v>2955.74</v>
      </c>
      <c r="F1222" s="3">
        <f t="shared" si="36"/>
        <v>746.91549800000007</v>
      </c>
      <c r="G1222" s="3">
        <f t="shared" si="37"/>
        <v>3702.6554980000001</v>
      </c>
    </row>
    <row r="1223" spans="1:7" x14ac:dyDescent="0.3">
      <c r="A1223" t="s">
        <v>13039</v>
      </c>
      <c r="B1223" t="s">
        <v>2470</v>
      </c>
      <c r="C1223" t="s">
        <v>2471</v>
      </c>
      <c r="D1223" s="1" t="s">
        <v>38</v>
      </c>
      <c r="E1223" s="3">
        <v>3980.57</v>
      </c>
      <c r="F1223" s="3">
        <f t="shared" ref="F1223:F1286" si="38">+E1223*$F$4</f>
        <v>1005.8900390000002</v>
      </c>
      <c r="G1223" s="3">
        <f t="shared" ref="G1223:G1286" si="39">+E1223+F1223</f>
        <v>4986.4600390000005</v>
      </c>
    </row>
    <row r="1224" spans="1:7" x14ac:dyDescent="0.3">
      <c r="A1224" t="s">
        <v>13039</v>
      </c>
      <c r="B1224" t="s">
        <v>2472</v>
      </c>
      <c r="C1224" t="s">
        <v>2473</v>
      </c>
      <c r="D1224" s="1" t="s">
        <v>38</v>
      </c>
      <c r="E1224" s="3">
        <v>3003.65</v>
      </c>
      <c r="F1224" s="3">
        <f t="shared" si="38"/>
        <v>759.02235500000018</v>
      </c>
      <c r="G1224" s="3">
        <f t="shared" si="39"/>
        <v>3762.6723550000002</v>
      </c>
    </row>
    <row r="1225" spans="1:7" x14ac:dyDescent="0.3">
      <c r="A1225" t="s">
        <v>13039</v>
      </c>
      <c r="B1225" t="s">
        <v>2474</v>
      </c>
      <c r="C1225" t="s">
        <v>2475</v>
      </c>
      <c r="D1225" s="1" t="s">
        <v>38</v>
      </c>
      <c r="E1225" s="3">
        <v>4055.74</v>
      </c>
      <c r="F1225" s="3">
        <f t="shared" si="38"/>
        <v>1024.8854980000001</v>
      </c>
      <c r="G1225" s="3">
        <f t="shared" si="39"/>
        <v>5080.6254979999994</v>
      </c>
    </row>
    <row r="1226" spans="1:7" x14ac:dyDescent="0.3">
      <c r="A1226" t="s">
        <v>13039</v>
      </c>
      <c r="B1226" t="s">
        <v>2476</v>
      </c>
      <c r="C1226" t="s">
        <v>2477</v>
      </c>
      <c r="D1226" s="1" t="s">
        <v>38</v>
      </c>
      <c r="E1226" s="3">
        <v>3069.56</v>
      </c>
      <c r="F1226" s="3">
        <f t="shared" si="38"/>
        <v>775.67781200000013</v>
      </c>
      <c r="G1226" s="3">
        <f t="shared" si="39"/>
        <v>3845.2378120000003</v>
      </c>
    </row>
    <row r="1227" spans="1:7" x14ac:dyDescent="0.3">
      <c r="A1227" t="s">
        <v>13039</v>
      </c>
      <c r="B1227" t="s">
        <v>2478</v>
      </c>
      <c r="C1227" t="s">
        <v>2479</v>
      </c>
      <c r="D1227" s="1" t="s">
        <v>38</v>
      </c>
      <c r="E1227" s="3">
        <v>8737.56</v>
      </c>
      <c r="F1227" s="3">
        <f t="shared" si="38"/>
        <v>2207.9814120000001</v>
      </c>
      <c r="G1227" s="3">
        <f t="shared" si="39"/>
        <v>10945.541411999999</v>
      </c>
    </row>
    <row r="1228" spans="1:7" x14ac:dyDescent="0.3">
      <c r="A1228" t="s">
        <v>13039</v>
      </c>
      <c r="B1228" t="s">
        <v>2480</v>
      </c>
      <c r="C1228" t="s">
        <v>2481</v>
      </c>
      <c r="D1228" s="1" t="s">
        <v>38</v>
      </c>
      <c r="E1228" s="3">
        <v>4154.3500000000004</v>
      </c>
      <c r="F1228" s="3">
        <f t="shared" si="38"/>
        <v>1049.8042450000003</v>
      </c>
      <c r="G1228" s="3">
        <f t="shared" si="39"/>
        <v>5204.1542450000006</v>
      </c>
    </row>
    <row r="1229" spans="1:7" x14ac:dyDescent="0.3">
      <c r="A1229" t="s">
        <v>13039</v>
      </c>
      <c r="B1229" t="s">
        <v>2482</v>
      </c>
      <c r="C1229" t="s">
        <v>2483</v>
      </c>
      <c r="D1229" s="1" t="s">
        <v>38</v>
      </c>
      <c r="E1229" s="3">
        <v>6634.34</v>
      </c>
      <c r="F1229" s="3">
        <f t="shared" si="38"/>
        <v>1676.4977180000003</v>
      </c>
      <c r="G1229" s="3">
        <f t="shared" si="39"/>
        <v>8310.8377180000007</v>
      </c>
    </row>
    <row r="1230" spans="1:7" x14ac:dyDescent="0.3">
      <c r="A1230" t="s">
        <v>13039</v>
      </c>
      <c r="B1230" t="s">
        <v>2484</v>
      </c>
      <c r="C1230" t="s">
        <v>2485</v>
      </c>
      <c r="D1230" s="1" t="s">
        <v>38</v>
      </c>
      <c r="E1230" s="3">
        <v>3156.98</v>
      </c>
      <c r="F1230" s="3">
        <f t="shared" si="38"/>
        <v>797.76884600000017</v>
      </c>
      <c r="G1230" s="3">
        <f t="shared" si="39"/>
        <v>3954.7488460000004</v>
      </c>
    </row>
    <row r="1231" spans="1:7" x14ac:dyDescent="0.3">
      <c r="A1231" t="s">
        <v>13039</v>
      </c>
      <c r="B1231" t="s">
        <v>2486</v>
      </c>
      <c r="C1231" t="s">
        <v>2487</v>
      </c>
      <c r="D1231" s="1" t="s">
        <v>38</v>
      </c>
      <c r="E1231" s="3">
        <v>4281.24</v>
      </c>
      <c r="F1231" s="3">
        <f t="shared" si="38"/>
        <v>1081.8693480000002</v>
      </c>
      <c r="G1231" s="3">
        <f t="shared" si="39"/>
        <v>5363.109348</v>
      </c>
    </row>
    <row r="1232" spans="1:7" x14ac:dyDescent="0.3">
      <c r="A1232" t="s">
        <v>13039</v>
      </c>
      <c r="B1232" t="s">
        <v>2488</v>
      </c>
      <c r="C1232" t="s">
        <v>2489</v>
      </c>
      <c r="D1232" s="1" t="s">
        <v>38</v>
      </c>
      <c r="E1232" s="3">
        <v>3270.95</v>
      </c>
      <c r="F1232" s="3">
        <f t="shared" si="38"/>
        <v>826.56906500000002</v>
      </c>
      <c r="G1232" s="3">
        <f t="shared" si="39"/>
        <v>4097.5190649999995</v>
      </c>
    </row>
    <row r="1233" spans="1:7" x14ac:dyDescent="0.3">
      <c r="A1233" t="s">
        <v>13039</v>
      </c>
      <c r="B1233" t="s">
        <v>2490</v>
      </c>
      <c r="C1233" t="s">
        <v>2491</v>
      </c>
      <c r="D1233" s="1" t="s">
        <v>38</v>
      </c>
      <c r="E1233" s="3">
        <v>4447.83</v>
      </c>
      <c r="F1233" s="3">
        <f t="shared" si="38"/>
        <v>1123.9666410000002</v>
      </c>
      <c r="G1233" s="3">
        <f t="shared" si="39"/>
        <v>5571.7966409999999</v>
      </c>
    </row>
    <row r="1234" spans="1:7" x14ac:dyDescent="0.3">
      <c r="A1234" t="s">
        <v>13039</v>
      </c>
      <c r="B1234" t="s">
        <v>2492</v>
      </c>
      <c r="C1234" t="s">
        <v>2493</v>
      </c>
      <c r="D1234" s="1" t="s">
        <v>38</v>
      </c>
      <c r="E1234" s="3">
        <v>3422.86</v>
      </c>
      <c r="F1234" s="3">
        <f t="shared" si="38"/>
        <v>864.95672200000013</v>
      </c>
      <c r="G1234" s="3">
        <f t="shared" si="39"/>
        <v>4287.8167220000005</v>
      </c>
    </row>
    <row r="1235" spans="1:7" x14ac:dyDescent="0.3">
      <c r="A1235" t="s">
        <v>13039</v>
      </c>
      <c r="B1235" t="s">
        <v>2494</v>
      </c>
      <c r="C1235" t="s">
        <v>2495</v>
      </c>
      <c r="D1235" s="1" t="s">
        <v>38</v>
      </c>
      <c r="E1235" s="3">
        <v>10818.9</v>
      </c>
      <c r="F1235" s="3">
        <f t="shared" si="38"/>
        <v>2733.9360300000003</v>
      </c>
      <c r="G1235" s="3">
        <f t="shared" si="39"/>
        <v>13552.83603</v>
      </c>
    </row>
    <row r="1236" spans="1:7" x14ac:dyDescent="0.3">
      <c r="A1236" t="s">
        <v>13039</v>
      </c>
      <c r="B1236" t="s">
        <v>2496</v>
      </c>
      <c r="C1236" t="s">
        <v>2497</v>
      </c>
      <c r="D1236" s="1" t="s">
        <v>38</v>
      </c>
      <c r="E1236" s="3">
        <v>4667.03</v>
      </c>
      <c r="F1236" s="3">
        <f t="shared" si="38"/>
        <v>1179.3584810000002</v>
      </c>
      <c r="G1236" s="3">
        <f t="shared" si="39"/>
        <v>5846.388481</v>
      </c>
    </row>
    <row r="1237" spans="1:7" x14ac:dyDescent="0.3">
      <c r="A1237" t="s">
        <v>13039</v>
      </c>
      <c r="B1237" t="s">
        <v>2498</v>
      </c>
      <c r="C1237" t="s">
        <v>2499</v>
      </c>
      <c r="D1237" s="1" t="s">
        <v>38</v>
      </c>
      <c r="E1237" s="3">
        <v>8201.3700000000008</v>
      </c>
      <c r="F1237" s="3">
        <f t="shared" si="38"/>
        <v>2072.4861990000004</v>
      </c>
      <c r="G1237" s="3">
        <f t="shared" si="39"/>
        <v>10273.856199000002</v>
      </c>
    </row>
    <row r="1238" spans="1:7" x14ac:dyDescent="0.3">
      <c r="A1238" t="s">
        <v>13039</v>
      </c>
      <c r="B1238" t="s">
        <v>2500</v>
      </c>
      <c r="C1238" t="s">
        <v>2501</v>
      </c>
      <c r="D1238" s="1" t="s">
        <v>38</v>
      </c>
      <c r="E1238" s="3">
        <v>3625.64</v>
      </c>
      <c r="F1238" s="3">
        <f t="shared" si="38"/>
        <v>916.19922800000006</v>
      </c>
      <c r="G1238" s="3">
        <f t="shared" si="39"/>
        <v>4541.8392279999998</v>
      </c>
    </row>
    <row r="1239" spans="1:7" x14ac:dyDescent="0.3">
      <c r="A1239" t="s">
        <v>13039</v>
      </c>
      <c r="B1239" t="s">
        <v>2502</v>
      </c>
      <c r="C1239" t="s">
        <v>2503</v>
      </c>
      <c r="D1239" s="1" t="s">
        <v>38</v>
      </c>
      <c r="E1239" s="3">
        <v>3865.61</v>
      </c>
      <c r="F1239" s="3">
        <f t="shared" si="38"/>
        <v>976.83964700000013</v>
      </c>
      <c r="G1239" s="3">
        <f t="shared" si="39"/>
        <v>4842.4496470000004</v>
      </c>
    </row>
    <row r="1240" spans="1:7" x14ac:dyDescent="0.3">
      <c r="A1240" t="s">
        <v>13039</v>
      </c>
      <c r="B1240" t="s">
        <v>2504</v>
      </c>
      <c r="C1240" t="s">
        <v>2505</v>
      </c>
      <c r="D1240" s="1" t="s">
        <v>38</v>
      </c>
      <c r="E1240" s="3">
        <v>2904.24</v>
      </c>
      <c r="F1240" s="3">
        <f t="shared" si="38"/>
        <v>733.90144800000007</v>
      </c>
      <c r="G1240" s="3">
        <f t="shared" si="39"/>
        <v>3638.1414479999999</v>
      </c>
    </row>
    <row r="1241" spans="1:7" x14ac:dyDescent="0.3">
      <c r="A1241" t="s">
        <v>13039</v>
      </c>
      <c r="B1241" t="s">
        <v>2506</v>
      </c>
      <c r="C1241" t="s">
        <v>2507</v>
      </c>
      <c r="D1241" s="1" t="s">
        <v>38</v>
      </c>
      <c r="E1241" s="3">
        <v>13159.64</v>
      </c>
      <c r="F1241" s="3">
        <f t="shared" si="38"/>
        <v>3325.4410280000002</v>
      </c>
      <c r="G1241" s="3">
        <f t="shared" si="39"/>
        <v>16485.081028000001</v>
      </c>
    </row>
    <row r="1242" spans="1:7" x14ac:dyDescent="0.3">
      <c r="A1242" t="s">
        <v>13039</v>
      </c>
      <c r="B1242" t="s">
        <v>2508</v>
      </c>
      <c r="C1242" t="s">
        <v>2509</v>
      </c>
      <c r="D1242" s="1" t="s">
        <v>38</v>
      </c>
      <c r="E1242" s="3">
        <v>6522.79</v>
      </c>
      <c r="F1242" s="3">
        <f t="shared" si="38"/>
        <v>1648.3090330000002</v>
      </c>
      <c r="G1242" s="3">
        <f t="shared" si="39"/>
        <v>8171.0990330000004</v>
      </c>
    </row>
    <row r="1243" spans="1:7" x14ac:dyDescent="0.3">
      <c r="A1243" t="s">
        <v>13039</v>
      </c>
      <c r="B1243" t="s">
        <v>2510</v>
      </c>
      <c r="C1243" t="s">
        <v>2511</v>
      </c>
      <c r="D1243" s="1" t="s">
        <v>38</v>
      </c>
      <c r="E1243" s="3">
        <v>9750.19</v>
      </c>
      <c r="F1243" s="3">
        <f t="shared" si="38"/>
        <v>2463.8730130000004</v>
      </c>
      <c r="G1243" s="3">
        <f t="shared" si="39"/>
        <v>12214.063013000001</v>
      </c>
    </row>
    <row r="1244" spans="1:7" x14ac:dyDescent="0.3">
      <c r="A1244" t="s">
        <v>13039</v>
      </c>
      <c r="B1244" t="s">
        <v>2512</v>
      </c>
      <c r="C1244" t="s">
        <v>2513</v>
      </c>
      <c r="D1244" s="1" t="s">
        <v>38</v>
      </c>
      <c r="E1244" s="3">
        <v>4822.43</v>
      </c>
      <c r="F1244" s="3">
        <f t="shared" si="38"/>
        <v>1218.6280610000003</v>
      </c>
      <c r="G1244" s="3">
        <f t="shared" si="39"/>
        <v>6041.0580610000006</v>
      </c>
    </row>
    <row r="1245" spans="1:7" x14ac:dyDescent="0.3">
      <c r="A1245" t="s">
        <v>13039</v>
      </c>
      <c r="B1245" t="s">
        <v>2514</v>
      </c>
      <c r="C1245" t="s">
        <v>2515</v>
      </c>
      <c r="D1245" s="1" t="s">
        <v>38</v>
      </c>
      <c r="E1245" s="3">
        <v>6568.44</v>
      </c>
      <c r="F1245" s="3">
        <f t="shared" si="38"/>
        <v>1659.8447880000001</v>
      </c>
      <c r="G1245" s="3">
        <f t="shared" si="39"/>
        <v>8228.284787999999</v>
      </c>
    </row>
    <row r="1246" spans="1:7" x14ac:dyDescent="0.3">
      <c r="A1246" t="s">
        <v>13039</v>
      </c>
      <c r="B1246" t="s">
        <v>2516</v>
      </c>
      <c r="C1246" t="s">
        <v>2517</v>
      </c>
      <c r="D1246" s="1" t="s">
        <v>38</v>
      </c>
      <c r="E1246" s="3">
        <v>4860.75</v>
      </c>
      <c r="F1246" s="3">
        <f t="shared" si="38"/>
        <v>1228.3115250000001</v>
      </c>
      <c r="G1246" s="3">
        <f t="shared" si="39"/>
        <v>6089.0615250000001</v>
      </c>
    </row>
    <row r="1247" spans="1:7" x14ac:dyDescent="0.3">
      <c r="A1247" t="s">
        <v>13039</v>
      </c>
      <c r="B1247" t="s">
        <v>2518</v>
      </c>
      <c r="C1247" t="s">
        <v>2519</v>
      </c>
      <c r="D1247" s="1" t="s">
        <v>38</v>
      </c>
      <c r="E1247" s="3">
        <v>13772.95</v>
      </c>
      <c r="F1247" s="3">
        <f t="shared" si="38"/>
        <v>3480.4244650000005</v>
      </c>
      <c r="G1247" s="3">
        <f t="shared" si="39"/>
        <v>17253.374465000001</v>
      </c>
    </row>
    <row r="1248" spans="1:7" x14ac:dyDescent="0.3">
      <c r="A1248" t="s">
        <v>13039</v>
      </c>
      <c r="B1248" t="s">
        <v>2520</v>
      </c>
      <c r="C1248" t="s">
        <v>2521</v>
      </c>
      <c r="D1248" s="1" t="s">
        <v>38</v>
      </c>
      <c r="E1248" s="3">
        <v>6626.88</v>
      </c>
      <c r="F1248" s="3">
        <f t="shared" si="38"/>
        <v>1674.6125760000002</v>
      </c>
      <c r="G1248" s="3">
        <f t="shared" si="39"/>
        <v>8301.4925760000006</v>
      </c>
    </row>
    <row r="1249" spans="1:7" x14ac:dyDescent="0.3">
      <c r="A1249" t="s">
        <v>13039</v>
      </c>
      <c r="B1249" t="s">
        <v>2522</v>
      </c>
      <c r="C1249" t="s">
        <v>2523</v>
      </c>
      <c r="D1249" s="1" t="s">
        <v>38</v>
      </c>
      <c r="E1249" s="3">
        <v>10201.030000000001</v>
      </c>
      <c r="F1249" s="3">
        <f t="shared" si="38"/>
        <v>2577.8002810000007</v>
      </c>
      <c r="G1249" s="3">
        <f t="shared" si="39"/>
        <v>12778.830281000002</v>
      </c>
    </row>
    <row r="1250" spans="1:7" x14ac:dyDescent="0.3">
      <c r="A1250" t="s">
        <v>13039</v>
      </c>
      <c r="B1250" t="s">
        <v>2524</v>
      </c>
      <c r="C1250" t="s">
        <v>2525</v>
      </c>
      <c r="D1250" s="1" t="s">
        <v>38</v>
      </c>
      <c r="E1250" s="3">
        <v>4909.93</v>
      </c>
      <c r="F1250" s="3">
        <f t="shared" si="38"/>
        <v>1240.7393110000003</v>
      </c>
      <c r="G1250" s="3">
        <f t="shared" si="39"/>
        <v>6150.6693110000006</v>
      </c>
    </row>
    <row r="1251" spans="1:7" x14ac:dyDescent="0.3">
      <c r="A1251" t="s">
        <v>13039</v>
      </c>
      <c r="B1251" t="s">
        <v>2526</v>
      </c>
      <c r="C1251" t="s">
        <v>2527</v>
      </c>
      <c r="D1251" s="1" t="s">
        <v>38</v>
      </c>
      <c r="E1251" s="3">
        <v>6711.2</v>
      </c>
      <c r="F1251" s="3">
        <f t="shared" si="38"/>
        <v>1695.9202400000001</v>
      </c>
      <c r="G1251" s="3">
        <f t="shared" si="39"/>
        <v>8407.1202400000002</v>
      </c>
    </row>
    <row r="1252" spans="1:7" x14ac:dyDescent="0.3">
      <c r="A1252" t="s">
        <v>13039</v>
      </c>
      <c r="B1252" t="s">
        <v>2528</v>
      </c>
      <c r="C1252" t="s">
        <v>2529</v>
      </c>
      <c r="D1252" s="1" t="s">
        <v>38</v>
      </c>
      <c r="E1252" s="3">
        <v>4981.32</v>
      </c>
      <c r="F1252" s="3">
        <f t="shared" si="38"/>
        <v>1258.7795640000002</v>
      </c>
      <c r="G1252" s="3">
        <f t="shared" si="39"/>
        <v>6240.0995640000001</v>
      </c>
    </row>
    <row r="1253" spans="1:7" x14ac:dyDescent="0.3">
      <c r="A1253" t="s">
        <v>13039</v>
      </c>
      <c r="B1253" t="s">
        <v>2530</v>
      </c>
      <c r="C1253" t="s">
        <v>2531</v>
      </c>
      <c r="D1253" s="1" t="s">
        <v>38</v>
      </c>
      <c r="E1253" s="3">
        <v>6825.47</v>
      </c>
      <c r="F1253" s="3">
        <f t="shared" si="38"/>
        <v>1724.7962690000004</v>
      </c>
      <c r="G1253" s="3">
        <f t="shared" si="39"/>
        <v>8550.2662689999997</v>
      </c>
    </row>
    <row r="1254" spans="1:7" x14ac:dyDescent="0.3">
      <c r="A1254" t="s">
        <v>13039</v>
      </c>
      <c r="B1254" t="s">
        <v>2532</v>
      </c>
      <c r="C1254" t="s">
        <v>2533</v>
      </c>
      <c r="D1254" s="1" t="s">
        <v>38</v>
      </c>
      <c r="E1254" s="3">
        <v>5079.16</v>
      </c>
      <c r="F1254" s="3">
        <f t="shared" si="38"/>
        <v>1283.5037320000001</v>
      </c>
      <c r="G1254" s="3">
        <f t="shared" si="39"/>
        <v>6362.663732</v>
      </c>
    </row>
    <row r="1255" spans="1:7" x14ac:dyDescent="0.3">
      <c r="A1255" t="s">
        <v>13039</v>
      </c>
      <c r="B1255" t="s">
        <v>2534</v>
      </c>
      <c r="C1255" t="s">
        <v>2535</v>
      </c>
      <c r="D1255" s="1" t="s">
        <v>38</v>
      </c>
      <c r="E1255" s="3">
        <v>15401.49</v>
      </c>
      <c r="F1255" s="3">
        <f t="shared" si="38"/>
        <v>3891.9565230000003</v>
      </c>
      <c r="G1255" s="3">
        <f t="shared" si="39"/>
        <v>19293.446522999999</v>
      </c>
    </row>
    <row r="1256" spans="1:7" x14ac:dyDescent="0.3">
      <c r="A1256" t="s">
        <v>13039</v>
      </c>
      <c r="B1256" t="s">
        <v>2536</v>
      </c>
      <c r="C1256" t="s">
        <v>2537</v>
      </c>
      <c r="D1256" s="1" t="s">
        <v>38</v>
      </c>
      <c r="E1256" s="3">
        <v>6974.26</v>
      </c>
      <c r="F1256" s="3">
        <f t="shared" si="38"/>
        <v>1762.3955020000003</v>
      </c>
      <c r="G1256" s="3">
        <f t="shared" si="39"/>
        <v>8736.6555020000014</v>
      </c>
    </row>
    <row r="1257" spans="1:7" x14ac:dyDescent="0.3">
      <c r="A1257" t="s">
        <v>13039</v>
      </c>
      <c r="B1257" t="s">
        <v>2538</v>
      </c>
      <c r="C1257" t="s">
        <v>2539</v>
      </c>
      <c r="D1257" s="1" t="s">
        <v>38</v>
      </c>
      <c r="E1257" s="3">
        <v>11398.24</v>
      </c>
      <c r="F1257" s="3">
        <f t="shared" si="38"/>
        <v>2880.3352480000003</v>
      </c>
      <c r="G1257" s="3">
        <f t="shared" si="39"/>
        <v>14278.575248000001</v>
      </c>
    </row>
    <row r="1258" spans="1:7" x14ac:dyDescent="0.3">
      <c r="A1258" t="s">
        <v>13039</v>
      </c>
      <c r="B1258" t="s">
        <v>2540</v>
      </c>
      <c r="C1258" t="s">
        <v>2541</v>
      </c>
      <c r="D1258" s="1" t="s">
        <v>38</v>
      </c>
      <c r="E1258" s="3">
        <v>7165.75</v>
      </c>
      <c r="F1258" s="3">
        <f t="shared" si="38"/>
        <v>1810.7850250000004</v>
      </c>
      <c r="G1258" s="3">
        <f t="shared" si="39"/>
        <v>8976.535025000001</v>
      </c>
    </row>
    <row r="1259" spans="1:7" x14ac:dyDescent="0.3">
      <c r="A1259" t="s">
        <v>13039</v>
      </c>
      <c r="B1259" t="s">
        <v>2542</v>
      </c>
      <c r="C1259" t="s">
        <v>2543</v>
      </c>
      <c r="D1259" s="1" t="s">
        <v>38</v>
      </c>
      <c r="E1259" s="3">
        <v>5376.48</v>
      </c>
      <c r="F1259" s="3">
        <f t="shared" si="38"/>
        <v>1358.6364960000001</v>
      </c>
      <c r="G1259" s="3">
        <f t="shared" si="39"/>
        <v>6735.1164959999996</v>
      </c>
    </row>
    <row r="1260" spans="1:7" x14ac:dyDescent="0.3">
      <c r="A1260" t="s">
        <v>13039</v>
      </c>
      <c r="B1260" t="s">
        <v>2544</v>
      </c>
      <c r="C1260" t="s">
        <v>2545</v>
      </c>
      <c r="D1260" s="1" t="s">
        <v>38</v>
      </c>
      <c r="E1260" s="3">
        <v>7412.41</v>
      </c>
      <c r="F1260" s="3">
        <f t="shared" si="38"/>
        <v>1873.1160070000003</v>
      </c>
      <c r="G1260" s="3">
        <f t="shared" si="39"/>
        <v>9285.5260070000004</v>
      </c>
    </row>
    <row r="1261" spans="1:7" x14ac:dyDescent="0.3">
      <c r="A1261" t="s">
        <v>13039</v>
      </c>
      <c r="B1261" t="s">
        <v>2546</v>
      </c>
      <c r="C1261" t="s">
        <v>2547</v>
      </c>
      <c r="D1261" s="1" t="s">
        <v>38</v>
      </c>
      <c r="E1261" s="3">
        <v>5597.1</v>
      </c>
      <c r="F1261" s="3">
        <f t="shared" si="38"/>
        <v>1414.3871700000002</v>
      </c>
      <c r="G1261" s="3">
        <f t="shared" si="39"/>
        <v>7011.4871700000003</v>
      </c>
    </row>
    <row r="1262" spans="1:7" x14ac:dyDescent="0.3">
      <c r="A1262" t="s">
        <v>13039</v>
      </c>
      <c r="B1262" t="s">
        <v>2548</v>
      </c>
      <c r="C1262" t="s">
        <v>2549</v>
      </c>
      <c r="D1262" s="1" t="s">
        <v>38</v>
      </c>
      <c r="E1262" s="3">
        <v>19133.84</v>
      </c>
      <c r="F1262" s="3">
        <f t="shared" si="38"/>
        <v>4835.121368000001</v>
      </c>
      <c r="G1262" s="3">
        <f t="shared" si="39"/>
        <v>23968.961368</v>
      </c>
    </row>
    <row r="1263" spans="1:7" x14ac:dyDescent="0.3">
      <c r="A1263" t="s">
        <v>13039</v>
      </c>
      <c r="B1263" t="s">
        <v>2550</v>
      </c>
      <c r="C1263" t="s">
        <v>2551</v>
      </c>
      <c r="D1263" s="1" t="s">
        <v>38</v>
      </c>
      <c r="E1263" s="3">
        <v>7736.27</v>
      </c>
      <c r="F1263" s="3">
        <f t="shared" si="38"/>
        <v>1954.9554290000003</v>
      </c>
      <c r="G1263" s="3">
        <f t="shared" si="39"/>
        <v>9691.2254290000001</v>
      </c>
    </row>
    <row r="1264" spans="1:7" x14ac:dyDescent="0.3">
      <c r="A1264" t="s">
        <v>13039</v>
      </c>
      <c r="B1264" t="s">
        <v>2552</v>
      </c>
      <c r="C1264" t="s">
        <v>2553</v>
      </c>
      <c r="D1264" s="1" t="s">
        <v>38</v>
      </c>
      <c r="E1264" s="3">
        <v>14134.63</v>
      </c>
      <c r="F1264" s="3">
        <f t="shared" si="38"/>
        <v>3571.8210010000003</v>
      </c>
      <c r="G1264" s="3">
        <f t="shared" si="39"/>
        <v>17706.451001000001</v>
      </c>
    </row>
    <row r="1265" spans="1:7" x14ac:dyDescent="0.3">
      <c r="A1265" t="s">
        <v>13039</v>
      </c>
      <c r="B1265" t="s">
        <v>2554</v>
      </c>
      <c r="C1265" t="s">
        <v>2555</v>
      </c>
      <c r="D1265" s="1" t="s">
        <v>38</v>
      </c>
      <c r="E1265" s="3">
        <v>5891.96</v>
      </c>
      <c r="F1265" s="3">
        <f t="shared" si="38"/>
        <v>1488.8982920000003</v>
      </c>
      <c r="G1265" s="3">
        <f t="shared" si="39"/>
        <v>7380.8582920000008</v>
      </c>
    </row>
    <row r="1266" spans="1:7" x14ac:dyDescent="0.3">
      <c r="A1266" t="s">
        <v>13039</v>
      </c>
      <c r="B1266" t="s">
        <v>2556</v>
      </c>
      <c r="C1266" t="s">
        <v>2557</v>
      </c>
      <c r="D1266" s="1" t="s">
        <v>38</v>
      </c>
      <c r="E1266" s="3">
        <v>6534.35</v>
      </c>
      <c r="F1266" s="3">
        <f t="shared" si="38"/>
        <v>1651.2302450000004</v>
      </c>
      <c r="G1266" s="3">
        <f t="shared" si="39"/>
        <v>8185.580245000001</v>
      </c>
    </row>
    <row r="1267" spans="1:7" x14ac:dyDescent="0.3">
      <c r="A1267" t="s">
        <v>13039</v>
      </c>
      <c r="B1267" t="s">
        <v>2558</v>
      </c>
      <c r="C1267" t="s">
        <v>2559</v>
      </c>
      <c r="D1267" s="1" t="s">
        <v>38</v>
      </c>
      <c r="E1267" s="3">
        <v>4832.24</v>
      </c>
      <c r="F1267" s="3">
        <f t="shared" si="38"/>
        <v>1221.1070480000001</v>
      </c>
      <c r="G1267" s="3">
        <f t="shared" si="39"/>
        <v>6053.3470479999996</v>
      </c>
    </row>
    <row r="1268" spans="1:7" x14ac:dyDescent="0.3">
      <c r="A1268" t="s">
        <v>13039</v>
      </c>
      <c r="B1268" t="s">
        <v>2560</v>
      </c>
      <c r="C1268" t="s">
        <v>2561</v>
      </c>
      <c r="D1268" s="1" t="s">
        <v>38</v>
      </c>
      <c r="E1268" s="3">
        <v>5208.04</v>
      </c>
      <c r="F1268" s="3">
        <f t="shared" si="38"/>
        <v>1316.0717080000002</v>
      </c>
      <c r="G1268" s="3">
        <f t="shared" si="39"/>
        <v>6524.1117080000004</v>
      </c>
    </row>
    <row r="1269" spans="1:7" x14ac:dyDescent="0.3">
      <c r="A1269" t="s">
        <v>13039</v>
      </c>
      <c r="B1269" t="s">
        <v>2562</v>
      </c>
      <c r="C1269" t="s">
        <v>2563</v>
      </c>
      <c r="D1269" s="1" t="s">
        <v>195</v>
      </c>
      <c r="E1269" s="3">
        <v>133.12</v>
      </c>
      <c r="F1269" s="3">
        <f t="shared" si="38"/>
        <v>33.639424000000005</v>
      </c>
      <c r="G1269" s="3">
        <f t="shared" si="39"/>
        <v>166.75942400000002</v>
      </c>
    </row>
    <row r="1270" spans="1:7" x14ac:dyDescent="0.3">
      <c r="A1270" t="s">
        <v>13039</v>
      </c>
      <c r="B1270" t="s">
        <v>2564</v>
      </c>
      <c r="C1270" t="s">
        <v>2565</v>
      </c>
      <c r="D1270" s="1" t="s">
        <v>195</v>
      </c>
      <c r="E1270" s="3">
        <v>109.55</v>
      </c>
      <c r="F1270" s="3">
        <f t="shared" si="38"/>
        <v>27.683285000000001</v>
      </c>
      <c r="G1270" s="3">
        <f t="shared" si="39"/>
        <v>137.233285</v>
      </c>
    </row>
    <row r="1271" spans="1:7" x14ac:dyDescent="0.3">
      <c r="A1271" t="s">
        <v>13039</v>
      </c>
      <c r="B1271" t="s">
        <v>2566</v>
      </c>
      <c r="C1271" t="s">
        <v>2567</v>
      </c>
      <c r="D1271" s="1" t="s">
        <v>195</v>
      </c>
      <c r="E1271" s="3">
        <v>147.19999999999999</v>
      </c>
      <c r="F1271" s="3">
        <f t="shared" si="38"/>
        <v>37.19744</v>
      </c>
      <c r="G1271" s="3">
        <f t="shared" si="39"/>
        <v>184.39743999999999</v>
      </c>
    </row>
    <row r="1272" spans="1:7" x14ac:dyDescent="0.3">
      <c r="A1272" t="s">
        <v>13039</v>
      </c>
      <c r="B1272" t="s">
        <v>2568</v>
      </c>
      <c r="C1272" t="s">
        <v>2569</v>
      </c>
      <c r="D1272" s="1" t="s">
        <v>195</v>
      </c>
      <c r="E1272" s="3">
        <v>123.65</v>
      </c>
      <c r="F1272" s="3">
        <f t="shared" si="38"/>
        <v>31.246355000000005</v>
      </c>
      <c r="G1272" s="3">
        <f t="shared" si="39"/>
        <v>154.896355</v>
      </c>
    </row>
    <row r="1273" spans="1:7" x14ac:dyDescent="0.3">
      <c r="A1273" t="s">
        <v>13039</v>
      </c>
      <c r="B1273" t="s">
        <v>2570</v>
      </c>
      <c r="C1273" t="s">
        <v>2571</v>
      </c>
      <c r="D1273" s="1" t="s">
        <v>195</v>
      </c>
      <c r="E1273" s="3">
        <v>217.6</v>
      </c>
      <c r="F1273" s="3">
        <f t="shared" si="38"/>
        <v>54.987520000000004</v>
      </c>
      <c r="G1273" s="3">
        <f t="shared" si="39"/>
        <v>272.58751999999998</v>
      </c>
    </row>
    <row r="1274" spans="1:7" x14ac:dyDescent="0.3">
      <c r="A1274" t="s">
        <v>13039</v>
      </c>
      <c r="B1274" t="s">
        <v>2572</v>
      </c>
      <c r="C1274" t="s">
        <v>2573</v>
      </c>
      <c r="D1274" s="1" t="s">
        <v>195</v>
      </c>
      <c r="E1274" s="3">
        <v>194.16</v>
      </c>
      <c r="F1274" s="3">
        <f t="shared" si="38"/>
        <v>49.064232000000004</v>
      </c>
      <c r="G1274" s="3">
        <f t="shared" si="39"/>
        <v>243.224232</v>
      </c>
    </row>
    <row r="1275" spans="1:7" x14ac:dyDescent="0.3">
      <c r="A1275" t="s">
        <v>13039</v>
      </c>
      <c r="B1275" t="s">
        <v>2574</v>
      </c>
      <c r="C1275" t="s">
        <v>2575</v>
      </c>
      <c r="D1275" s="1" t="s">
        <v>195</v>
      </c>
      <c r="E1275" s="3">
        <v>271.75</v>
      </c>
      <c r="F1275" s="3">
        <f t="shared" si="38"/>
        <v>68.671225000000007</v>
      </c>
      <c r="G1275" s="3">
        <f t="shared" si="39"/>
        <v>340.42122499999999</v>
      </c>
    </row>
    <row r="1276" spans="1:7" x14ac:dyDescent="0.3">
      <c r="A1276" t="s">
        <v>13039</v>
      </c>
      <c r="B1276" t="s">
        <v>2576</v>
      </c>
      <c r="C1276" t="s">
        <v>2577</v>
      </c>
      <c r="D1276" s="1" t="s">
        <v>195</v>
      </c>
      <c r="E1276" s="3">
        <v>243.96</v>
      </c>
      <c r="F1276" s="3">
        <f t="shared" si="38"/>
        <v>61.648692000000011</v>
      </c>
      <c r="G1276" s="3">
        <f t="shared" si="39"/>
        <v>305.60869200000002</v>
      </c>
    </row>
    <row r="1277" spans="1:7" x14ac:dyDescent="0.3">
      <c r="A1277" t="s">
        <v>13039</v>
      </c>
      <c r="B1277" t="s">
        <v>2578</v>
      </c>
      <c r="C1277" t="s">
        <v>2579</v>
      </c>
      <c r="D1277" s="1" t="s">
        <v>195</v>
      </c>
      <c r="E1277" s="3">
        <v>202.57</v>
      </c>
      <c r="F1277" s="3">
        <f t="shared" si="38"/>
        <v>51.189439000000007</v>
      </c>
      <c r="G1277" s="3">
        <f t="shared" si="39"/>
        <v>253.75943899999999</v>
      </c>
    </row>
    <row r="1278" spans="1:7" x14ac:dyDescent="0.3">
      <c r="A1278" t="s">
        <v>13039</v>
      </c>
      <c r="B1278" t="s">
        <v>2580</v>
      </c>
      <c r="C1278" t="s">
        <v>2581</v>
      </c>
      <c r="D1278" s="1" t="s">
        <v>195</v>
      </c>
      <c r="E1278" s="3">
        <v>165.03</v>
      </c>
      <c r="F1278" s="3">
        <f t="shared" si="38"/>
        <v>41.703081000000005</v>
      </c>
      <c r="G1278" s="3">
        <f t="shared" si="39"/>
        <v>206.733081</v>
      </c>
    </row>
    <row r="1279" spans="1:7" x14ac:dyDescent="0.3">
      <c r="A1279" t="s">
        <v>13039</v>
      </c>
      <c r="B1279" t="s">
        <v>2582</v>
      </c>
      <c r="C1279" t="s">
        <v>2583</v>
      </c>
      <c r="D1279" s="1" t="s">
        <v>195</v>
      </c>
      <c r="E1279" s="3">
        <v>258.89</v>
      </c>
      <c r="F1279" s="3">
        <f t="shared" si="38"/>
        <v>65.421503000000001</v>
      </c>
      <c r="G1279" s="3">
        <f t="shared" si="39"/>
        <v>324.31150300000002</v>
      </c>
    </row>
    <row r="1280" spans="1:7" x14ac:dyDescent="0.3">
      <c r="A1280" t="s">
        <v>13039</v>
      </c>
      <c r="B1280" t="s">
        <v>2584</v>
      </c>
      <c r="C1280" t="s">
        <v>2585</v>
      </c>
      <c r="D1280" s="1" t="s">
        <v>195</v>
      </c>
      <c r="E1280" s="3">
        <v>221.44</v>
      </c>
      <c r="F1280" s="3">
        <f t="shared" si="38"/>
        <v>55.957888000000004</v>
      </c>
      <c r="G1280" s="3">
        <f t="shared" si="39"/>
        <v>277.39788800000002</v>
      </c>
    </row>
    <row r="1281" spans="1:7" x14ac:dyDescent="0.3">
      <c r="A1281" t="s">
        <v>13039</v>
      </c>
      <c r="B1281" t="s">
        <v>2586</v>
      </c>
      <c r="C1281" t="s">
        <v>2587</v>
      </c>
      <c r="D1281" s="1" t="s">
        <v>195</v>
      </c>
      <c r="E1281" s="3">
        <v>369.92</v>
      </c>
      <c r="F1281" s="3">
        <f t="shared" si="38"/>
        <v>93.478784000000019</v>
      </c>
      <c r="G1281" s="3">
        <f t="shared" si="39"/>
        <v>463.39878400000003</v>
      </c>
    </row>
    <row r="1282" spans="1:7" x14ac:dyDescent="0.3">
      <c r="A1282" t="s">
        <v>13039</v>
      </c>
      <c r="B1282" t="s">
        <v>2588</v>
      </c>
      <c r="C1282" t="s">
        <v>2589</v>
      </c>
      <c r="D1282" s="1" t="s">
        <v>195</v>
      </c>
      <c r="E1282" s="3">
        <v>328</v>
      </c>
      <c r="F1282" s="3">
        <f t="shared" si="38"/>
        <v>82.885600000000011</v>
      </c>
      <c r="G1282" s="3">
        <f t="shared" si="39"/>
        <v>410.88560000000001</v>
      </c>
    </row>
    <row r="1283" spans="1:7" x14ac:dyDescent="0.3">
      <c r="A1283" t="s">
        <v>13039</v>
      </c>
      <c r="B1283" t="s">
        <v>2590</v>
      </c>
      <c r="C1283" t="s">
        <v>2591</v>
      </c>
      <c r="D1283" s="1" t="s">
        <v>195</v>
      </c>
      <c r="E1283" s="3">
        <v>436.17</v>
      </c>
      <c r="F1283" s="3">
        <f t="shared" si="38"/>
        <v>110.22015900000002</v>
      </c>
      <c r="G1283" s="3">
        <f t="shared" si="39"/>
        <v>546.39015900000004</v>
      </c>
    </row>
    <row r="1284" spans="1:7" x14ac:dyDescent="0.3">
      <c r="A1284" t="s">
        <v>13039</v>
      </c>
      <c r="B1284" t="s">
        <v>2592</v>
      </c>
      <c r="C1284" t="s">
        <v>2593</v>
      </c>
      <c r="D1284" s="1" t="s">
        <v>195</v>
      </c>
      <c r="E1284" s="3">
        <v>385.43</v>
      </c>
      <c r="F1284" s="3">
        <f t="shared" si="38"/>
        <v>97.398161000000016</v>
      </c>
      <c r="G1284" s="3">
        <f t="shared" si="39"/>
        <v>482.82816100000002</v>
      </c>
    </row>
    <row r="1285" spans="1:7" x14ac:dyDescent="0.3">
      <c r="A1285" t="s">
        <v>13039</v>
      </c>
      <c r="B1285" t="s">
        <v>2594</v>
      </c>
      <c r="C1285" t="s">
        <v>2595</v>
      </c>
      <c r="D1285" s="1" t="s">
        <v>195</v>
      </c>
      <c r="E1285" s="3">
        <v>357.58</v>
      </c>
      <c r="F1285" s="3">
        <f t="shared" si="38"/>
        <v>90.360466000000002</v>
      </c>
      <c r="G1285" s="3">
        <f t="shared" si="39"/>
        <v>447.94046600000001</v>
      </c>
    </row>
    <row r="1286" spans="1:7" x14ac:dyDescent="0.3">
      <c r="A1286" t="s">
        <v>13039</v>
      </c>
      <c r="B1286" t="s">
        <v>2596</v>
      </c>
      <c r="C1286" t="s">
        <v>2597</v>
      </c>
      <c r="D1286" s="1" t="s">
        <v>195</v>
      </c>
      <c r="E1286" s="3">
        <v>306.12</v>
      </c>
      <c r="F1286" s="3">
        <f t="shared" si="38"/>
        <v>77.356524000000007</v>
      </c>
      <c r="G1286" s="3">
        <f t="shared" si="39"/>
        <v>383.47652400000004</v>
      </c>
    </row>
    <row r="1287" spans="1:7" x14ac:dyDescent="0.3">
      <c r="A1287" t="s">
        <v>13039</v>
      </c>
      <c r="B1287" t="s">
        <v>2598</v>
      </c>
      <c r="C1287" t="s">
        <v>2599</v>
      </c>
      <c r="D1287" s="1" t="s">
        <v>195</v>
      </c>
      <c r="E1287" s="3">
        <v>413.9</v>
      </c>
      <c r="F1287" s="3">
        <f t="shared" ref="F1287:F1350" si="40">+E1287*$F$4</f>
        <v>104.59253000000001</v>
      </c>
      <c r="G1287" s="3">
        <f t="shared" ref="G1287:G1350" si="41">+E1287+F1287</f>
        <v>518.49252999999999</v>
      </c>
    </row>
    <row r="1288" spans="1:7" x14ac:dyDescent="0.3">
      <c r="A1288" t="s">
        <v>13039</v>
      </c>
      <c r="B1288" t="s">
        <v>2600</v>
      </c>
      <c r="C1288" t="s">
        <v>2601</v>
      </c>
      <c r="D1288" s="1" t="s">
        <v>195</v>
      </c>
      <c r="E1288" s="3">
        <v>362.53</v>
      </c>
      <c r="F1288" s="3">
        <f t="shared" si="40"/>
        <v>91.611331000000007</v>
      </c>
      <c r="G1288" s="3">
        <f t="shared" si="41"/>
        <v>454.14133099999998</v>
      </c>
    </row>
    <row r="1289" spans="1:7" x14ac:dyDescent="0.3">
      <c r="A1289" t="s">
        <v>13039</v>
      </c>
      <c r="B1289" t="s">
        <v>2602</v>
      </c>
      <c r="C1289" t="s">
        <v>2603</v>
      </c>
      <c r="D1289" s="1" t="s">
        <v>195</v>
      </c>
      <c r="E1289" s="3">
        <v>522.91</v>
      </c>
      <c r="F1289" s="3">
        <f t="shared" si="40"/>
        <v>132.13935700000002</v>
      </c>
      <c r="G1289" s="3">
        <f t="shared" si="41"/>
        <v>655.04935699999999</v>
      </c>
    </row>
    <row r="1290" spans="1:7" x14ac:dyDescent="0.3">
      <c r="A1290" t="s">
        <v>13039</v>
      </c>
      <c r="B1290" t="s">
        <v>2604</v>
      </c>
      <c r="C1290" t="s">
        <v>2605</v>
      </c>
      <c r="D1290" s="1" t="s">
        <v>195</v>
      </c>
      <c r="E1290" s="3">
        <v>457.34</v>
      </c>
      <c r="F1290" s="3">
        <f t="shared" si="40"/>
        <v>115.56981800000001</v>
      </c>
      <c r="G1290" s="3">
        <f t="shared" si="41"/>
        <v>572.90981799999997</v>
      </c>
    </row>
    <row r="1291" spans="1:7" x14ac:dyDescent="0.3">
      <c r="A1291" t="s">
        <v>13039</v>
      </c>
      <c r="B1291" t="s">
        <v>2606</v>
      </c>
      <c r="C1291" t="s">
        <v>2607</v>
      </c>
      <c r="D1291" s="1" t="s">
        <v>195</v>
      </c>
      <c r="E1291" s="3">
        <v>665.46</v>
      </c>
      <c r="F1291" s="3">
        <f t="shared" si="40"/>
        <v>168.16174200000003</v>
      </c>
      <c r="G1291" s="3">
        <f t="shared" si="41"/>
        <v>833.62174200000004</v>
      </c>
    </row>
    <row r="1292" spans="1:7" x14ac:dyDescent="0.3">
      <c r="A1292" t="s">
        <v>13039</v>
      </c>
      <c r="B1292" t="s">
        <v>2608</v>
      </c>
      <c r="C1292" t="s">
        <v>2609</v>
      </c>
      <c r="D1292" s="1" t="s">
        <v>195</v>
      </c>
      <c r="E1292" s="3">
        <v>588.99</v>
      </c>
      <c r="F1292" s="3">
        <f t="shared" si="40"/>
        <v>148.83777300000003</v>
      </c>
      <c r="G1292" s="3">
        <f t="shared" si="41"/>
        <v>737.82777299999998</v>
      </c>
    </row>
    <row r="1293" spans="1:7" x14ac:dyDescent="0.3">
      <c r="A1293" t="s">
        <v>13039</v>
      </c>
      <c r="B1293" t="s">
        <v>2610</v>
      </c>
      <c r="C1293" t="s">
        <v>2611</v>
      </c>
      <c r="D1293" s="1" t="s">
        <v>195</v>
      </c>
      <c r="E1293" s="3">
        <v>486.15</v>
      </c>
      <c r="F1293" s="3">
        <f t="shared" si="40"/>
        <v>122.85010500000001</v>
      </c>
      <c r="G1293" s="3">
        <f t="shared" si="41"/>
        <v>609.00010499999996</v>
      </c>
    </row>
    <row r="1294" spans="1:7" x14ac:dyDescent="0.3">
      <c r="A1294" t="s">
        <v>13039</v>
      </c>
      <c r="B1294" t="s">
        <v>2612</v>
      </c>
      <c r="C1294" t="s">
        <v>2613</v>
      </c>
      <c r="D1294" s="1" t="s">
        <v>195</v>
      </c>
      <c r="E1294" s="3">
        <v>411.21</v>
      </c>
      <c r="F1294" s="3">
        <f t="shared" si="40"/>
        <v>103.91276700000002</v>
      </c>
      <c r="G1294" s="3">
        <f t="shared" si="41"/>
        <v>515.12276699999995</v>
      </c>
    </row>
    <row r="1295" spans="1:7" x14ac:dyDescent="0.3">
      <c r="A1295" t="s">
        <v>13039</v>
      </c>
      <c r="B1295" t="s">
        <v>2614</v>
      </c>
      <c r="C1295" t="s">
        <v>2615</v>
      </c>
      <c r="D1295" s="1" t="s">
        <v>195</v>
      </c>
      <c r="E1295" s="3">
        <v>612.87</v>
      </c>
      <c r="F1295" s="3">
        <f t="shared" si="40"/>
        <v>154.87224900000001</v>
      </c>
      <c r="G1295" s="3">
        <f t="shared" si="41"/>
        <v>767.74224900000002</v>
      </c>
    </row>
    <row r="1296" spans="1:7" x14ac:dyDescent="0.3">
      <c r="A1296" t="s">
        <v>13039</v>
      </c>
      <c r="B1296" t="s">
        <v>2616</v>
      </c>
      <c r="C1296" t="s">
        <v>2617</v>
      </c>
      <c r="D1296" s="1" t="s">
        <v>195</v>
      </c>
      <c r="E1296" s="3">
        <v>538.13</v>
      </c>
      <c r="F1296" s="3">
        <f t="shared" si="40"/>
        <v>135.98545100000001</v>
      </c>
      <c r="G1296" s="3">
        <f t="shared" si="41"/>
        <v>674.11545100000001</v>
      </c>
    </row>
    <row r="1297" spans="1:7" x14ac:dyDescent="0.3">
      <c r="A1297" t="s">
        <v>13039</v>
      </c>
      <c r="B1297" t="s">
        <v>2618</v>
      </c>
      <c r="C1297" t="s">
        <v>2619</v>
      </c>
      <c r="D1297" s="1" t="s">
        <v>195</v>
      </c>
      <c r="E1297" s="3">
        <v>807.83</v>
      </c>
      <c r="F1297" s="3">
        <f t="shared" si="40"/>
        <v>204.13864100000004</v>
      </c>
      <c r="G1297" s="3">
        <f t="shared" si="41"/>
        <v>1011.968641</v>
      </c>
    </row>
    <row r="1298" spans="1:7" x14ac:dyDescent="0.3">
      <c r="A1298" t="s">
        <v>13039</v>
      </c>
      <c r="B1298" t="s">
        <v>2620</v>
      </c>
      <c r="C1298" t="s">
        <v>2621</v>
      </c>
      <c r="D1298" s="1" t="s">
        <v>195</v>
      </c>
      <c r="E1298" s="3">
        <v>708</v>
      </c>
      <c r="F1298" s="3">
        <f t="shared" si="40"/>
        <v>178.91160000000002</v>
      </c>
      <c r="G1298" s="3">
        <f t="shared" si="41"/>
        <v>886.91160000000002</v>
      </c>
    </row>
    <row r="1299" spans="1:7" x14ac:dyDescent="0.3">
      <c r="A1299" t="s">
        <v>13039</v>
      </c>
      <c r="B1299" t="s">
        <v>2622</v>
      </c>
      <c r="C1299" t="s">
        <v>2623</v>
      </c>
      <c r="D1299" s="1" t="s">
        <v>195</v>
      </c>
      <c r="E1299" s="3">
        <v>971.08</v>
      </c>
      <c r="F1299" s="3">
        <f t="shared" si="40"/>
        <v>245.39191600000004</v>
      </c>
      <c r="G1299" s="3">
        <f t="shared" si="41"/>
        <v>1216.471916</v>
      </c>
    </row>
    <row r="1300" spans="1:7" x14ac:dyDescent="0.3">
      <c r="A1300" t="s">
        <v>13039</v>
      </c>
      <c r="B1300" t="s">
        <v>2624</v>
      </c>
      <c r="C1300" t="s">
        <v>2625</v>
      </c>
      <c r="D1300" s="1" t="s">
        <v>195</v>
      </c>
      <c r="E1300" s="3">
        <v>857.92</v>
      </c>
      <c r="F1300" s="3">
        <f t="shared" si="40"/>
        <v>216.79638400000002</v>
      </c>
      <c r="G1300" s="3">
        <f t="shared" si="41"/>
        <v>1074.7163840000001</v>
      </c>
    </row>
    <row r="1301" spans="1:7" x14ac:dyDescent="0.3">
      <c r="A1301" t="s">
        <v>13039</v>
      </c>
      <c r="B1301" t="s">
        <v>2626</v>
      </c>
      <c r="C1301" t="s">
        <v>2627</v>
      </c>
      <c r="D1301" s="1" t="s">
        <v>195</v>
      </c>
      <c r="E1301" s="3">
        <v>786.45</v>
      </c>
      <c r="F1301" s="3">
        <f t="shared" si="40"/>
        <v>198.73591500000003</v>
      </c>
      <c r="G1301" s="3">
        <f t="shared" si="41"/>
        <v>985.18591500000002</v>
      </c>
    </row>
    <row r="1302" spans="1:7" x14ac:dyDescent="0.3">
      <c r="A1302" t="s">
        <v>13039</v>
      </c>
      <c r="B1302" t="s">
        <v>2628</v>
      </c>
      <c r="C1302" t="s">
        <v>2629</v>
      </c>
      <c r="D1302" s="1" t="s">
        <v>195</v>
      </c>
      <c r="E1302" s="3">
        <v>669.4</v>
      </c>
      <c r="F1302" s="3">
        <f t="shared" si="40"/>
        <v>169.15738000000002</v>
      </c>
      <c r="G1302" s="3">
        <f t="shared" si="41"/>
        <v>838.55737999999997</v>
      </c>
    </row>
    <row r="1303" spans="1:7" x14ac:dyDescent="0.3">
      <c r="A1303" t="s">
        <v>13039</v>
      </c>
      <c r="B1303" t="s">
        <v>2630</v>
      </c>
      <c r="C1303" t="s">
        <v>2631</v>
      </c>
      <c r="D1303" s="1" t="s">
        <v>195</v>
      </c>
      <c r="E1303" s="3">
        <v>983.57</v>
      </c>
      <c r="F1303" s="3">
        <f t="shared" si="40"/>
        <v>248.54813900000005</v>
      </c>
      <c r="G1303" s="3">
        <f t="shared" si="41"/>
        <v>1232.1181390000002</v>
      </c>
    </row>
    <row r="1304" spans="1:7" x14ac:dyDescent="0.3">
      <c r="A1304" t="s">
        <v>13039</v>
      </c>
      <c r="B1304" t="s">
        <v>2632</v>
      </c>
      <c r="C1304" t="s">
        <v>2633</v>
      </c>
      <c r="D1304" s="1" t="s">
        <v>195</v>
      </c>
      <c r="E1304" s="3">
        <v>866.83</v>
      </c>
      <c r="F1304" s="3">
        <f t="shared" si="40"/>
        <v>219.04794100000004</v>
      </c>
      <c r="G1304" s="3">
        <f t="shared" si="41"/>
        <v>1085.8779410000002</v>
      </c>
    </row>
    <row r="1305" spans="1:7" x14ac:dyDescent="0.3">
      <c r="A1305" t="s">
        <v>13039</v>
      </c>
      <c r="B1305" t="s">
        <v>2634</v>
      </c>
      <c r="C1305" t="s">
        <v>2635</v>
      </c>
      <c r="D1305" s="1" t="s">
        <v>195</v>
      </c>
      <c r="E1305" s="3">
        <v>1297.6300000000001</v>
      </c>
      <c r="F1305" s="3">
        <f t="shared" si="40"/>
        <v>327.91110100000009</v>
      </c>
      <c r="G1305" s="3">
        <f t="shared" si="41"/>
        <v>1625.5411010000003</v>
      </c>
    </row>
    <row r="1306" spans="1:7" x14ac:dyDescent="0.3">
      <c r="A1306" t="s">
        <v>13039</v>
      </c>
      <c r="B1306" t="s">
        <v>2636</v>
      </c>
      <c r="C1306" t="s">
        <v>2637</v>
      </c>
      <c r="D1306" s="1" t="s">
        <v>195</v>
      </c>
      <c r="E1306" s="3">
        <v>1143.0999999999999</v>
      </c>
      <c r="F1306" s="3">
        <f t="shared" si="40"/>
        <v>288.86137000000002</v>
      </c>
      <c r="G1306" s="3">
        <f t="shared" si="41"/>
        <v>1431.96137</v>
      </c>
    </row>
    <row r="1307" spans="1:7" x14ac:dyDescent="0.3">
      <c r="A1307" t="s">
        <v>13039</v>
      </c>
      <c r="B1307" t="s">
        <v>2638</v>
      </c>
      <c r="C1307" t="s">
        <v>2639</v>
      </c>
      <c r="D1307" s="1" t="s">
        <v>195</v>
      </c>
      <c r="E1307" s="3">
        <v>1552.05</v>
      </c>
      <c r="F1307" s="3">
        <f t="shared" si="40"/>
        <v>392.20303500000006</v>
      </c>
      <c r="G1307" s="3">
        <f t="shared" si="41"/>
        <v>1944.253035</v>
      </c>
    </row>
    <row r="1308" spans="1:7" x14ac:dyDescent="0.3">
      <c r="A1308" t="s">
        <v>13039</v>
      </c>
      <c r="B1308" t="s">
        <v>2640</v>
      </c>
      <c r="C1308" t="s">
        <v>2641</v>
      </c>
      <c r="D1308" s="1" t="s">
        <v>195</v>
      </c>
      <c r="E1308" s="3">
        <v>1392.33</v>
      </c>
      <c r="F1308" s="3">
        <f t="shared" si="40"/>
        <v>351.84179100000006</v>
      </c>
      <c r="G1308" s="3">
        <f t="shared" si="41"/>
        <v>1744.171791</v>
      </c>
    </row>
    <row r="1309" spans="1:7" x14ac:dyDescent="0.3">
      <c r="A1309" t="s">
        <v>13039</v>
      </c>
      <c r="B1309" t="s">
        <v>2642</v>
      </c>
      <c r="C1309" t="s">
        <v>2643</v>
      </c>
      <c r="D1309" s="1" t="s">
        <v>195</v>
      </c>
      <c r="E1309" s="3">
        <v>1110.92</v>
      </c>
      <c r="F1309" s="3">
        <f t="shared" si="40"/>
        <v>280.72948400000007</v>
      </c>
      <c r="G1309" s="3">
        <f t="shared" si="41"/>
        <v>1391.649484</v>
      </c>
    </row>
    <row r="1310" spans="1:7" x14ac:dyDescent="0.3">
      <c r="A1310" t="s">
        <v>13039</v>
      </c>
      <c r="B1310" t="s">
        <v>2644</v>
      </c>
      <c r="C1310" t="s">
        <v>2645</v>
      </c>
      <c r="D1310" s="1" t="s">
        <v>195</v>
      </c>
      <c r="E1310" s="3">
        <v>1223.49</v>
      </c>
      <c r="F1310" s="3">
        <f t="shared" si="40"/>
        <v>309.17592300000007</v>
      </c>
      <c r="G1310" s="3">
        <f t="shared" si="41"/>
        <v>1532.665923</v>
      </c>
    </row>
    <row r="1311" spans="1:7" x14ac:dyDescent="0.3">
      <c r="A1311" t="s">
        <v>13039</v>
      </c>
      <c r="B1311" t="s">
        <v>2646</v>
      </c>
      <c r="C1311" t="s">
        <v>2647</v>
      </c>
      <c r="D1311" s="1" t="s">
        <v>195</v>
      </c>
      <c r="E1311" s="3">
        <v>1203.8699999999999</v>
      </c>
      <c r="F1311" s="3">
        <f t="shared" si="40"/>
        <v>304.21794900000003</v>
      </c>
      <c r="G1311" s="3">
        <f t="shared" si="41"/>
        <v>1508.087949</v>
      </c>
    </row>
    <row r="1312" spans="1:7" x14ac:dyDescent="0.3">
      <c r="A1312" t="s">
        <v>13039</v>
      </c>
      <c r="B1312" t="s">
        <v>2648</v>
      </c>
      <c r="C1312" t="s">
        <v>2649</v>
      </c>
      <c r="D1312" s="1" t="s">
        <v>195</v>
      </c>
      <c r="E1312" s="3">
        <v>1316.44</v>
      </c>
      <c r="F1312" s="3">
        <f t="shared" si="40"/>
        <v>332.66438800000009</v>
      </c>
      <c r="G1312" s="3">
        <f t="shared" si="41"/>
        <v>1649.1043880000002</v>
      </c>
    </row>
    <row r="1313" spans="1:7" x14ac:dyDescent="0.3">
      <c r="A1313" t="s">
        <v>13039</v>
      </c>
      <c r="B1313" t="s">
        <v>2650</v>
      </c>
      <c r="C1313" t="s">
        <v>2651</v>
      </c>
      <c r="D1313" s="1" t="s">
        <v>195</v>
      </c>
      <c r="E1313" s="3">
        <v>1366.17</v>
      </c>
      <c r="F1313" s="3">
        <f t="shared" si="40"/>
        <v>345.23115900000005</v>
      </c>
      <c r="G1313" s="3">
        <f t="shared" si="41"/>
        <v>1711.401159</v>
      </c>
    </row>
    <row r="1314" spans="1:7" x14ac:dyDescent="0.3">
      <c r="A1314" t="s">
        <v>13039</v>
      </c>
      <c r="B1314" t="s">
        <v>2652</v>
      </c>
      <c r="C1314" t="s">
        <v>2653</v>
      </c>
      <c r="D1314" s="1" t="s">
        <v>195</v>
      </c>
      <c r="E1314" s="3">
        <v>1478.74</v>
      </c>
      <c r="F1314" s="3">
        <f t="shared" si="40"/>
        <v>373.67759800000005</v>
      </c>
      <c r="G1314" s="3">
        <f t="shared" si="41"/>
        <v>1852.417598</v>
      </c>
    </row>
    <row r="1315" spans="1:7" x14ac:dyDescent="0.3">
      <c r="A1315" t="s">
        <v>13039</v>
      </c>
      <c r="B1315" t="s">
        <v>2654</v>
      </c>
      <c r="C1315" t="s">
        <v>2655</v>
      </c>
      <c r="D1315" s="1" t="s">
        <v>195</v>
      </c>
      <c r="E1315" s="3">
        <v>1380.6</v>
      </c>
      <c r="F1315" s="3">
        <f t="shared" si="40"/>
        <v>348.87762000000004</v>
      </c>
      <c r="G1315" s="3">
        <f t="shared" si="41"/>
        <v>1729.4776199999999</v>
      </c>
    </row>
    <row r="1316" spans="1:7" x14ac:dyDescent="0.3">
      <c r="A1316" t="s">
        <v>13039</v>
      </c>
      <c r="B1316" t="s">
        <v>2656</v>
      </c>
      <c r="C1316" t="s">
        <v>2657</v>
      </c>
      <c r="D1316" s="1" t="s">
        <v>195</v>
      </c>
      <c r="E1316" s="3">
        <v>1493.16</v>
      </c>
      <c r="F1316" s="3">
        <f t="shared" si="40"/>
        <v>377.32153200000005</v>
      </c>
      <c r="G1316" s="3">
        <f t="shared" si="41"/>
        <v>1870.4815320000002</v>
      </c>
    </row>
    <row r="1317" spans="1:7" x14ac:dyDescent="0.3">
      <c r="A1317" t="s">
        <v>13039</v>
      </c>
      <c r="B1317" t="s">
        <v>2658</v>
      </c>
      <c r="C1317" t="s">
        <v>2659</v>
      </c>
      <c r="D1317" s="1" t="s">
        <v>195</v>
      </c>
      <c r="E1317" s="3">
        <v>1424.83</v>
      </c>
      <c r="F1317" s="3">
        <f t="shared" si="40"/>
        <v>360.05454100000003</v>
      </c>
      <c r="G1317" s="3">
        <f t="shared" si="41"/>
        <v>1784.8845409999999</v>
      </c>
    </row>
    <row r="1318" spans="1:7" x14ac:dyDescent="0.3">
      <c r="A1318" t="s">
        <v>13039</v>
      </c>
      <c r="B1318" t="s">
        <v>2660</v>
      </c>
      <c r="C1318" t="s">
        <v>2661</v>
      </c>
      <c r="D1318" s="1" t="s">
        <v>195</v>
      </c>
      <c r="E1318" s="3">
        <v>1575.4</v>
      </c>
      <c r="F1318" s="3">
        <f t="shared" si="40"/>
        <v>398.10358000000008</v>
      </c>
      <c r="G1318" s="3">
        <f t="shared" si="41"/>
        <v>1973.5035800000001</v>
      </c>
    </row>
    <row r="1319" spans="1:7" x14ac:dyDescent="0.3">
      <c r="A1319" t="s">
        <v>13039</v>
      </c>
      <c r="B1319" t="s">
        <v>2662</v>
      </c>
      <c r="C1319" t="s">
        <v>2663</v>
      </c>
      <c r="D1319" s="1" t="s">
        <v>195</v>
      </c>
      <c r="E1319" s="3">
        <v>1601.48</v>
      </c>
      <c r="F1319" s="3">
        <f t="shared" si="40"/>
        <v>404.69399600000008</v>
      </c>
      <c r="G1319" s="3">
        <f t="shared" si="41"/>
        <v>2006.173996</v>
      </c>
    </row>
    <row r="1320" spans="1:7" x14ac:dyDescent="0.3">
      <c r="A1320" t="s">
        <v>13039</v>
      </c>
      <c r="B1320" t="s">
        <v>2664</v>
      </c>
      <c r="C1320" t="s">
        <v>2665</v>
      </c>
      <c r="D1320" s="1" t="s">
        <v>195</v>
      </c>
      <c r="E1320" s="3">
        <v>1752.05</v>
      </c>
      <c r="F1320" s="3">
        <f t="shared" si="40"/>
        <v>442.74303500000008</v>
      </c>
      <c r="G1320" s="3">
        <f t="shared" si="41"/>
        <v>2194.7930350000001</v>
      </c>
    </row>
    <row r="1321" spans="1:7" x14ac:dyDescent="0.3">
      <c r="A1321" t="s">
        <v>13039</v>
      </c>
      <c r="B1321" t="s">
        <v>2666</v>
      </c>
      <c r="C1321" t="s">
        <v>2667</v>
      </c>
      <c r="D1321" s="1" t="s">
        <v>195</v>
      </c>
      <c r="E1321" s="3">
        <v>1665.73</v>
      </c>
      <c r="F1321" s="3">
        <f t="shared" si="40"/>
        <v>420.92997100000008</v>
      </c>
      <c r="G1321" s="3">
        <f t="shared" si="41"/>
        <v>2086.659971</v>
      </c>
    </row>
    <row r="1322" spans="1:7" x14ac:dyDescent="0.3">
      <c r="A1322" t="s">
        <v>13039</v>
      </c>
      <c r="B1322" t="s">
        <v>2668</v>
      </c>
      <c r="C1322" t="s">
        <v>2669</v>
      </c>
      <c r="D1322" s="1" t="s">
        <v>195</v>
      </c>
      <c r="E1322" s="3">
        <v>1816.3</v>
      </c>
      <c r="F1322" s="3">
        <f t="shared" si="40"/>
        <v>458.97901000000007</v>
      </c>
      <c r="G1322" s="3">
        <f t="shared" si="41"/>
        <v>2275.2790100000002</v>
      </c>
    </row>
    <row r="1323" spans="1:7" x14ac:dyDescent="0.3">
      <c r="A1323" t="s">
        <v>13039</v>
      </c>
      <c r="B1323" t="s">
        <v>2670</v>
      </c>
      <c r="C1323" t="s">
        <v>2671</v>
      </c>
      <c r="D1323" s="1" t="s">
        <v>195</v>
      </c>
      <c r="E1323" s="3">
        <v>1749.65</v>
      </c>
      <c r="F1323" s="3">
        <f t="shared" si="40"/>
        <v>442.1365550000001</v>
      </c>
      <c r="G1323" s="3">
        <f t="shared" si="41"/>
        <v>2191.7865550000001</v>
      </c>
    </row>
    <row r="1324" spans="1:7" x14ac:dyDescent="0.3">
      <c r="A1324" t="s">
        <v>13039</v>
      </c>
      <c r="B1324" t="s">
        <v>2672</v>
      </c>
      <c r="C1324" t="s">
        <v>2673</v>
      </c>
      <c r="D1324" s="1" t="s">
        <v>195</v>
      </c>
      <c r="E1324" s="3">
        <v>1900.22</v>
      </c>
      <c r="F1324" s="3">
        <f t="shared" si="40"/>
        <v>480.18559400000009</v>
      </c>
      <c r="G1324" s="3">
        <f t="shared" si="41"/>
        <v>2380.4055940000003</v>
      </c>
    </row>
    <row r="1325" spans="1:7" x14ac:dyDescent="0.3">
      <c r="A1325" t="s">
        <v>13039</v>
      </c>
      <c r="B1325" t="s">
        <v>2674</v>
      </c>
      <c r="C1325" t="s">
        <v>2675</v>
      </c>
      <c r="D1325" s="1" t="s">
        <v>195</v>
      </c>
      <c r="E1325" s="3">
        <v>2060.64</v>
      </c>
      <c r="F1325" s="3">
        <f t="shared" si="40"/>
        <v>520.72372800000005</v>
      </c>
      <c r="G1325" s="3">
        <f t="shared" si="41"/>
        <v>2581.3637279999998</v>
      </c>
    </row>
    <row r="1326" spans="1:7" x14ac:dyDescent="0.3">
      <c r="A1326" t="s">
        <v>13039</v>
      </c>
      <c r="B1326" t="s">
        <v>2676</v>
      </c>
      <c r="C1326" t="s">
        <v>2677</v>
      </c>
      <c r="D1326" s="1" t="s">
        <v>195</v>
      </c>
      <c r="E1326" s="3">
        <v>2252.4499999999998</v>
      </c>
      <c r="F1326" s="3">
        <f t="shared" si="40"/>
        <v>569.19411500000001</v>
      </c>
      <c r="G1326" s="3">
        <f t="shared" si="41"/>
        <v>2821.6441150000001</v>
      </c>
    </row>
    <row r="1327" spans="1:7" x14ac:dyDescent="0.3">
      <c r="A1327" t="s">
        <v>13039</v>
      </c>
      <c r="B1327" t="s">
        <v>2678</v>
      </c>
      <c r="C1327" t="s">
        <v>2679</v>
      </c>
      <c r="D1327" s="1" t="s">
        <v>195</v>
      </c>
      <c r="E1327" s="3">
        <v>2221.73</v>
      </c>
      <c r="F1327" s="3">
        <f t="shared" si="40"/>
        <v>561.43117100000006</v>
      </c>
      <c r="G1327" s="3">
        <f t="shared" si="41"/>
        <v>2783.1611710000002</v>
      </c>
    </row>
    <row r="1328" spans="1:7" x14ac:dyDescent="0.3">
      <c r="A1328" t="s">
        <v>13039</v>
      </c>
      <c r="B1328" t="s">
        <v>2680</v>
      </c>
      <c r="C1328" t="s">
        <v>2681</v>
      </c>
      <c r="D1328" s="1" t="s">
        <v>195</v>
      </c>
      <c r="E1328" s="3">
        <v>2413.54</v>
      </c>
      <c r="F1328" s="3">
        <f t="shared" si="40"/>
        <v>609.90155800000002</v>
      </c>
      <c r="G1328" s="3">
        <f t="shared" si="41"/>
        <v>3023.441558</v>
      </c>
    </row>
    <row r="1329" spans="1:7" x14ac:dyDescent="0.3">
      <c r="A1329" t="s">
        <v>13039</v>
      </c>
      <c r="B1329" t="s">
        <v>2682</v>
      </c>
      <c r="C1329" t="s">
        <v>2683</v>
      </c>
      <c r="D1329" s="1" t="s">
        <v>195</v>
      </c>
      <c r="E1329" s="3">
        <v>2677.27</v>
      </c>
      <c r="F1329" s="3">
        <f t="shared" si="40"/>
        <v>676.54612900000006</v>
      </c>
      <c r="G1329" s="3">
        <f t="shared" si="41"/>
        <v>3353.8161289999998</v>
      </c>
    </row>
    <row r="1330" spans="1:7" x14ac:dyDescent="0.3">
      <c r="A1330" t="s">
        <v>13039</v>
      </c>
      <c r="B1330" t="s">
        <v>2684</v>
      </c>
      <c r="C1330" t="s">
        <v>2685</v>
      </c>
      <c r="D1330" s="1" t="s">
        <v>195</v>
      </c>
      <c r="E1330" s="3">
        <v>2869.08</v>
      </c>
      <c r="F1330" s="3">
        <f t="shared" si="40"/>
        <v>725.01651600000014</v>
      </c>
      <c r="G1330" s="3">
        <f t="shared" si="41"/>
        <v>3594.0965160000001</v>
      </c>
    </row>
    <row r="1331" spans="1:7" x14ac:dyDescent="0.3">
      <c r="A1331" t="s">
        <v>13039</v>
      </c>
      <c r="B1331" t="s">
        <v>2686</v>
      </c>
      <c r="C1331" t="s">
        <v>2687</v>
      </c>
      <c r="D1331" s="1" t="s">
        <v>195</v>
      </c>
      <c r="E1331" s="3">
        <v>2745.5</v>
      </c>
      <c r="F1331" s="3">
        <f t="shared" si="40"/>
        <v>693.78785000000005</v>
      </c>
      <c r="G1331" s="3">
        <f t="shared" si="41"/>
        <v>3439.2878500000002</v>
      </c>
    </row>
    <row r="1332" spans="1:7" x14ac:dyDescent="0.3">
      <c r="A1332" t="s">
        <v>13039</v>
      </c>
      <c r="B1332" t="s">
        <v>2688</v>
      </c>
      <c r="C1332" t="s">
        <v>2689</v>
      </c>
      <c r="D1332" s="1" t="s">
        <v>195</v>
      </c>
      <c r="E1332" s="3">
        <v>2937.31</v>
      </c>
      <c r="F1332" s="3">
        <f t="shared" si="40"/>
        <v>742.25823700000012</v>
      </c>
      <c r="G1332" s="3">
        <f t="shared" si="41"/>
        <v>3679.568237</v>
      </c>
    </row>
    <row r="1333" spans="1:7" x14ac:dyDescent="0.3">
      <c r="A1333" t="s">
        <v>13039</v>
      </c>
      <c r="B1333" t="s">
        <v>2690</v>
      </c>
      <c r="C1333" t="s">
        <v>2691</v>
      </c>
      <c r="D1333" s="1" t="s">
        <v>195</v>
      </c>
      <c r="E1333" s="3">
        <v>3341.54</v>
      </c>
      <c r="F1333" s="3">
        <f t="shared" si="40"/>
        <v>844.40715800000009</v>
      </c>
      <c r="G1333" s="3">
        <f t="shared" si="41"/>
        <v>4185.9471579999999</v>
      </c>
    </row>
    <row r="1334" spans="1:7" x14ac:dyDescent="0.3">
      <c r="A1334" t="s">
        <v>13039</v>
      </c>
      <c r="B1334" t="s">
        <v>2692</v>
      </c>
      <c r="C1334" t="s">
        <v>2693</v>
      </c>
      <c r="D1334" s="1" t="s">
        <v>195</v>
      </c>
      <c r="E1334" s="3">
        <v>3589.03</v>
      </c>
      <c r="F1334" s="3">
        <f t="shared" si="40"/>
        <v>906.94788100000017</v>
      </c>
      <c r="G1334" s="3">
        <f t="shared" si="41"/>
        <v>4495.9778810000007</v>
      </c>
    </row>
    <row r="1335" spans="1:7" x14ac:dyDescent="0.3">
      <c r="A1335" t="s">
        <v>13039</v>
      </c>
      <c r="B1335" t="s">
        <v>2694</v>
      </c>
      <c r="C1335" t="s">
        <v>2695</v>
      </c>
      <c r="D1335" s="1" t="s">
        <v>195</v>
      </c>
      <c r="E1335" s="3">
        <v>3415.39</v>
      </c>
      <c r="F1335" s="3">
        <f t="shared" si="40"/>
        <v>863.06905300000005</v>
      </c>
      <c r="G1335" s="3">
        <f t="shared" si="41"/>
        <v>4278.4590529999996</v>
      </c>
    </row>
    <row r="1336" spans="1:7" x14ac:dyDescent="0.3">
      <c r="A1336" t="s">
        <v>13039</v>
      </c>
      <c r="B1336" t="s">
        <v>2696</v>
      </c>
      <c r="C1336" t="s">
        <v>2697</v>
      </c>
      <c r="D1336" s="1" t="s">
        <v>195</v>
      </c>
      <c r="E1336" s="3">
        <v>3662.88</v>
      </c>
      <c r="F1336" s="3">
        <f t="shared" si="40"/>
        <v>925.60977600000012</v>
      </c>
      <c r="G1336" s="3">
        <f t="shared" si="41"/>
        <v>4588.4897760000003</v>
      </c>
    </row>
    <row r="1337" spans="1:7" x14ac:dyDescent="0.3">
      <c r="A1337" t="s">
        <v>13039</v>
      </c>
      <c r="B1337" t="s">
        <v>2698</v>
      </c>
      <c r="C1337" t="s">
        <v>2699</v>
      </c>
      <c r="D1337" s="1" t="s">
        <v>195</v>
      </c>
      <c r="E1337" s="3">
        <v>3445.51</v>
      </c>
      <c r="F1337" s="3">
        <f t="shared" si="40"/>
        <v>870.68037700000014</v>
      </c>
      <c r="G1337" s="3">
        <f t="shared" si="41"/>
        <v>4316.1903770000008</v>
      </c>
    </row>
    <row r="1338" spans="1:7" x14ac:dyDescent="0.3">
      <c r="A1338" t="s">
        <v>13039</v>
      </c>
      <c r="B1338" t="s">
        <v>2700</v>
      </c>
      <c r="C1338" t="s">
        <v>2701</v>
      </c>
      <c r="D1338" s="1" t="s">
        <v>195</v>
      </c>
      <c r="E1338" s="3">
        <v>3693</v>
      </c>
      <c r="F1338" s="3">
        <f t="shared" si="40"/>
        <v>933.22110000000009</v>
      </c>
      <c r="G1338" s="3">
        <f t="shared" si="41"/>
        <v>4626.2210999999998</v>
      </c>
    </row>
    <row r="1339" spans="1:7" x14ac:dyDescent="0.3">
      <c r="A1339" t="s">
        <v>13039</v>
      </c>
      <c r="B1339" t="s">
        <v>2702</v>
      </c>
      <c r="C1339" t="s">
        <v>2703</v>
      </c>
      <c r="D1339" s="1" t="s">
        <v>195</v>
      </c>
      <c r="E1339" s="3">
        <v>3673.53</v>
      </c>
      <c r="F1339" s="3">
        <f t="shared" si="40"/>
        <v>928.30103100000019</v>
      </c>
      <c r="G1339" s="3">
        <f t="shared" si="41"/>
        <v>4601.8310310000006</v>
      </c>
    </row>
    <row r="1340" spans="1:7" x14ac:dyDescent="0.3">
      <c r="A1340" t="s">
        <v>13039</v>
      </c>
      <c r="B1340" t="s">
        <v>2704</v>
      </c>
      <c r="C1340" t="s">
        <v>2705</v>
      </c>
      <c r="D1340" s="1" t="s">
        <v>195</v>
      </c>
      <c r="E1340" s="3">
        <v>3921.02</v>
      </c>
      <c r="F1340" s="3">
        <f t="shared" si="40"/>
        <v>990.84175400000015</v>
      </c>
      <c r="G1340" s="3">
        <f t="shared" si="41"/>
        <v>4911.8617540000005</v>
      </c>
    </row>
    <row r="1341" spans="1:7" x14ac:dyDescent="0.3">
      <c r="A1341" t="s">
        <v>13039</v>
      </c>
      <c r="B1341" t="s">
        <v>2706</v>
      </c>
      <c r="C1341" t="s">
        <v>2707</v>
      </c>
      <c r="D1341" s="1" t="s">
        <v>195</v>
      </c>
      <c r="E1341" s="3">
        <v>232.18</v>
      </c>
      <c r="F1341" s="3">
        <f t="shared" si="40"/>
        <v>58.671886000000008</v>
      </c>
      <c r="G1341" s="3">
        <f t="shared" si="41"/>
        <v>290.85188600000004</v>
      </c>
    </row>
    <row r="1342" spans="1:7" x14ac:dyDescent="0.3">
      <c r="A1342" t="s">
        <v>13039</v>
      </c>
      <c r="B1342" t="s">
        <v>2708</v>
      </c>
      <c r="C1342" t="s">
        <v>2709</v>
      </c>
      <c r="D1342" s="1" t="s">
        <v>195</v>
      </c>
      <c r="E1342" s="3">
        <v>259.60000000000002</v>
      </c>
      <c r="F1342" s="3">
        <f t="shared" si="40"/>
        <v>65.600920000000016</v>
      </c>
      <c r="G1342" s="3">
        <f t="shared" si="41"/>
        <v>325.20092000000005</v>
      </c>
    </row>
    <row r="1343" spans="1:7" x14ac:dyDescent="0.3">
      <c r="A1343" t="s">
        <v>13039</v>
      </c>
      <c r="B1343" t="s">
        <v>2710</v>
      </c>
      <c r="C1343" t="s">
        <v>2711</v>
      </c>
      <c r="D1343" s="1" t="s">
        <v>195</v>
      </c>
      <c r="E1343" s="3">
        <v>270.60000000000002</v>
      </c>
      <c r="F1343" s="3">
        <f t="shared" si="40"/>
        <v>68.380620000000022</v>
      </c>
      <c r="G1343" s="3">
        <f t="shared" si="41"/>
        <v>338.98062000000004</v>
      </c>
    </row>
    <row r="1344" spans="1:7" x14ac:dyDescent="0.3">
      <c r="A1344" t="s">
        <v>13039</v>
      </c>
      <c r="B1344" t="s">
        <v>2712</v>
      </c>
      <c r="C1344" t="s">
        <v>2713</v>
      </c>
      <c r="D1344" s="1" t="s">
        <v>195</v>
      </c>
      <c r="E1344" s="3">
        <v>298.02999999999997</v>
      </c>
      <c r="F1344" s="3">
        <f t="shared" si="40"/>
        <v>75.31218100000001</v>
      </c>
      <c r="G1344" s="3">
        <f t="shared" si="41"/>
        <v>373.34218099999998</v>
      </c>
    </row>
    <row r="1345" spans="1:7" x14ac:dyDescent="0.3">
      <c r="A1345" t="s">
        <v>13039</v>
      </c>
      <c r="B1345" t="s">
        <v>2714</v>
      </c>
      <c r="C1345" t="s">
        <v>2715</v>
      </c>
      <c r="D1345" s="1" t="s">
        <v>195</v>
      </c>
      <c r="E1345" s="3">
        <v>283.8</v>
      </c>
      <c r="F1345" s="3">
        <f t="shared" si="40"/>
        <v>71.71626000000002</v>
      </c>
      <c r="G1345" s="3">
        <f t="shared" si="41"/>
        <v>355.51626000000005</v>
      </c>
    </row>
    <row r="1346" spans="1:7" x14ac:dyDescent="0.3">
      <c r="A1346" t="s">
        <v>13039</v>
      </c>
      <c r="B1346" t="s">
        <v>2716</v>
      </c>
      <c r="C1346" t="s">
        <v>2717</v>
      </c>
      <c r="D1346" s="1" t="s">
        <v>195</v>
      </c>
      <c r="E1346" s="3">
        <v>311.23</v>
      </c>
      <c r="F1346" s="3">
        <f t="shared" si="40"/>
        <v>78.647821000000022</v>
      </c>
      <c r="G1346" s="3">
        <f t="shared" si="41"/>
        <v>389.87782100000004</v>
      </c>
    </row>
    <row r="1347" spans="1:7" x14ac:dyDescent="0.3">
      <c r="A1347" t="s">
        <v>13039</v>
      </c>
      <c r="B1347" t="s">
        <v>2718</v>
      </c>
      <c r="C1347" t="s">
        <v>2719</v>
      </c>
      <c r="D1347" s="1" t="s">
        <v>195</v>
      </c>
      <c r="E1347" s="3">
        <v>312.05</v>
      </c>
      <c r="F1347" s="3">
        <f t="shared" si="40"/>
        <v>78.855035000000015</v>
      </c>
      <c r="G1347" s="3">
        <f t="shared" si="41"/>
        <v>390.905035</v>
      </c>
    </row>
    <row r="1348" spans="1:7" x14ac:dyDescent="0.3">
      <c r="A1348" t="s">
        <v>13039</v>
      </c>
      <c r="B1348" t="s">
        <v>2720</v>
      </c>
      <c r="C1348" t="s">
        <v>2721</v>
      </c>
      <c r="D1348" s="1" t="s">
        <v>195</v>
      </c>
      <c r="E1348" s="3">
        <v>339.47</v>
      </c>
      <c r="F1348" s="3">
        <f t="shared" si="40"/>
        <v>85.784069000000017</v>
      </c>
      <c r="G1348" s="3">
        <f t="shared" si="41"/>
        <v>425.25406900000007</v>
      </c>
    </row>
    <row r="1349" spans="1:7" x14ac:dyDescent="0.3">
      <c r="A1349" t="s">
        <v>13039</v>
      </c>
      <c r="B1349" t="s">
        <v>2722</v>
      </c>
      <c r="C1349" t="s">
        <v>2723</v>
      </c>
      <c r="D1349" s="1" t="s">
        <v>195</v>
      </c>
      <c r="E1349" s="3">
        <v>380.25</v>
      </c>
      <c r="F1349" s="3">
        <f t="shared" si="40"/>
        <v>96.089175000000012</v>
      </c>
      <c r="G1349" s="3">
        <f t="shared" si="41"/>
        <v>476.33917500000001</v>
      </c>
    </row>
    <row r="1350" spans="1:7" x14ac:dyDescent="0.3">
      <c r="A1350" t="s">
        <v>13039</v>
      </c>
      <c r="B1350" t="s">
        <v>2724</v>
      </c>
      <c r="C1350" t="s">
        <v>2725</v>
      </c>
      <c r="D1350" s="1" t="s">
        <v>195</v>
      </c>
      <c r="E1350" s="3">
        <v>421.41</v>
      </c>
      <c r="F1350" s="3">
        <f t="shared" si="40"/>
        <v>106.49030700000002</v>
      </c>
      <c r="G1350" s="3">
        <f t="shared" si="41"/>
        <v>527.900307</v>
      </c>
    </row>
    <row r="1351" spans="1:7" x14ac:dyDescent="0.3">
      <c r="A1351" t="s">
        <v>13039</v>
      </c>
      <c r="B1351" t="s">
        <v>2726</v>
      </c>
      <c r="C1351" t="s">
        <v>2727</v>
      </c>
      <c r="D1351" s="1" t="s">
        <v>195</v>
      </c>
      <c r="E1351" s="3">
        <v>406.64</v>
      </c>
      <c r="F1351" s="3">
        <f t="shared" ref="F1351:F1414" si="42">+E1351*$F$4</f>
        <v>102.75792800000001</v>
      </c>
      <c r="G1351" s="3">
        <f t="shared" ref="G1351:G1414" si="43">+E1351+F1351</f>
        <v>509.39792799999998</v>
      </c>
    </row>
    <row r="1352" spans="1:7" x14ac:dyDescent="0.3">
      <c r="A1352" t="s">
        <v>13039</v>
      </c>
      <c r="B1352" t="s">
        <v>2728</v>
      </c>
      <c r="C1352" t="s">
        <v>2729</v>
      </c>
      <c r="D1352" s="1" t="s">
        <v>195</v>
      </c>
      <c r="E1352" s="3">
        <v>447.8</v>
      </c>
      <c r="F1352" s="3">
        <f t="shared" si="42"/>
        <v>113.15906000000003</v>
      </c>
      <c r="G1352" s="3">
        <f t="shared" si="43"/>
        <v>560.95906000000002</v>
      </c>
    </row>
    <row r="1353" spans="1:7" x14ac:dyDescent="0.3">
      <c r="A1353" t="s">
        <v>13039</v>
      </c>
      <c r="B1353" t="s">
        <v>2730</v>
      </c>
      <c r="C1353" t="s">
        <v>2731</v>
      </c>
      <c r="D1353" s="1" t="s">
        <v>195</v>
      </c>
      <c r="E1353" s="3">
        <v>449.45</v>
      </c>
      <c r="F1353" s="3">
        <f t="shared" si="42"/>
        <v>113.57601500000001</v>
      </c>
      <c r="G1353" s="3">
        <f t="shared" si="43"/>
        <v>563.02601500000003</v>
      </c>
    </row>
    <row r="1354" spans="1:7" x14ac:dyDescent="0.3">
      <c r="A1354" t="s">
        <v>13039</v>
      </c>
      <c r="B1354" t="s">
        <v>2732</v>
      </c>
      <c r="C1354" t="s">
        <v>2733</v>
      </c>
      <c r="D1354" s="1" t="s">
        <v>195</v>
      </c>
      <c r="E1354" s="3">
        <v>490.61</v>
      </c>
      <c r="F1354" s="3">
        <f t="shared" si="42"/>
        <v>123.97714700000002</v>
      </c>
      <c r="G1354" s="3">
        <f t="shared" si="43"/>
        <v>614.58714700000007</v>
      </c>
    </row>
    <row r="1355" spans="1:7" x14ac:dyDescent="0.3">
      <c r="A1355" t="s">
        <v>13039</v>
      </c>
      <c r="B1355" t="s">
        <v>2734</v>
      </c>
      <c r="C1355" t="s">
        <v>2735</v>
      </c>
      <c r="D1355" s="1" t="s">
        <v>195</v>
      </c>
      <c r="E1355" s="3">
        <v>572.57000000000005</v>
      </c>
      <c r="F1355" s="3">
        <f t="shared" si="42"/>
        <v>144.68843900000005</v>
      </c>
      <c r="G1355" s="3">
        <f t="shared" si="43"/>
        <v>717.25843900000007</v>
      </c>
    </row>
    <row r="1356" spans="1:7" x14ac:dyDescent="0.3">
      <c r="A1356" t="s">
        <v>13039</v>
      </c>
      <c r="B1356" t="s">
        <v>2736</v>
      </c>
      <c r="C1356" t="s">
        <v>2737</v>
      </c>
      <c r="D1356" s="1" t="s">
        <v>195</v>
      </c>
      <c r="E1356" s="3">
        <v>613.73</v>
      </c>
      <c r="F1356" s="3">
        <f t="shared" si="42"/>
        <v>155.08957100000003</v>
      </c>
      <c r="G1356" s="3">
        <f t="shared" si="43"/>
        <v>768.819571</v>
      </c>
    </row>
    <row r="1357" spans="1:7" x14ac:dyDescent="0.3">
      <c r="A1357" t="s">
        <v>13039</v>
      </c>
      <c r="B1357" t="s">
        <v>2738</v>
      </c>
      <c r="C1357" t="s">
        <v>2739</v>
      </c>
      <c r="D1357" s="1" t="s">
        <v>195</v>
      </c>
      <c r="E1357" s="3">
        <v>582.07000000000005</v>
      </c>
      <c r="F1357" s="3">
        <f t="shared" si="42"/>
        <v>147.08908900000003</v>
      </c>
      <c r="G1357" s="3">
        <f t="shared" si="43"/>
        <v>729.15908900000011</v>
      </c>
    </row>
    <row r="1358" spans="1:7" x14ac:dyDescent="0.3">
      <c r="A1358" t="s">
        <v>13039</v>
      </c>
      <c r="B1358" t="s">
        <v>2740</v>
      </c>
      <c r="C1358" t="s">
        <v>2741</v>
      </c>
      <c r="D1358" s="1" t="s">
        <v>195</v>
      </c>
      <c r="E1358" s="3">
        <v>638.36</v>
      </c>
      <c r="F1358" s="3">
        <f t="shared" si="42"/>
        <v>161.31357200000002</v>
      </c>
      <c r="G1358" s="3">
        <f t="shared" si="43"/>
        <v>799.67357200000004</v>
      </c>
    </row>
    <row r="1359" spans="1:7" x14ac:dyDescent="0.3">
      <c r="A1359" t="s">
        <v>13039</v>
      </c>
      <c r="B1359" t="s">
        <v>2742</v>
      </c>
      <c r="C1359" t="s">
        <v>2743</v>
      </c>
      <c r="D1359" s="1" t="s">
        <v>195</v>
      </c>
      <c r="E1359" s="3">
        <v>628.54999999999995</v>
      </c>
      <c r="F1359" s="3">
        <f t="shared" si="42"/>
        <v>158.834585</v>
      </c>
      <c r="G1359" s="3">
        <f t="shared" si="43"/>
        <v>787.38458500000002</v>
      </c>
    </row>
    <row r="1360" spans="1:7" x14ac:dyDescent="0.3">
      <c r="A1360" t="s">
        <v>13039</v>
      </c>
      <c r="B1360" t="s">
        <v>2744</v>
      </c>
      <c r="C1360" t="s">
        <v>2745</v>
      </c>
      <c r="D1360" s="1" t="s">
        <v>195</v>
      </c>
      <c r="E1360" s="3">
        <v>684.83</v>
      </c>
      <c r="F1360" s="3">
        <f t="shared" si="42"/>
        <v>173.05654100000004</v>
      </c>
      <c r="G1360" s="3">
        <f t="shared" si="43"/>
        <v>857.88654100000008</v>
      </c>
    </row>
    <row r="1361" spans="1:7" x14ac:dyDescent="0.3">
      <c r="A1361" t="s">
        <v>13039</v>
      </c>
      <c r="B1361" t="s">
        <v>2746</v>
      </c>
      <c r="C1361" t="s">
        <v>2747</v>
      </c>
      <c r="D1361" s="1" t="s">
        <v>195</v>
      </c>
      <c r="E1361" s="3">
        <v>709.7</v>
      </c>
      <c r="F1361" s="3">
        <f t="shared" si="42"/>
        <v>179.34119000000004</v>
      </c>
      <c r="G1361" s="3">
        <f t="shared" si="43"/>
        <v>889.04119000000014</v>
      </c>
    </row>
    <row r="1362" spans="1:7" x14ac:dyDescent="0.3">
      <c r="A1362" t="s">
        <v>13039</v>
      </c>
      <c r="B1362" t="s">
        <v>2748</v>
      </c>
      <c r="C1362" t="s">
        <v>2749</v>
      </c>
      <c r="D1362" s="1" t="s">
        <v>195</v>
      </c>
      <c r="E1362" s="3">
        <v>765.98</v>
      </c>
      <c r="F1362" s="3">
        <f t="shared" si="42"/>
        <v>193.56314600000005</v>
      </c>
      <c r="G1362" s="3">
        <f t="shared" si="43"/>
        <v>959.54314600000009</v>
      </c>
    </row>
    <row r="1363" spans="1:7" x14ac:dyDescent="0.3">
      <c r="A1363" t="s">
        <v>13039</v>
      </c>
      <c r="B1363" t="s">
        <v>2750</v>
      </c>
      <c r="C1363" t="s">
        <v>2751</v>
      </c>
      <c r="D1363" s="1" t="s">
        <v>195</v>
      </c>
      <c r="E1363" s="3">
        <v>716.91</v>
      </c>
      <c r="F1363" s="3">
        <f t="shared" si="42"/>
        <v>181.16315700000001</v>
      </c>
      <c r="G1363" s="3">
        <f t="shared" si="43"/>
        <v>898.07315700000004</v>
      </c>
    </row>
    <row r="1364" spans="1:7" x14ac:dyDescent="0.3">
      <c r="A1364" t="s">
        <v>13039</v>
      </c>
      <c r="B1364" t="s">
        <v>2752</v>
      </c>
      <c r="C1364" t="s">
        <v>2753</v>
      </c>
      <c r="D1364" s="1" t="s">
        <v>195</v>
      </c>
      <c r="E1364" s="3">
        <v>773.19</v>
      </c>
      <c r="F1364" s="3">
        <f t="shared" si="42"/>
        <v>195.38511300000005</v>
      </c>
      <c r="G1364" s="3">
        <f t="shared" si="43"/>
        <v>968.5751130000001</v>
      </c>
    </row>
    <row r="1365" spans="1:7" x14ac:dyDescent="0.3">
      <c r="A1365" t="s">
        <v>13039</v>
      </c>
      <c r="B1365" t="s">
        <v>2754</v>
      </c>
      <c r="C1365" t="s">
        <v>2755</v>
      </c>
      <c r="D1365" s="1" t="s">
        <v>195</v>
      </c>
      <c r="E1365" s="3">
        <v>740.4</v>
      </c>
      <c r="F1365" s="3">
        <f t="shared" si="42"/>
        <v>187.09908000000001</v>
      </c>
      <c r="G1365" s="3">
        <f t="shared" si="43"/>
        <v>927.49908000000005</v>
      </c>
    </row>
    <row r="1366" spans="1:7" x14ac:dyDescent="0.3">
      <c r="A1366" t="s">
        <v>13039</v>
      </c>
      <c r="B1366" t="s">
        <v>2756</v>
      </c>
      <c r="C1366" t="s">
        <v>2757</v>
      </c>
      <c r="D1366" s="1" t="s">
        <v>195</v>
      </c>
      <c r="E1366" s="3">
        <v>813.88</v>
      </c>
      <c r="F1366" s="3">
        <f t="shared" si="42"/>
        <v>205.66747600000002</v>
      </c>
      <c r="G1366" s="3">
        <f t="shared" si="43"/>
        <v>1019.547476</v>
      </c>
    </row>
    <row r="1367" spans="1:7" x14ac:dyDescent="0.3">
      <c r="A1367" t="s">
        <v>13039</v>
      </c>
      <c r="B1367" t="s">
        <v>2758</v>
      </c>
      <c r="C1367" t="s">
        <v>2759</v>
      </c>
      <c r="D1367" s="1" t="s">
        <v>195</v>
      </c>
      <c r="E1367" s="3">
        <v>828.72</v>
      </c>
      <c r="F1367" s="3">
        <f t="shared" si="42"/>
        <v>209.41754400000005</v>
      </c>
      <c r="G1367" s="3">
        <f t="shared" si="43"/>
        <v>1038.1375440000002</v>
      </c>
    </row>
    <row r="1368" spans="1:7" x14ac:dyDescent="0.3">
      <c r="A1368" t="s">
        <v>13039</v>
      </c>
      <c r="B1368" t="s">
        <v>2760</v>
      </c>
      <c r="C1368" t="s">
        <v>2761</v>
      </c>
      <c r="D1368" s="1" t="s">
        <v>195</v>
      </c>
      <c r="E1368" s="3">
        <v>902.21</v>
      </c>
      <c r="F1368" s="3">
        <f t="shared" si="42"/>
        <v>227.98846700000004</v>
      </c>
      <c r="G1368" s="3">
        <f t="shared" si="43"/>
        <v>1130.1984670000002</v>
      </c>
    </row>
    <row r="1369" spans="1:7" x14ac:dyDescent="0.3">
      <c r="A1369" t="s">
        <v>13039</v>
      </c>
      <c r="B1369" t="s">
        <v>2762</v>
      </c>
      <c r="C1369" t="s">
        <v>2763</v>
      </c>
      <c r="D1369" s="1" t="s">
        <v>195</v>
      </c>
      <c r="E1369" s="3">
        <v>860.85</v>
      </c>
      <c r="F1369" s="3">
        <f t="shared" si="42"/>
        <v>217.53679500000004</v>
      </c>
      <c r="G1369" s="3">
        <f t="shared" si="43"/>
        <v>1078.3867950000001</v>
      </c>
    </row>
    <row r="1370" spans="1:7" x14ac:dyDescent="0.3">
      <c r="A1370" t="s">
        <v>13039</v>
      </c>
      <c r="B1370" t="s">
        <v>2764</v>
      </c>
      <c r="C1370" t="s">
        <v>2765</v>
      </c>
      <c r="D1370" s="1" t="s">
        <v>195</v>
      </c>
      <c r="E1370" s="3">
        <v>934.34</v>
      </c>
      <c r="F1370" s="3">
        <f t="shared" si="42"/>
        <v>236.10771800000003</v>
      </c>
      <c r="G1370" s="3">
        <f t="shared" si="43"/>
        <v>1170.4477180000001</v>
      </c>
    </row>
    <row r="1371" spans="1:7" x14ac:dyDescent="0.3">
      <c r="A1371" t="s">
        <v>13039</v>
      </c>
      <c r="B1371" t="s">
        <v>2766</v>
      </c>
      <c r="C1371" t="s">
        <v>2767</v>
      </c>
      <c r="D1371" s="1" t="s">
        <v>195</v>
      </c>
      <c r="E1371" s="3">
        <v>902.81</v>
      </c>
      <c r="F1371" s="3">
        <f t="shared" si="42"/>
        <v>228.14008700000002</v>
      </c>
      <c r="G1371" s="3">
        <f t="shared" si="43"/>
        <v>1130.9500869999999</v>
      </c>
    </row>
    <row r="1372" spans="1:7" x14ac:dyDescent="0.3">
      <c r="A1372" t="s">
        <v>13039</v>
      </c>
      <c r="B1372" t="s">
        <v>2768</v>
      </c>
      <c r="C1372" t="s">
        <v>2769</v>
      </c>
      <c r="D1372" s="1" t="s">
        <v>195</v>
      </c>
      <c r="E1372" s="3">
        <v>976.29</v>
      </c>
      <c r="F1372" s="3">
        <f t="shared" si="42"/>
        <v>246.70848300000003</v>
      </c>
      <c r="G1372" s="3">
        <f t="shared" si="43"/>
        <v>1222.9984830000001</v>
      </c>
    </row>
    <row r="1373" spans="1:7" x14ac:dyDescent="0.3">
      <c r="A1373" t="s">
        <v>13039</v>
      </c>
      <c r="B1373" t="s">
        <v>2770</v>
      </c>
      <c r="C1373" t="s">
        <v>2771</v>
      </c>
      <c r="D1373" s="1" t="s">
        <v>195</v>
      </c>
      <c r="E1373" s="3">
        <v>1058.94</v>
      </c>
      <c r="F1373" s="3">
        <f t="shared" si="42"/>
        <v>267.59413800000004</v>
      </c>
      <c r="G1373" s="3">
        <f t="shared" si="43"/>
        <v>1326.534138</v>
      </c>
    </row>
    <row r="1374" spans="1:7" x14ac:dyDescent="0.3">
      <c r="A1374" t="s">
        <v>13039</v>
      </c>
      <c r="B1374" t="s">
        <v>2772</v>
      </c>
      <c r="C1374" t="s">
        <v>2773</v>
      </c>
      <c r="D1374" s="1" t="s">
        <v>195</v>
      </c>
      <c r="E1374" s="3">
        <v>1150.71</v>
      </c>
      <c r="F1374" s="3">
        <f t="shared" si="42"/>
        <v>290.78441700000008</v>
      </c>
      <c r="G1374" s="3">
        <f t="shared" si="43"/>
        <v>1441.4944170000001</v>
      </c>
    </row>
    <row r="1375" spans="1:7" x14ac:dyDescent="0.3">
      <c r="A1375" t="s">
        <v>13039</v>
      </c>
      <c r="B1375" t="s">
        <v>2774</v>
      </c>
      <c r="C1375" t="s">
        <v>2775</v>
      </c>
      <c r="D1375" s="1" t="s">
        <v>195</v>
      </c>
      <c r="E1375" s="3">
        <v>1139.49</v>
      </c>
      <c r="F1375" s="3">
        <f t="shared" si="42"/>
        <v>287.94912300000004</v>
      </c>
      <c r="G1375" s="3">
        <f t="shared" si="43"/>
        <v>1427.4391230000001</v>
      </c>
    </row>
    <row r="1376" spans="1:7" x14ac:dyDescent="0.3">
      <c r="A1376" t="s">
        <v>13039</v>
      </c>
      <c r="B1376" t="s">
        <v>2776</v>
      </c>
      <c r="C1376" t="s">
        <v>2777</v>
      </c>
      <c r="D1376" s="1" t="s">
        <v>195</v>
      </c>
      <c r="E1376" s="3">
        <v>1231.26</v>
      </c>
      <c r="F1376" s="3">
        <f t="shared" si="42"/>
        <v>311.13940200000002</v>
      </c>
      <c r="G1376" s="3">
        <f t="shared" si="43"/>
        <v>1542.399402</v>
      </c>
    </row>
    <row r="1377" spans="1:7" x14ac:dyDescent="0.3">
      <c r="A1377" t="s">
        <v>13039</v>
      </c>
      <c r="B1377" t="s">
        <v>2778</v>
      </c>
      <c r="C1377" t="s">
        <v>2779</v>
      </c>
      <c r="D1377" s="1" t="s">
        <v>195</v>
      </c>
      <c r="E1377" s="3">
        <v>1367.26</v>
      </c>
      <c r="F1377" s="3">
        <f t="shared" si="42"/>
        <v>345.50660200000004</v>
      </c>
      <c r="G1377" s="3">
        <f t="shared" si="43"/>
        <v>1712.7666020000001</v>
      </c>
    </row>
    <row r="1378" spans="1:7" x14ac:dyDescent="0.3">
      <c r="A1378" t="s">
        <v>13039</v>
      </c>
      <c r="B1378" t="s">
        <v>2780</v>
      </c>
      <c r="C1378" t="s">
        <v>2781</v>
      </c>
      <c r="D1378" s="1" t="s">
        <v>195</v>
      </c>
      <c r="E1378" s="3">
        <v>1459.03</v>
      </c>
      <c r="F1378" s="3">
        <f t="shared" si="42"/>
        <v>368.69688100000002</v>
      </c>
      <c r="G1378" s="3">
        <f t="shared" si="43"/>
        <v>1827.726881</v>
      </c>
    </row>
    <row r="1379" spans="1:7" x14ac:dyDescent="0.3">
      <c r="A1379" t="s">
        <v>13039</v>
      </c>
      <c r="B1379" t="s">
        <v>2782</v>
      </c>
      <c r="C1379" t="s">
        <v>2783</v>
      </c>
      <c r="D1379" s="1" t="s">
        <v>195</v>
      </c>
      <c r="E1379" s="3">
        <v>1401.37</v>
      </c>
      <c r="F1379" s="3">
        <f t="shared" si="42"/>
        <v>354.12619900000004</v>
      </c>
      <c r="G1379" s="3">
        <f t="shared" si="43"/>
        <v>1755.4961989999999</v>
      </c>
    </row>
    <row r="1380" spans="1:7" x14ac:dyDescent="0.3">
      <c r="A1380" t="s">
        <v>13039</v>
      </c>
      <c r="B1380" t="s">
        <v>2784</v>
      </c>
      <c r="C1380" t="s">
        <v>2785</v>
      </c>
      <c r="D1380" s="1" t="s">
        <v>195</v>
      </c>
      <c r="E1380" s="3">
        <v>1493.14</v>
      </c>
      <c r="F1380" s="3">
        <f t="shared" si="42"/>
        <v>377.31647800000007</v>
      </c>
      <c r="G1380" s="3">
        <f t="shared" si="43"/>
        <v>1870.4564780000001</v>
      </c>
    </row>
    <row r="1381" spans="1:7" x14ac:dyDescent="0.3">
      <c r="A1381" t="s">
        <v>13039</v>
      </c>
      <c r="B1381" t="s">
        <v>2786</v>
      </c>
      <c r="C1381" t="s">
        <v>2787</v>
      </c>
      <c r="D1381" s="1" t="s">
        <v>195</v>
      </c>
      <c r="E1381" s="3">
        <v>1702.71</v>
      </c>
      <c r="F1381" s="3">
        <f t="shared" si="42"/>
        <v>430.2748170000001</v>
      </c>
      <c r="G1381" s="3">
        <f t="shared" si="43"/>
        <v>2132.984817</v>
      </c>
    </row>
    <row r="1382" spans="1:7" x14ac:dyDescent="0.3">
      <c r="A1382" t="s">
        <v>13039</v>
      </c>
      <c r="B1382" t="s">
        <v>2788</v>
      </c>
      <c r="C1382" t="s">
        <v>2789</v>
      </c>
      <c r="D1382" s="1" t="s">
        <v>195</v>
      </c>
      <c r="E1382" s="3">
        <v>1821.95</v>
      </c>
      <c r="F1382" s="3">
        <f t="shared" si="42"/>
        <v>460.40676500000006</v>
      </c>
      <c r="G1382" s="3">
        <f t="shared" si="43"/>
        <v>2282.356765</v>
      </c>
    </row>
    <row r="1383" spans="1:7" x14ac:dyDescent="0.3">
      <c r="A1383" t="s">
        <v>13039</v>
      </c>
      <c r="B1383" t="s">
        <v>2790</v>
      </c>
      <c r="C1383" t="s">
        <v>2791</v>
      </c>
      <c r="D1383" s="1" t="s">
        <v>195</v>
      </c>
      <c r="E1383" s="3">
        <v>1739.63</v>
      </c>
      <c r="F1383" s="3">
        <f t="shared" si="42"/>
        <v>439.60450100000008</v>
      </c>
      <c r="G1383" s="3">
        <f t="shared" si="43"/>
        <v>2179.2345010000004</v>
      </c>
    </row>
    <row r="1384" spans="1:7" x14ac:dyDescent="0.3">
      <c r="A1384" t="s">
        <v>13039</v>
      </c>
      <c r="B1384" t="s">
        <v>2792</v>
      </c>
      <c r="C1384" t="s">
        <v>2793</v>
      </c>
      <c r="D1384" s="1" t="s">
        <v>195</v>
      </c>
      <c r="E1384" s="3">
        <v>1858.88</v>
      </c>
      <c r="F1384" s="3">
        <f t="shared" si="42"/>
        <v>469.73897600000009</v>
      </c>
      <c r="G1384" s="3">
        <f t="shared" si="43"/>
        <v>2328.6189760000002</v>
      </c>
    </row>
    <row r="1385" spans="1:7" x14ac:dyDescent="0.3">
      <c r="A1385" t="s">
        <v>13039</v>
      </c>
      <c r="B1385" t="s">
        <v>2794</v>
      </c>
      <c r="C1385" t="s">
        <v>2795</v>
      </c>
      <c r="D1385" s="1" t="s">
        <v>195</v>
      </c>
      <c r="E1385" s="3">
        <v>1754.69</v>
      </c>
      <c r="F1385" s="3">
        <f t="shared" si="42"/>
        <v>443.41016300000007</v>
      </c>
      <c r="G1385" s="3">
        <f t="shared" si="43"/>
        <v>2198.1001630000001</v>
      </c>
    </row>
    <row r="1386" spans="1:7" x14ac:dyDescent="0.3">
      <c r="A1386" t="s">
        <v>13039</v>
      </c>
      <c r="B1386" t="s">
        <v>2796</v>
      </c>
      <c r="C1386" t="s">
        <v>2797</v>
      </c>
      <c r="D1386" s="1" t="s">
        <v>195</v>
      </c>
      <c r="E1386" s="3">
        <v>1873.94</v>
      </c>
      <c r="F1386" s="3">
        <f t="shared" si="42"/>
        <v>473.54463800000008</v>
      </c>
      <c r="G1386" s="3">
        <f t="shared" si="43"/>
        <v>2347.4846379999999</v>
      </c>
    </row>
    <row r="1387" spans="1:7" x14ac:dyDescent="0.3">
      <c r="A1387" t="s">
        <v>13039</v>
      </c>
      <c r="B1387" t="s">
        <v>2798</v>
      </c>
      <c r="C1387" t="s">
        <v>2799</v>
      </c>
      <c r="D1387" s="1" t="s">
        <v>195</v>
      </c>
      <c r="E1387" s="3">
        <v>1868.7</v>
      </c>
      <c r="F1387" s="3">
        <f t="shared" si="42"/>
        <v>472.2204900000001</v>
      </c>
      <c r="G1387" s="3">
        <f t="shared" si="43"/>
        <v>2340.92049</v>
      </c>
    </row>
    <row r="1388" spans="1:7" x14ac:dyDescent="0.3">
      <c r="A1388" t="s">
        <v>13039</v>
      </c>
      <c r="B1388" t="s">
        <v>2800</v>
      </c>
      <c r="C1388" t="s">
        <v>2801</v>
      </c>
      <c r="D1388" s="1" t="s">
        <v>195</v>
      </c>
      <c r="E1388" s="3">
        <v>1987.95</v>
      </c>
      <c r="F1388" s="3">
        <f t="shared" si="42"/>
        <v>502.35496500000011</v>
      </c>
      <c r="G1388" s="3">
        <f t="shared" si="43"/>
        <v>2490.3049650000003</v>
      </c>
    </row>
    <row r="1389" spans="1:7" x14ac:dyDescent="0.3">
      <c r="A1389" t="s">
        <v>13039</v>
      </c>
      <c r="B1389" t="s">
        <v>2802</v>
      </c>
      <c r="C1389" t="s">
        <v>2803</v>
      </c>
      <c r="D1389" s="1" t="s">
        <v>195</v>
      </c>
      <c r="E1389" s="3">
        <v>2109.2600000000002</v>
      </c>
      <c r="F1389" s="3">
        <f t="shared" si="42"/>
        <v>533.0100020000001</v>
      </c>
      <c r="G1389" s="3">
        <f t="shared" si="43"/>
        <v>2642.2700020000002</v>
      </c>
    </row>
    <row r="1390" spans="1:7" x14ac:dyDescent="0.3">
      <c r="A1390" t="s">
        <v>13039</v>
      </c>
      <c r="B1390" t="s">
        <v>2804</v>
      </c>
      <c r="C1390" t="s">
        <v>2805</v>
      </c>
      <c r="D1390" s="1" t="s">
        <v>195</v>
      </c>
      <c r="E1390" s="3">
        <v>2336.91</v>
      </c>
      <c r="F1390" s="3">
        <f t="shared" si="42"/>
        <v>590.53715700000009</v>
      </c>
      <c r="G1390" s="3">
        <f t="shared" si="43"/>
        <v>2927.4471570000001</v>
      </c>
    </row>
    <row r="1391" spans="1:7" x14ac:dyDescent="0.3">
      <c r="A1391" t="s">
        <v>13039</v>
      </c>
      <c r="B1391" t="s">
        <v>2806</v>
      </c>
      <c r="C1391" t="s">
        <v>2807</v>
      </c>
      <c r="D1391" s="1" t="s">
        <v>195</v>
      </c>
      <c r="E1391" s="3">
        <v>2374.23</v>
      </c>
      <c r="F1391" s="3">
        <f t="shared" si="42"/>
        <v>599.96792100000005</v>
      </c>
      <c r="G1391" s="3">
        <f t="shared" si="43"/>
        <v>2974.197921</v>
      </c>
    </row>
    <row r="1392" spans="1:7" x14ac:dyDescent="0.3">
      <c r="A1392" t="s">
        <v>13039</v>
      </c>
      <c r="B1392" t="s">
        <v>2808</v>
      </c>
      <c r="C1392" t="s">
        <v>2809</v>
      </c>
      <c r="D1392" s="1" t="s">
        <v>195</v>
      </c>
      <c r="E1392" s="3">
        <v>2601.89</v>
      </c>
      <c r="F1392" s="3">
        <f t="shared" si="42"/>
        <v>657.49760300000003</v>
      </c>
      <c r="G1392" s="3">
        <f t="shared" si="43"/>
        <v>3259.3876030000001</v>
      </c>
    </row>
    <row r="1393" spans="1:7" x14ac:dyDescent="0.3">
      <c r="A1393" t="s">
        <v>13039</v>
      </c>
      <c r="B1393" t="s">
        <v>2810</v>
      </c>
      <c r="C1393" t="s">
        <v>2811</v>
      </c>
      <c r="D1393" s="1" t="s">
        <v>195</v>
      </c>
      <c r="E1393" s="3">
        <v>2470.62</v>
      </c>
      <c r="F1393" s="3">
        <f t="shared" si="42"/>
        <v>624.32567400000005</v>
      </c>
      <c r="G1393" s="3">
        <f t="shared" si="43"/>
        <v>3094.9456740000001</v>
      </c>
    </row>
    <row r="1394" spans="1:7" x14ac:dyDescent="0.3">
      <c r="A1394" t="s">
        <v>13039</v>
      </c>
      <c r="B1394" t="s">
        <v>2812</v>
      </c>
      <c r="C1394" t="s">
        <v>2813</v>
      </c>
      <c r="D1394" s="1" t="s">
        <v>195</v>
      </c>
      <c r="E1394" s="3">
        <v>2698.27</v>
      </c>
      <c r="F1394" s="3">
        <f t="shared" si="42"/>
        <v>681.85282900000004</v>
      </c>
      <c r="G1394" s="3">
        <f t="shared" si="43"/>
        <v>3380.1228289999999</v>
      </c>
    </row>
    <row r="1395" spans="1:7" x14ac:dyDescent="0.3">
      <c r="A1395" t="s">
        <v>13039</v>
      </c>
      <c r="B1395" t="s">
        <v>2814</v>
      </c>
      <c r="C1395" t="s">
        <v>2815</v>
      </c>
      <c r="D1395" s="1" t="s">
        <v>195</v>
      </c>
      <c r="E1395" s="3">
        <v>2596.4899999999998</v>
      </c>
      <c r="F1395" s="3">
        <f t="shared" si="42"/>
        <v>656.13302300000009</v>
      </c>
      <c r="G1395" s="3">
        <f t="shared" si="43"/>
        <v>3252.6230230000001</v>
      </c>
    </row>
    <row r="1396" spans="1:7" x14ac:dyDescent="0.3">
      <c r="A1396" t="s">
        <v>13039</v>
      </c>
      <c r="B1396" t="s">
        <v>2816</v>
      </c>
      <c r="C1396" t="s">
        <v>2817</v>
      </c>
      <c r="D1396" s="1" t="s">
        <v>195</v>
      </c>
      <c r="E1396" s="3">
        <v>2824.14</v>
      </c>
      <c r="F1396" s="3">
        <f t="shared" si="42"/>
        <v>713.66017800000009</v>
      </c>
      <c r="G1396" s="3">
        <f t="shared" si="43"/>
        <v>3537.800178</v>
      </c>
    </row>
    <row r="1397" spans="1:7" x14ac:dyDescent="0.3">
      <c r="A1397" t="s">
        <v>13039</v>
      </c>
      <c r="B1397" t="s">
        <v>2818</v>
      </c>
      <c r="C1397" t="s">
        <v>2819</v>
      </c>
      <c r="D1397" s="1" t="s">
        <v>195</v>
      </c>
      <c r="E1397" s="3">
        <v>3062.1</v>
      </c>
      <c r="F1397" s="3">
        <f t="shared" si="42"/>
        <v>773.79267000000004</v>
      </c>
      <c r="G1397" s="3">
        <f t="shared" si="43"/>
        <v>3835.8926700000002</v>
      </c>
    </row>
    <row r="1398" spans="1:7" x14ac:dyDescent="0.3">
      <c r="A1398" t="s">
        <v>13039</v>
      </c>
      <c r="B1398" t="s">
        <v>2820</v>
      </c>
      <c r="C1398" t="s">
        <v>2821</v>
      </c>
      <c r="D1398" s="1" t="s">
        <v>195</v>
      </c>
      <c r="E1398" s="3">
        <v>3353.77</v>
      </c>
      <c r="F1398" s="3">
        <f t="shared" si="42"/>
        <v>847.49767900000006</v>
      </c>
      <c r="G1398" s="3">
        <f t="shared" si="43"/>
        <v>4201.2676790000005</v>
      </c>
    </row>
    <row r="1399" spans="1:7" x14ac:dyDescent="0.3">
      <c r="A1399" t="s">
        <v>13039</v>
      </c>
      <c r="B1399" t="s">
        <v>2822</v>
      </c>
      <c r="C1399" t="s">
        <v>2823</v>
      </c>
      <c r="D1399" s="1" t="s">
        <v>195</v>
      </c>
      <c r="E1399" s="3">
        <v>3303.74</v>
      </c>
      <c r="F1399" s="3">
        <f t="shared" si="42"/>
        <v>834.85509800000011</v>
      </c>
      <c r="G1399" s="3">
        <f t="shared" si="43"/>
        <v>4138.5950979999998</v>
      </c>
    </row>
    <row r="1400" spans="1:7" x14ac:dyDescent="0.3">
      <c r="A1400" t="s">
        <v>13039</v>
      </c>
      <c r="B1400" t="s">
        <v>2824</v>
      </c>
      <c r="C1400" t="s">
        <v>2825</v>
      </c>
      <c r="D1400" s="1" t="s">
        <v>195</v>
      </c>
      <c r="E1400" s="3">
        <v>3595.41</v>
      </c>
      <c r="F1400" s="3">
        <f t="shared" si="42"/>
        <v>908.56010700000013</v>
      </c>
      <c r="G1400" s="3">
        <f t="shared" si="43"/>
        <v>4503.9701070000001</v>
      </c>
    </row>
    <row r="1401" spans="1:7" x14ac:dyDescent="0.3">
      <c r="A1401" t="s">
        <v>13039</v>
      </c>
      <c r="B1401" t="s">
        <v>2826</v>
      </c>
      <c r="C1401" t="s">
        <v>2827</v>
      </c>
      <c r="D1401" s="1" t="s">
        <v>195</v>
      </c>
      <c r="E1401" s="3">
        <v>3987.05</v>
      </c>
      <c r="F1401" s="3">
        <f t="shared" si="42"/>
        <v>1007.5275350000002</v>
      </c>
      <c r="G1401" s="3">
        <f t="shared" si="43"/>
        <v>4994.5775350000004</v>
      </c>
    </row>
    <row r="1402" spans="1:7" x14ac:dyDescent="0.3">
      <c r="A1402" t="s">
        <v>13039</v>
      </c>
      <c r="B1402" t="s">
        <v>2828</v>
      </c>
      <c r="C1402" t="s">
        <v>2829</v>
      </c>
      <c r="D1402" s="1" t="s">
        <v>195</v>
      </c>
      <c r="E1402" s="3">
        <v>4278.72</v>
      </c>
      <c r="F1402" s="3">
        <f t="shared" si="42"/>
        <v>1081.2325440000002</v>
      </c>
      <c r="G1402" s="3">
        <f t="shared" si="43"/>
        <v>5359.9525440000007</v>
      </c>
    </row>
    <row r="1403" spans="1:7" x14ac:dyDescent="0.3">
      <c r="A1403" t="s">
        <v>13039</v>
      </c>
      <c r="B1403" t="s">
        <v>2830</v>
      </c>
      <c r="C1403" t="s">
        <v>2831</v>
      </c>
      <c r="D1403" s="1" t="s">
        <v>195</v>
      </c>
      <c r="E1403" s="3">
        <v>4089.39</v>
      </c>
      <c r="F1403" s="3">
        <f t="shared" si="42"/>
        <v>1033.3888530000002</v>
      </c>
      <c r="G1403" s="3">
        <f t="shared" si="43"/>
        <v>5122.7788529999998</v>
      </c>
    </row>
    <row r="1404" spans="1:7" x14ac:dyDescent="0.3">
      <c r="A1404" t="s">
        <v>13039</v>
      </c>
      <c r="B1404" t="s">
        <v>2832</v>
      </c>
      <c r="C1404" t="s">
        <v>2833</v>
      </c>
      <c r="D1404" s="1" t="s">
        <v>195</v>
      </c>
      <c r="E1404" s="3">
        <v>4381.0600000000004</v>
      </c>
      <c r="F1404" s="3">
        <f t="shared" si="42"/>
        <v>1107.0938620000002</v>
      </c>
      <c r="G1404" s="3">
        <f t="shared" si="43"/>
        <v>5488.153862000001</v>
      </c>
    </row>
    <row r="1405" spans="1:7" x14ac:dyDescent="0.3">
      <c r="A1405" t="s">
        <v>13039</v>
      </c>
      <c r="B1405" t="s">
        <v>2834</v>
      </c>
      <c r="C1405" t="s">
        <v>2835</v>
      </c>
      <c r="D1405" s="1" t="s">
        <v>195</v>
      </c>
      <c r="E1405" s="3">
        <v>4980.62</v>
      </c>
      <c r="F1405" s="3">
        <f t="shared" si="42"/>
        <v>1258.6026740000002</v>
      </c>
      <c r="G1405" s="3">
        <f t="shared" si="43"/>
        <v>6239.2226740000006</v>
      </c>
    </row>
    <row r="1406" spans="1:7" x14ac:dyDescent="0.3">
      <c r="A1406" t="s">
        <v>13039</v>
      </c>
      <c r="B1406" t="s">
        <v>2836</v>
      </c>
      <c r="C1406" t="s">
        <v>2837</v>
      </c>
      <c r="D1406" s="1" t="s">
        <v>195</v>
      </c>
      <c r="E1406" s="3">
        <v>5356.52</v>
      </c>
      <c r="F1406" s="3">
        <f t="shared" si="42"/>
        <v>1353.5926040000004</v>
      </c>
      <c r="G1406" s="3">
        <f t="shared" si="43"/>
        <v>6710.1126040000008</v>
      </c>
    </row>
    <row r="1407" spans="1:7" x14ac:dyDescent="0.3">
      <c r="A1407" t="s">
        <v>13039</v>
      </c>
      <c r="B1407" t="s">
        <v>2838</v>
      </c>
      <c r="C1407" t="s">
        <v>2839</v>
      </c>
      <c r="D1407" s="1" t="s">
        <v>195</v>
      </c>
      <c r="E1407" s="3">
        <v>5091.3900000000003</v>
      </c>
      <c r="F1407" s="3">
        <f t="shared" si="42"/>
        <v>1286.5942530000002</v>
      </c>
      <c r="G1407" s="3">
        <f t="shared" si="43"/>
        <v>6377.9842530000005</v>
      </c>
    </row>
    <row r="1408" spans="1:7" x14ac:dyDescent="0.3">
      <c r="A1408" t="s">
        <v>13039</v>
      </c>
      <c r="B1408" t="s">
        <v>2840</v>
      </c>
      <c r="C1408" t="s">
        <v>2841</v>
      </c>
      <c r="D1408" s="1" t="s">
        <v>195</v>
      </c>
      <c r="E1408" s="3">
        <v>5467.3</v>
      </c>
      <c r="F1408" s="3">
        <f t="shared" si="42"/>
        <v>1381.5867100000003</v>
      </c>
      <c r="G1408" s="3">
        <f t="shared" si="43"/>
        <v>6848.8867100000007</v>
      </c>
    </row>
    <row r="1409" spans="1:7" x14ac:dyDescent="0.3">
      <c r="A1409" t="s">
        <v>13039</v>
      </c>
      <c r="B1409" t="s">
        <v>2842</v>
      </c>
      <c r="C1409" t="s">
        <v>2843</v>
      </c>
      <c r="D1409" s="1" t="s">
        <v>195</v>
      </c>
      <c r="E1409" s="3">
        <v>5136.57</v>
      </c>
      <c r="F1409" s="3">
        <f t="shared" si="42"/>
        <v>1298.0112390000002</v>
      </c>
      <c r="G1409" s="3">
        <f t="shared" si="43"/>
        <v>6434.5812390000001</v>
      </c>
    </row>
    <row r="1410" spans="1:7" x14ac:dyDescent="0.3">
      <c r="A1410" t="s">
        <v>13039</v>
      </c>
      <c r="B1410" t="s">
        <v>2844</v>
      </c>
      <c r="C1410" t="s">
        <v>2845</v>
      </c>
      <c r="D1410" s="1" t="s">
        <v>195</v>
      </c>
      <c r="E1410" s="3">
        <v>5512.48</v>
      </c>
      <c r="F1410" s="3">
        <f t="shared" si="42"/>
        <v>1393.003696</v>
      </c>
      <c r="G1410" s="3">
        <f t="shared" si="43"/>
        <v>6905.4836959999993</v>
      </c>
    </row>
    <row r="1411" spans="1:7" x14ac:dyDescent="0.3">
      <c r="A1411" t="s">
        <v>13039</v>
      </c>
      <c r="B1411" t="s">
        <v>2846</v>
      </c>
      <c r="C1411" t="s">
        <v>2847</v>
      </c>
      <c r="D1411" s="1" t="s">
        <v>195</v>
      </c>
      <c r="E1411" s="3">
        <v>5478.6</v>
      </c>
      <c r="F1411" s="3">
        <f t="shared" si="42"/>
        <v>1384.4422200000004</v>
      </c>
      <c r="G1411" s="3">
        <f t="shared" si="43"/>
        <v>6863.0422200000012</v>
      </c>
    </row>
    <row r="1412" spans="1:7" x14ac:dyDescent="0.3">
      <c r="A1412" t="s">
        <v>13039</v>
      </c>
      <c r="B1412" t="s">
        <v>2848</v>
      </c>
      <c r="C1412" t="s">
        <v>2849</v>
      </c>
      <c r="D1412" s="1" t="s">
        <v>195</v>
      </c>
      <c r="E1412" s="3">
        <v>5854.51</v>
      </c>
      <c r="F1412" s="3">
        <f t="shared" si="42"/>
        <v>1479.4346770000002</v>
      </c>
      <c r="G1412" s="3">
        <f t="shared" si="43"/>
        <v>7333.9446770000004</v>
      </c>
    </row>
    <row r="1413" spans="1:7" x14ac:dyDescent="0.3">
      <c r="A1413" t="s">
        <v>13039</v>
      </c>
      <c r="B1413" t="s">
        <v>2850</v>
      </c>
      <c r="C1413" t="s">
        <v>2851</v>
      </c>
      <c r="D1413" s="1" t="s">
        <v>38</v>
      </c>
      <c r="E1413" s="3">
        <v>39.18</v>
      </c>
      <c r="F1413" s="3">
        <f t="shared" si="42"/>
        <v>9.9007860000000019</v>
      </c>
      <c r="G1413" s="3">
        <f t="shared" si="43"/>
        <v>49.080786000000003</v>
      </c>
    </row>
    <row r="1414" spans="1:7" x14ac:dyDescent="0.3">
      <c r="A1414" t="s">
        <v>13039</v>
      </c>
      <c r="B1414" t="s">
        <v>2852</v>
      </c>
      <c r="C1414" t="s">
        <v>2853</v>
      </c>
      <c r="D1414" s="1" t="s">
        <v>38</v>
      </c>
      <c r="E1414" s="3">
        <v>56.44</v>
      </c>
      <c r="F1414" s="3">
        <f t="shared" si="42"/>
        <v>14.262388000000001</v>
      </c>
      <c r="G1414" s="3">
        <f t="shared" si="43"/>
        <v>70.702387999999999</v>
      </c>
    </row>
    <row r="1415" spans="1:7" x14ac:dyDescent="0.3">
      <c r="A1415" t="s">
        <v>13039</v>
      </c>
      <c r="B1415" t="s">
        <v>2854</v>
      </c>
      <c r="C1415" t="s">
        <v>2855</v>
      </c>
      <c r="D1415" s="1" t="s">
        <v>38</v>
      </c>
      <c r="E1415" s="3">
        <v>46.96</v>
      </c>
      <c r="F1415" s="3">
        <f t="shared" ref="F1415:F1478" si="44">+E1415*$F$4</f>
        <v>11.866792000000002</v>
      </c>
      <c r="G1415" s="3">
        <f t="shared" ref="G1415:G1478" si="45">+E1415+F1415</f>
        <v>58.826792000000005</v>
      </c>
    </row>
    <row r="1416" spans="1:7" x14ac:dyDescent="0.3">
      <c r="A1416" t="s">
        <v>13039</v>
      </c>
      <c r="B1416" t="s">
        <v>2856</v>
      </c>
      <c r="C1416" t="s">
        <v>2857</v>
      </c>
      <c r="D1416" s="1" t="s">
        <v>38</v>
      </c>
      <c r="E1416" s="3">
        <v>67.64</v>
      </c>
      <c r="F1416" s="3">
        <f t="shared" si="44"/>
        <v>17.092628000000001</v>
      </c>
      <c r="G1416" s="3">
        <f t="shared" si="45"/>
        <v>84.732628000000005</v>
      </c>
    </row>
    <row r="1417" spans="1:7" x14ac:dyDescent="0.3">
      <c r="A1417" t="s">
        <v>13039</v>
      </c>
      <c r="B1417" t="s">
        <v>2858</v>
      </c>
      <c r="C1417" t="s">
        <v>2859</v>
      </c>
      <c r="D1417" s="1" t="s">
        <v>38</v>
      </c>
      <c r="E1417" s="3">
        <v>54.51</v>
      </c>
      <c r="F1417" s="3">
        <f t="shared" si="44"/>
        <v>13.774677000000002</v>
      </c>
      <c r="G1417" s="3">
        <f t="shared" si="45"/>
        <v>68.284677000000002</v>
      </c>
    </row>
    <row r="1418" spans="1:7" x14ac:dyDescent="0.3">
      <c r="A1418" t="s">
        <v>13039</v>
      </c>
      <c r="B1418" t="s">
        <v>2860</v>
      </c>
      <c r="C1418" t="s">
        <v>2861</v>
      </c>
      <c r="D1418" s="1" t="s">
        <v>38</v>
      </c>
      <c r="E1418" s="3">
        <v>78.42</v>
      </c>
      <c r="F1418" s="3">
        <f t="shared" si="44"/>
        <v>19.816734000000004</v>
      </c>
      <c r="G1418" s="3">
        <f t="shared" si="45"/>
        <v>98.236734000000013</v>
      </c>
    </row>
    <row r="1419" spans="1:7" x14ac:dyDescent="0.3">
      <c r="A1419" t="s">
        <v>13039</v>
      </c>
      <c r="B1419" t="s">
        <v>2862</v>
      </c>
      <c r="C1419" t="s">
        <v>2863</v>
      </c>
      <c r="D1419" s="1" t="s">
        <v>38</v>
      </c>
      <c r="E1419" s="3">
        <v>63.75</v>
      </c>
      <c r="F1419" s="3">
        <f t="shared" si="44"/>
        <v>16.109625000000001</v>
      </c>
      <c r="G1419" s="3">
        <f t="shared" si="45"/>
        <v>79.859624999999994</v>
      </c>
    </row>
    <row r="1420" spans="1:7" x14ac:dyDescent="0.3">
      <c r="A1420" t="s">
        <v>13039</v>
      </c>
      <c r="B1420" t="s">
        <v>2864</v>
      </c>
      <c r="C1420" t="s">
        <v>2865</v>
      </c>
      <c r="D1420" s="1" t="s">
        <v>38</v>
      </c>
      <c r="E1420" s="3">
        <v>92.17</v>
      </c>
      <c r="F1420" s="3">
        <f t="shared" si="44"/>
        <v>23.291359000000003</v>
      </c>
      <c r="G1420" s="3">
        <f t="shared" si="45"/>
        <v>115.461359</v>
      </c>
    </row>
    <row r="1421" spans="1:7" x14ac:dyDescent="0.3">
      <c r="A1421" t="s">
        <v>13039</v>
      </c>
      <c r="B1421" t="s">
        <v>2866</v>
      </c>
      <c r="C1421" t="s">
        <v>2867</v>
      </c>
      <c r="D1421" s="1" t="s">
        <v>38</v>
      </c>
      <c r="E1421" s="3">
        <v>13.38</v>
      </c>
      <c r="F1421" s="3">
        <f t="shared" si="44"/>
        <v>3.3811260000000005</v>
      </c>
      <c r="G1421" s="3">
        <f t="shared" si="45"/>
        <v>16.761126000000001</v>
      </c>
    </row>
    <row r="1422" spans="1:7" x14ac:dyDescent="0.3">
      <c r="A1422" t="s">
        <v>13039</v>
      </c>
      <c r="B1422" t="s">
        <v>2868</v>
      </c>
      <c r="C1422" t="s">
        <v>2869</v>
      </c>
      <c r="D1422" s="1" t="s">
        <v>38</v>
      </c>
      <c r="E1422" s="3">
        <v>18.600000000000001</v>
      </c>
      <c r="F1422" s="3">
        <f t="shared" si="44"/>
        <v>4.7002200000000007</v>
      </c>
      <c r="G1422" s="3">
        <f t="shared" si="45"/>
        <v>23.300220000000003</v>
      </c>
    </row>
    <row r="1423" spans="1:7" x14ac:dyDescent="0.3">
      <c r="A1423" t="s">
        <v>13039</v>
      </c>
      <c r="B1423" t="s">
        <v>2870</v>
      </c>
      <c r="C1423" t="s">
        <v>2871</v>
      </c>
      <c r="D1423" s="1" t="s">
        <v>38</v>
      </c>
      <c r="E1423" s="3">
        <v>15.57</v>
      </c>
      <c r="F1423" s="3">
        <f t="shared" si="44"/>
        <v>3.9345390000000005</v>
      </c>
      <c r="G1423" s="3">
        <f t="shared" si="45"/>
        <v>19.504539000000001</v>
      </c>
    </row>
    <row r="1424" spans="1:7" x14ac:dyDescent="0.3">
      <c r="A1424" t="s">
        <v>13039</v>
      </c>
      <c r="B1424" t="s">
        <v>2872</v>
      </c>
      <c r="C1424" t="s">
        <v>2873</v>
      </c>
      <c r="D1424" s="1" t="s">
        <v>38</v>
      </c>
      <c r="E1424" s="3">
        <v>22.41</v>
      </c>
      <c r="F1424" s="3">
        <f t="shared" si="44"/>
        <v>5.6630070000000012</v>
      </c>
      <c r="G1424" s="3">
        <f t="shared" si="45"/>
        <v>28.073007</v>
      </c>
    </row>
    <row r="1425" spans="1:7" x14ac:dyDescent="0.3">
      <c r="A1425" t="s">
        <v>13039</v>
      </c>
      <c r="B1425" t="s">
        <v>2874</v>
      </c>
      <c r="C1425" t="s">
        <v>2875</v>
      </c>
      <c r="D1425" s="1" t="s">
        <v>38</v>
      </c>
      <c r="E1425" s="3">
        <v>21.17</v>
      </c>
      <c r="F1425" s="3">
        <f t="shared" si="44"/>
        <v>5.3496590000000008</v>
      </c>
      <c r="G1425" s="3">
        <f t="shared" si="45"/>
        <v>26.519659000000004</v>
      </c>
    </row>
    <row r="1426" spans="1:7" x14ac:dyDescent="0.3">
      <c r="A1426" t="s">
        <v>13039</v>
      </c>
      <c r="B1426" t="s">
        <v>2876</v>
      </c>
      <c r="C1426" t="s">
        <v>2877</v>
      </c>
      <c r="D1426" s="1" t="s">
        <v>38</v>
      </c>
      <c r="E1426" s="3">
        <v>29.8</v>
      </c>
      <c r="F1426" s="3">
        <f t="shared" si="44"/>
        <v>7.5304600000000015</v>
      </c>
      <c r="G1426" s="3">
        <f t="shared" si="45"/>
        <v>37.330460000000002</v>
      </c>
    </row>
    <row r="1427" spans="1:7" x14ac:dyDescent="0.3">
      <c r="A1427" t="s">
        <v>13039</v>
      </c>
      <c r="B1427" t="s">
        <v>2878</v>
      </c>
      <c r="C1427" t="s">
        <v>2879</v>
      </c>
      <c r="D1427" s="1" t="s">
        <v>38</v>
      </c>
      <c r="E1427" s="3">
        <v>23.6</v>
      </c>
      <c r="F1427" s="3">
        <f t="shared" si="44"/>
        <v>5.9637200000000012</v>
      </c>
      <c r="G1427" s="3">
        <f t="shared" si="45"/>
        <v>29.563720000000004</v>
      </c>
    </row>
    <row r="1428" spans="1:7" x14ac:dyDescent="0.3">
      <c r="A1428" t="s">
        <v>13039</v>
      </c>
      <c r="B1428" t="s">
        <v>2880</v>
      </c>
      <c r="C1428" t="s">
        <v>2881</v>
      </c>
      <c r="D1428" s="1" t="s">
        <v>38</v>
      </c>
      <c r="E1428" s="3">
        <v>34.03</v>
      </c>
      <c r="F1428" s="3">
        <f t="shared" si="44"/>
        <v>8.5993810000000011</v>
      </c>
      <c r="G1428" s="3">
        <f t="shared" si="45"/>
        <v>42.629381000000002</v>
      </c>
    </row>
    <row r="1429" spans="1:7" x14ac:dyDescent="0.3">
      <c r="A1429" t="s">
        <v>13039</v>
      </c>
      <c r="B1429" t="s">
        <v>2882</v>
      </c>
      <c r="C1429" t="s">
        <v>2883</v>
      </c>
      <c r="D1429" s="1" t="s">
        <v>38</v>
      </c>
      <c r="E1429" s="3">
        <v>28.71</v>
      </c>
      <c r="F1429" s="3">
        <f t="shared" si="44"/>
        <v>7.2550170000000014</v>
      </c>
      <c r="G1429" s="3">
        <f t="shared" si="45"/>
        <v>35.965017000000003</v>
      </c>
    </row>
    <row r="1430" spans="1:7" x14ac:dyDescent="0.3">
      <c r="A1430" t="s">
        <v>13039</v>
      </c>
      <c r="B1430" t="s">
        <v>2884</v>
      </c>
      <c r="C1430" t="s">
        <v>2885</v>
      </c>
      <c r="D1430" s="1" t="s">
        <v>38</v>
      </c>
      <c r="E1430" s="3">
        <v>40.58</v>
      </c>
      <c r="F1430" s="3">
        <f t="shared" si="44"/>
        <v>10.254566000000001</v>
      </c>
      <c r="G1430" s="3">
        <f t="shared" si="45"/>
        <v>50.834565999999995</v>
      </c>
    </row>
    <row r="1431" spans="1:7" x14ac:dyDescent="0.3">
      <c r="A1431" t="s">
        <v>13039</v>
      </c>
      <c r="B1431" t="s">
        <v>2886</v>
      </c>
      <c r="C1431" t="s">
        <v>2887</v>
      </c>
      <c r="D1431" s="1" t="s">
        <v>38</v>
      </c>
      <c r="E1431" s="3">
        <v>31.88</v>
      </c>
      <c r="F1431" s="3">
        <f t="shared" si="44"/>
        <v>8.0560760000000009</v>
      </c>
      <c r="G1431" s="3">
        <f t="shared" si="45"/>
        <v>39.936076</v>
      </c>
    </row>
    <row r="1432" spans="1:7" x14ac:dyDescent="0.3">
      <c r="A1432" t="s">
        <v>13039</v>
      </c>
      <c r="B1432" t="s">
        <v>2888</v>
      </c>
      <c r="C1432" t="s">
        <v>2889</v>
      </c>
      <c r="D1432" s="1" t="s">
        <v>38</v>
      </c>
      <c r="E1432" s="3">
        <v>46.08</v>
      </c>
      <c r="F1432" s="3">
        <f t="shared" si="44"/>
        <v>11.644416000000001</v>
      </c>
      <c r="G1432" s="3">
        <f t="shared" si="45"/>
        <v>57.724415999999998</v>
      </c>
    </row>
    <row r="1433" spans="1:7" x14ac:dyDescent="0.3">
      <c r="A1433" t="s">
        <v>13039</v>
      </c>
      <c r="B1433" t="s">
        <v>2890</v>
      </c>
      <c r="C1433" t="s">
        <v>2891</v>
      </c>
      <c r="D1433" s="1" t="s">
        <v>38</v>
      </c>
      <c r="E1433" s="3">
        <v>70.569999999999993</v>
      </c>
      <c r="F1433" s="3">
        <f t="shared" si="44"/>
        <v>17.833038999999999</v>
      </c>
      <c r="G1433" s="3">
        <f t="shared" si="45"/>
        <v>88.403038999999993</v>
      </c>
    </row>
    <row r="1434" spans="1:7" x14ac:dyDescent="0.3">
      <c r="A1434" t="s">
        <v>13039</v>
      </c>
      <c r="B1434" t="s">
        <v>2892</v>
      </c>
      <c r="C1434" t="s">
        <v>2893</v>
      </c>
      <c r="D1434" s="1" t="s">
        <v>38</v>
      </c>
      <c r="E1434" s="3">
        <v>101.68</v>
      </c>
      <c r="F1434" s="3">
        <f t="shared" si="44"/>
        <v>25.694536000000006</v>
      </c>
      <c r="G1434" s="3">
        <f t="shared" si="45"/>
        <v>127.37453600000001</v>
      </c>
    </row>
    <row r="1435" spans="1:7" x14ac:dyDescent="0.3">
      <c r="A1435" t="s">
        <v>13039</v>
      </c>
      <c r="B1435" t="s">
        <v>2894</v>
      </c>
      <c r="C1435" t="s">
        <v>2895</v>
      </c>
      <c r="D1435" s="1" t="s">
        <v>38</v>
      </c>
      <c r="E1435" s="3">
        <v>80.06</v>
      </c>
      <c r="F1435" s="3">
        <f t="shared" si="44"/>
        <v>20.231162000000005</v>
      </c>
      <c r="G1435" s="3">
        <f t="shared" si="45"/>
        <v>100.29116200000001</v>
      </c>
    </row>
    <row r="1436" spans="1:7" x14ac:dyDescent="0.3">
      <c r="A1436" t="s">
        <v>13039</v>
      </c>
      <c r="B1436" t="s">
        <v>2896</v>
      </c>
      <c r="C1436" t="s">
        <v>2897</v>
      </c>
      <c r="D1436" s="1" t="s">
        <v>38</v>
      </c>
      <c r="E1436" s="3">
        <v>115.84</v>
      </c>
      <c r="F1436" s="3">
        <f t="shared" si="44"/>
        <v>29.272768000000006</v>
      </c>
      <c r="G1436" s="3">
        <f t="shared" si="45"/>
        <v>145.11276800000002</v>
      </c>
    </row>
    <row r="1437" spans="1:7" x14ac:dyDescent="0.3">
      <c r="A1437" t="s">
        <v>13039</v>
      </c>
      <c r="B1437" t="s">
        <v>2898</v>
      </c>
      <c r="C1437" t="s">
        <v>2899</v>
      </c>
      <c r="D1437" s="1" t="s">
        <v>38</v>
      </c>
      <c r="E1437" s="3">
        <v>95.87</v>
      </c>
      <c r="F1437" s="3">
        <f t="shared" si="44"/>
        <v>24.226349000000006</v>
      </c>
      <c r="G1437" s="3">
        <f t="shared" si="45"/>
        <v>120.096349</v>
      </c>
    </row>
    <row r="1438" spans="1:7" x14ac:dyDescent="0.3">
      <c r="A1438" t="s">
        <v>13039</v>
      </c>
      <c r="B1438" t="s">
        <v>2900</v>
      </c>
      <c r="C1438" t="s">
        <v>2901</v>
      </c>
      <c r="D1438" s="1" t="s">
        <v>38</v>
      </c>
      <c r="E1438" s="3">
        <v>138.66999999999999</v>
      </c>
      <c r="F1438" s="3">
        <f t="shared" si="44"/>
        <v>35.041909000000004</v>
      </c>
      <c r="G1438" s="3">
        <f t="shared" si="45"/>
        <v>173.71190899999999</v>
      </c>
    </row>
    <row r="1439" spans="1:7" x14ac:dyDescent="0.3">
      <c r="A1439" t="s">
        <v>13039</v>
      </c>
      <c r="B1439" t="s">
        <v>2902</v>
      </c>
      <c r="C1439" t="s">
        <v>2903</v>
      </c>
      <c r="D1439" s="1" t="s">
        <v>2904</v>
      </c>
      <c r="E1439" s="3">
        <v>131.86000000000001</v>
      </c>
      <c r="F1439" s="3">
        <f t="shared" si="44"/>
        <v>33.321022000000006</v>
      </c>
      <c r="G1439" s="3">
        <f t="shared" si="45"/>
        <v>165.18102200000001</v>
      </c>
    </row>
    <row r="1440" spans="1:7" x14ac:dyDescent="0.3">
      <c r="A1440" t="s">
        <v>13039</v>
      </c>
      <c r="B1440" t="s">
        <v>2905</v>
      </c>
      <c r="C1440" t="s">
        <v>2906</v>
      </c>
      <c r="D1440" s="1" t="s">
        <v>2904</v>
      </c>
      <c r="E1440" s="3">
        <v>130.05000000000001</v>
      </c>
      <c r="F1440" s="3">
        <f t="shared" si="44"/>
        <v>32.863635000000009</v>
      </c>
      <c r="G1440" s="3">
        <f t="shared" si="45"/>
        <v>162.91363500000003</v>
      </c>
    </row>
    <row r="1441" spans="1:7" x14ac:dyDescent="0.3">
      <c r="A1441" t="s">
        <v>13039</v>
      </c>
      <c r="B1441" t="s">
        <v>2907</v>
      </c>
      <c r="C1441" t="s">
        <v>2908</v>
      </c>
      <c r="D1441" s="1" t="s">
        <v>38</v>
      </c>
      <c r="E1441" s="3">
        <v>15009.56</v>
      </c>
      <c r="F1441" s="3">
        <f t="shared" si="44"/>
        <v>3792.9158120000002</v>
      </c>
      <c r="G1441" s="3">
        <f t="shared" si="45"/>
        <v>18802.475812000001</v>
      </c>
    </row>
    <row r="1442" spans="1:7" x14ac:dyDescent="0.3">
      <c r="A1442" t="s">
        <v>13039</v>
      </c>
      <c r="B1442" t="s">
        <v>2909</v>
      </c>
      <c r="C1442" t="s">
        <v>2910</v>
      </c>
      <c r="D1442" s="1" t="s">
        <v>195</v>
      </c>
      <c r="E1442" s="3">
        <v>127.64</v>
      </c>
      <c r="F1442" s="3">
        <f t="shared" si="44"/>
        <v>32.254628000000004</v>
      </c>
      <c r="G1442" s="3">
        <f t="shared" si="45"/>
        <v>159.89462800000001</v>
      </c>
    </row>
    <row r="1443" spans="1:7" x14ac:dyDescent="0.3">
      <c r="A1443" t="s">
        <v>13039</v>
      </c>
      <c r="B1443" t="s">
        <v>2911</v>
      </c>
      <c r="C1443" t="s">
        <v>2912</v>
      </c>
      <c r="D1443" s="1" t="s">
        <v>2904</v>
      </c>
      <c r="E1443" s="3">
        <v>4.25</v>
      </c>
      <c r="F1443" s="3">
        <f t="shared" si="44"/>
        <v>1.0739750000000001</v>
      </c>
      <c r="G1443" s="3">
        <f t="shared" si="45"/>
        <v>5.3239749999999999</v>
      </c>
    </row>
    <row r="1444" spans="1:7" x14ac:dyDescent="0.3">
      <c r="A1444" t="s">
        <v>13039</v>
      </c>
      <c r="B1444" t="s">
        <v>2913</v>
      </c>
      <c r="C1444" t="s">
        <v>2914</v>
      </c>
      <c r="D1444" s="1" t="s">
        <v>2904</v>
      </c>
      <c r="E1444" s="3">
        <v>34.54</v>
      </c>
      <c r="F1444" s="3">
        <f t="shared" si="44"/>
        <v>8.7282580000000003</v>
      </c>
      <c r="G1444" s="3">
        <f t="shared" si="45"/>
        <v>43.268258000000003</v>
      </c>
    </row>
    <row r="1445" spans="1:7" x14ac:dyDescent="0.3">
      <c r="A1445" t="s">
        <v>13039</v>
      </c>
      <c r="B1445" t="s">
        <v>2915</v>
      </c>
      <c r="C1445" t="s">
        <v>2916</v>
      </c>
      <c r="D1445" s="1" t="s">
        <v>38</v>
      </c>
      <c r="E1445" s="3">
        <v>7695.94</v>
      </c>
      <c r="F1445" s="3">
        <f t="shared" si="44"/>
        <v>1944.7640380000003</v>
      </c>
      <c r="G1445" s="3">
        <f t="shared" si="45"/>
        <v>9640.7040379999999</v>
      </c>
    </row>
    <row r="1446" spans="1:7" x14ac:dyDescent="0.3">
      <c r="A1446" t="s">
        <v>13039</v>
      </c>
      <c r="B1446" t="s">
        <v>2917</v>
      </c>
      <c r="C1446" t="s">
        <v>2918</v>
      </c>
      <c r="D1446" s="1" t="s">
        <v>38</v>
      </c>
      <c r="E1446" s="3">
        <v>36354.080000000002</v>
      </c>
      <c r="F1446" s="3">
        <f t="shared" si="44"/>
        <v>9186.6760160000013</v>
      </c>
      <c r="G1446" s="3">
        <f t="shared" si="45"/>
        <v>45540.756015999999</v>
      </c>
    </row>
    <row r="1447" spans="1:7" x14ac:dyDescent="0.3">
      <c r="A1447" t="s">
        <v>13039</v>
      </c>
      <c r="B1447" t="s">
        <v>2919</v>
      </c>
      <c r="C1447" t="s">
        <v>2920</v>
      </c>
      <c r="D1447" s="1" t="s">
        <v>2904</v>
      </c>
      <c r="E1447" s="3">
        <v>31.91</v>
      </c>
      <c r="F1447" s="3">
        <f t="shared" si="44"/>
        <v>8.063657000000001</v>
      </c>
      <c r="G1447" s="3">
        <f t="shared" si="45"/>
        <v>39.973657000000003</v>
      </c>
    </row>
    <row r="1448" spans="1:7" x14ac:dyDescent="0.3">
      <c r="A1448" t="s">
        <v>13039</v>
      </c>
      <c r="B1448" t="s">
        <v>2921</v>
      </c>
      <c r="C1448" t="s">
        <v>2922</v>
      </c>
      <c r="D1448" s="1" t="s">
        <v>38</v>
      </c>
      <c r="E1448" s="3">
        <v>586.78</v>
      </c>
      <c r="F1448" s="3">
        <f t="shared" si="44"/>
        <v>148.27930600000002</v>
      </c>
      <c r="G1448" s="3">
        <f t="shared" si="45"/>
        <v>735.05930599999999</v>
      </c>
    </row>
    <row r="1449" spans="1:7" x14ac:dyDescent="0.3">
      <c r="A1449" t="s">
        <v>13039</v>
      </c>
      <c r="B1449" t="s">
        <v>2923</v>
      </c>
      <c r="C1449" t="s">
        <v>2924</v>
      </c>
      <c r="D1449" s="1" t="s">
        <v>38</v>
      </c>
      <c r="E1449" s="3">
        <v>120327.86</v>
      </c>
      <c r="F1449" s="3">
        <f t="shared" si="44"/>
        <v>30406.850222000005</v>
      </c>
      <c r="G1449" s="3">
        <f t="shared" si="45"/>
        <v>150734.71022199999</v>
      </c>
    </row>
    <row r="1450" spans="1:7" x14ac:dyDescent="0.3">
      <c r="A1450" t="s">
        <v>13039</v>
      </c>
      <c r="B1450" t="s">
        <v>2925</v>
      </c>
      <c r="C1450" t="s">
        <v>2926</v>
      </c>
      <c r="D1450" s="1" t="s">
        <v>38</v>
      </c>
      <c r="E1450" s="3">
        <v>197937.13</v>
      </c>
      <c r="F1450" s="3">
        <f t="shared" si="44"/>
        <v>50018.712751000006</v>
      </c>
      <c r="G1450" s="3">
        <f t="shared" si="45"/>
        <v>247955.84275100002</v>
      </c>
    </row>
    <row r="1451" spans="1:7" x14ac:dyDescent="0.3">
      <c r="A1451" t="s">
        <v>13039</v>
      </c>
      <c r="B1451" t="s">
        <v>2927</v>
      </c>
      <c r="C1451" t="s">
        <v>2928</v>
      </c>
      <c r="D1451" s="1" t="s">
        <v>38</v>
      </c>
      <c r="E1451" s="3">
        <v>75065.039999999994</v>
      </c>
      <c r="F1451" s="3">
        <f t="shared" si="44"/>
        <v>18968.935608</v>
      </c>
      <c r="G1451" s="3">
        <f t="shared" si="45"/>
        <v>94033.975607999993</v>
      </c>
    </row>
    <row r="1452" spans="1:7" x14ac:dyDescent="0.3">
      <c r="A1452" t="s">
        <v>13039</v>
      </c>
      <c r="B1452" t="s">
        <v>2929</v>
      </c>
      <c r="C1452" t="s">
        <v>2930</v>
      </c>
      <c r="D1452" s="1" t="s">
        <v>38</v>
      </c>
      <c r="E1452" s="3">
        <v>85744.73</v>
      </c>
      <c r="F1452" s="3">
        <f t="shared" si="44"/>
        <v>21667.693271000004</v>
      </c>
      <c r="G1452" s="3">
        <f t="shared" si="45"/>
        <v>107412.42327100001</v>
      </c>
    </row>
    <row r="1453" spans="1:7" x14ac:dyDescent="0.3">
      <c r="A1453" t="s">
        <v>13039</v>
      </c>
      <c r="B1453" t="s">
        <v>2931</v>
      </c>
      <c r="C1453" t="s">
        <v>2932</v>
      </c>
      <c r="D1453" s="1" t="s">
        <v>38</v>
      </c>
      <c r="E1453" s="3">
        <v>208209</v>
      </c>
      <c r="F1453" s="3">
        <f t="shared" si="44"/>
        <v>52614.414300000004</v>
      </c>
      <c r="G1453" s="3">
        <f t="shared" si="45"/>
        <v>260823.4143</v>
      </c>
    </row>
    <row r="1454" spans="1:7" x14ac:dyDescent="0.3">
      <c r="A1454" t="s">
        <v>13039</v>
      </c>
      <c r="B1454" t="s">
        <v>2933</v>
      </c>
      <c r="C1454" t="s">
        <v>2934</v>
      </c>
      <c r="D1454" s="1" t="s">
        <v>38</v>
      </c>
      <c r="E1454" s="3">
        <v>130864.17</v>
      </c>
      <c r="F1454" s="3">
        <f t="shared" si="44"/>
        <v>33069.375759000002</v>
      </c>
      <c r="G1454" s="3">
        <f t="shared" si="45"/>
        <v>163933.545759</v>
      </c>
    </row>
    <row r="1455" spans="1:7" x14ac:dyDescent="0.3">
      <c r="A1455" t="s">
        <v>13039</v>
      </c>
      <c r="B1455" t="s">
        <v>2935</v>
      </c>
      <c r="C1455" t="s">
        <v>2936</v>
      </c>
      <c r="D1455" s="1" t="s">
        <v>38</v>
      </c>
      <c r="E1455" s="3">
        <v>126736.07</v>
      </c>
      <c r="F1455" s="3">
        <f t="shared" si="44"/>
        <v>32026.204889000008</v>
      </c>
      <c r="G1455" s="3">
        <f t="shared" si="45"/>
        <v>158762.27488900002</v>
      </c>
    </row>
    <row r="1456" spans="1:7" x14ac:dyDescent="0.3">
      <c r="A1456" t="s">
        <v>13039</v>
      </c>
      <c r="B1456" t="s">
        <v>2937</v>
      </c>
      <c r="C1456" t="s">
        <v>2938</v>
      </c>
      <c r="D1456" s="1" t="s">
        <v>427</v>
      </c>
      <c r="E1456" s="3">
        <v>171.44</v>
      </c>
      <c r="F1456" s="3">
        <f t="shared" si="44"/>
        <v>43.322888000000006</v>
      </c>
      <c r="G1456" s="3">
        <f t="shared" si="45"/>
        <v>214.762888</v>
      </c>
    </row>
    <row r="1457" spans="1:7" x14ac:dyDescent="0.3">
      <c r="A1457" t="s">
        <v>13039</v>
      </c>
      <c r="B1457" t="s">
        <v>2939</v>
      </c>
      <c r="C1457" t="s">
        <v>2940</v>
      </c>
      <c r="D1457" s="1" t="s">
        <v>38</v>
      </c>
      <c r="E1457" s="3">
        <v>67905.240000000005</v>
      </c>
      <c r="F1457" s="3">
        <f t="shared" si="44"/>
        <v>17159.654148000005</v>
      </c>
      <c r="G1457" s="3">
        <f t="shared" si="45"/>
        <v>85064.894148000007</v>
      </c>
    </row>
    <row r="1458" spans="1:7" x14ac:dyDescent="0.3">
      <c r="A1458" t="s">
        <v>13039</v>
      </c>
      <c r="B1458" t="s">
        <v>2941</v>
      </c>
      <c r="C1458" t="s">
        <v>2942</v>
      </c>
      <c r="D1458" s="1" t="s">
        <v>38</v>
      </c>
      <c r="E1458" s="3">
        <v>122938.08</v>
      </c>
      <c r="F1458" s="3">
        <f t="shared" si="44"/>
        <v>31066.452816000005</v>
      </c>
      <c r="G1458" s="3">
        <f t="shared" si="45"/>
        <v>154004.53281599999</v>
      </c>
    </row>
    <row r="1459" spans="1:7" x14ac:dyDescent="0.3">
      <c r="A1459" t="s">
        <v>13039</v>
      </c>
      <c r="B1459" t="s">
        <v>2943</v>
      </c>
      <c r="C1459" t="s">
        <v>2944</v>
      </c>
      <c r="D1459" s="1" t="s">
        <v>38</v>
      </c>
      <c r="E1459" s="3">
        <v>34860.559999999998</v>
      </c>
      <c r="F1459" s="3">
        <f t="shared" si="44"/>
        <v>8809.2635120000014</v>
      </c>
      <c r="G1459" s="3">
        <f t="shared" si="45"/>
        <v>43669.823512000003</v>
      </c>
    </row>
    <row r="1460" spans="1:7" x14ac:dyDescent="0.3">
      <c r="A1460" t="s">
        <v>13039</v>
      </c>
      <c r="B1460" t="s">
        <v>2945</v>
      </c>
      <c r="C1460" t="s">
        <v>2946</v>
      </c>
      <c r="D1460" s="1" t="s">
        <v>38</v>
      </c>
      <c r="E1460" s="3">
        <v>47840.47</v>
      </c>
      <c r="F1460" s="3">
        <f t="shared" si="44"/>
        <v>12089.286769000002</v>
      </c>
      <c r="G1460" s="3">
        <f t="shared" si="45"/>
        <v>59929.756769</v>
      </c>
    </row>
    <row r="1461" spans="1:7" x14ac:dyDescent="0.3">
      <c r="A1461" t="s">
        <v>13039</v>
      </c>
      <c r="B1461" t="s">
        <v>2947</v>
      </c>
      <c r="C1461" t="s">
        <v>2948</v>
      </c>
      <c r="D1461" s="1" t="s">
        <v>38</v>
      </c>
      <c r="E1461" s="3">
        <v>132410.70000000001</v>
      </c>
      <c r="F1461" s="3">
        <f t="shared" si="44"/>
        <v>33460.183890000008</v>
      </c>
      <c r="G1461" s="3">
        <f t="shared" si="45"/>
        <v>165870.88389000003</v>
      </c>
    </row>
    <row r="1462" spans="1:7" x14ac:dyDescent="0.3">
      <c r="A1462" t="s">
        <v>13039</v>
      </c>
      <c r="B1462" t="s">
        <v>2949</v>
      </c>
      <c r="C1462" t="s">
        <v>2950</v>
      </c>
      <c r="D1462" s="1" t="s">
        <v>38</v>
      </c>
      <c r="E1462" s="3">
        <v>95217</v>
      </c>
      <c r="F1462" s="3">
        <f t="shared" si="44"/>
        <v>24061.335900000002</v>
      </c>
      <c r="G1462" s="3">
        <f t="shared" si="45"/>
        <v>119278.33590000001</v>
      </c>
    </row>
    <row r="1463" spans="1:7" x14ac:dyDescent="0.3">
      <c r="A1463" t="s">
        <v>13039</v>
      </c>
      <c r="B1463" t="s">
        <v>2951</v>
      </c>
      <c r="C1463" t="s">
        <v>2952</v>
      </c>
      <c r="D1463" s="1" t="s">
        <v>38</v>
      </c>
      <c r="E1463" s="3">
        <v>62915.82</v>
      </c>
      <c r="F1463" s="3">
        <f t="shared" si="44"/>
        <v>15898.827714000003</v>
      </c>
      <c r="G1463" s="3">
        <f t="shared" si="45"/>
        <v>78814.647714000006</v>
      </c>
    </row>
    <row r="1464" spans="1:7" x14ac:dyDescent="0.3">
      <c r="A1464" t="s">
        <v>13039</v>
      </c>
      <c r="B1464" t="s">
        <v>2953</v>
      </c>
      <c r="C1464" t="s">
        <v>2954</v>
      </c>
      <c r="D1464" s="1" t="s">
        <v>195</v>
      </c>
      <c r="E1464" s="3">
        <v>177.68</v>
      </c>
      <c r="F1464" s="3">
        <f t="shared" si="44"/>
        <v>44.899736000000011</v>
      </c>
      <c r="G1464" s="3">
        <f t="shared" si="45"/>
        <v>222.57973600000003</v>
      </c>
    </row>
    <row r="1465" spans="1:7" x14ac:dyDescent="0.3">
      <c r="A1465" t="s">
        <v>13039</v>
      </c>
      <c r="B1465" t="s">
        <v>2955</v>
      </c>
      <c r="C1465" t="s">
        <v>2956</v>
      </c>
      <c r="D1465" s="1" t="s">
        <v>38</v>
      </c>
      <c r="E1465" s="3">
        <v>40056.82</v>
      </c>
      <c r="F1465" s="3">
        <f t="shared" si="44"/>
        <v>10122.358414000002</v>
      </c>
      <c r="G1465" s="3">
        <f t="shared" si="45"/>
        <v>50179.178414000002</v>
      </c>
    </row>
    <row r="1466" spans="1:7" x14ac:dyDescent="0.3">
      <c r="A1466" t="s">
        <v>13039</v>
      </c>
      <c r="B1466" t="s">
        <v>2957</v>
      </c>
      <c r="C1466" t="s">
        <v>2958</v>
      </c>
      <c r="D1466" s="1" t="s">
        <v>38</v>
      </c>
      <c r="E1466" s="3">
        <v>22754.92</v>
      </c>
      <c r="F1466" s="3">
        <f t="shared" si="44"/>
        <v>5750.1682840000003</v>
      </c>
      <c r="G1466" s="3">
        <f t="shared" si="45"/>
        <v>28505.088283999998</v>
      </c>
    </row>
    <row r="1467" spans="1:7" x14ac:dyDescent="0.3">
      <c r="A1467" t="s">
        <v>13039</v>
      </c>
      <c r="B1467" t="s">
        <v>2959</v>
      </c>
      <c r="C1467" t="s">
        <v>2960</v>
      </c>
      <c r="D1467" s="1" t="s">
        <v>38</v>
      </c>
      <c r="E1467" s="3">
        <v>13055.5</v>
      </c>
      <c r="F1467" s="3">
        <f t="shared" si="44"/>
        <v>3299.1248500000006</v>
      </c>
      <c r="G1467" s="3">
        <f t="shared" si="45"/>
        <v>16354.62485</v>
      </c>
    </row>
    <row r="1468" spans="1:7" x14ac:dyDescent="0.3">
      <c r="A1468" t="s">
        <v>13039</v>
      </c>
      <c r="B1468" t="s">
        <v>2961</v>
      </c>
      <c r="C1468" t="s">
        <v>2962</v>
      </c>
      <c r="D1468" s="1" t="s">
        <v>38</v>
      </c>
      <c r="E1468" s="3">
        <v>21457.09</v>
      </c>
      <c r="F1468" s="3">
        <f t="shared" si="44"/>
        <v>5422.2066430000004</v>
      </c>
      <c r="G1468" s="3">
        <f t="shared" si="45"/>
        <v>26879.296643000001</v>
      </c>
    </row>
    <row r="1469" spans="1:7" x14ac:dyDescent="0.3">
      <c r="A1469" t="s">
        <v>13039</v>
      </c>
      <c r="B1469" t="s">
        <v>2963</v>
      </c>
      <c r="C1469" t="s">
        <v>2964</v>
      </c>
      <c r="D1469" s="1" t="s">
        <v>38</v>
      </c>
      <c r="E1469" s="3">
        <v>49996.99</v>
      </c>
      <c r="F1469" s="3">
        <f t="shared" si="44"/>
        <v>12634.239373000002</v>
      </c>
      <c r="G1469" s="3">
        <f t="shared" si="45"/>
        <v>62631.229373000002</v>
      </c>
    </row>
    <row r="1470" spans="1:7" x14ac:dyDescent="0.3">
      <c r="A1470" t="s">
        <v>13039</v>
      </c>
      <c r="B1470" t="s">
        <v>2965</v>
      </c>
      <c r="C1470" t="s">
        <v>2966</v>
      </c>
      <c r="D1470" s="1" t="s">
        <v>38</v>
      </c>
      <c r="E1470" s="3">
        <v>37429</v>
      </c>
      <c r="F1470" s="3">
        <f t="shared" si="44"/>
        <v>9458.3083000000006</v>
      </c>
      <c r="G1470" s="3">
        <f t="shared" si="45"/>
        <v>46887.308300000004</v>
      </c>
    </row>
    <row r="1471" spans="1:7" x14ac:dyDescent="0.3">
      <c r="A1471" t="s">
        <v>13039</v>
      </c>
      <c r="B1471" t="s">
        <v>2967</v>
      </c>
      <c r="C1471" t="s">
        <v>2968</v>
      </c>
      <c r="D1471" s="1" t="s">
        <v>38</v>
      </c>
      <c r="E1471" s="3">
        <v>22139.88</v>
      </c>
      <c r="F1471" s="3">
        <f t="shared" si="44"/>
        <v>5594.7476760000009</v>
      </c>
      <c r="G1471" s="3">
        <f t="shared" si="45"/>
        <v>27734.627676000004</v>
      </c>
    </row>
    <row r="1472" spans="1:7" x14ac:dyDescent="0.3">
      <c r="A1472" t="s">
        <v>13039</v>
      </c>
      <c r="B1472" t="s">
        <v>2969</v>
      </c>
      <c r="C1472" t="s">
        <v>2970</v>
      </c>
      <c r="D1472" s="1" t="s">
        <v>38</v>
      </c>
      <c r="E1472" s="3">
        <v>16986.13</v>
      </c>
      <c r="F1472" s="3">
        <f t="shared" si="44"/>
        <v>4292.3950510000004</v>
      </c>
      <c r="G1472" s="3">
        <f t="shared" si="45"/>
        <v>21278.525051000001</v>
      </c>
    </row>
    <row r="1473" spans="1:7" x14ac:dyDescent="0.3">
      <c r="A1473" t="s">
        <v>13039</v>
      </c>
      <c r="B1473" t="s">
        <v>2971</v>
      </c>
      <c r="C1473" t="s">
        <v>2972</v>
      </c>
      <c r="D1473" s="1" t="s">
        <v>2904</v>
      </c>
      <c r="E1473" s="3">
        <v>3.14</v>
      </c>
      <c r="F1473" s="3">
        <f t="shared" si="44"/>
        <v>0.79347800000000013</v>
      </c>
      <c r="G1473" s="3">
        <f t="shared" si="45"/>
        <v>3.933478</v>
      </c>
    </row>
    <row r="1474" spans="1:7" x14ac:dyDescent="0.3">
      <c r="A1474" t="s">
        <v>13039</v>
      </c>
      <c r="B1474" t="s">
        <v>2973</v>
      </c>
      <c r="C1474" t="s">
        <v>2974</v>
      </c>
      <c r="D1474" s="1" t="s">
        <v>38</v>
      </c>
      <c r="E1474" s="3">
        <v>1832.18</v>
      </c>
      <c r="F1474" s="3">
        <f t="shared" si="44"/>
        <v>462.99188600000008</v>
      </c>
      <c r="G1474" s="3">
        <f t="shared" si="45"/>
        <v>2295.1718860000001</v>
      </c>
    </row>
    <row r="1475" spans="1:7" x14ac:dyDescent="0.3">
      <c r="A1475" t="s">
        <v>13039</v>
      </c>
      <c r="B1475" t="s">
        <v>2975</v>
      </c>
      <c r="C1475" t="s">
        <v>2976</v>
      </c>
      <c r="D1475" s="1" t="s">
        <v>2904</v>
      </c>
      <c r="E1475" s="3">
        <v>16.7</v>
      </c>
      <c r="F1475" s="3">
        <f t="shared" si="44"/>
        <v>4.2200900000000008</v>
      </c>
      <c r="G1475" s="3">
        <f t="shared" si="45"/>
        <v>20.920090000000002</v>
      </c>
    </row>
    <row r="1476" spans="1:7" x14ac:dyDescent="0.3">
      <c r="A1476" t="s">
        <v>13039</v>
      </c>
      <c r="B1476" t="s">
        <v>2977</v>
      </c>
      <c r="C1476" t="s">
        <v>2978</v>
      </c>
      <c r="D1476" s="1" t="s">
        <v>427</v>
      </c>
      <c r="E1476" s="3">
        <v>3.42</v>
      </c>
      <c r="F1476" s="3">
        <f t="shared" si="44"/>
        <v>0.86423400000000006</v>
      </c>
      <c r="G1476" s="3">
        <f t="shared" si="45"/>
        <v>4.2842339999999997</v>
      </c>
    </row>
    <row r="1477" spans="1:7" x14ac:dyDescent="0.3">
      <c r="A1477" t="s">
        <v>13039</v>
      </c>
      <c r="B1477" t="s">
        <v>2979</v>
      </c>
      <c r="C1477" t="s">
        <v>2980</v>
      </c>
      <c r="D1477" s="1" t="s">
        <v>427</v>
      </c>
      <c r="E1477" s="3">
        <v>3396.12</v>
      </c>
      <c r="F1477" s="3">
        <f t="shared" si="44"/>
        <v>858.19952400000011</v>
      </c>
      <c r="G1477" s="3">
        <f t="shared" si="45"/>
        <v>4254.3195240000005</v>
      </c>
    </row>
    <row r="1478" spans="1:7" x14ac:dyDescent="0.3">
      <c r="A1478" t="s">
        <v>13039</v>
      </c>
      <c r="B1478" t="s">
        <v>2981</v>
      </c>
      <c r="C1478" t="s">
        <v>2982</v>
      </c>
      <c r="D1478" s="1" t="s">
        <v>427</v>
      </c>
      <c r="E1478" s="3">
        <v>702.44</v>
      </c>
      <c r="F1478" s="3">
        <f t="shared" si="44"/>
        <v>177.50658800000005</v>
      </c>
      <c r="G1478" s="3">
        <f t="shared" si="45"/>
        <v>879.94658800000013</v>
      </c>
    </row>
    <row r="1479" spans="1:7" x14ac:dyDescent="0.3">
      <c r="A1479" t="s">
        <v>13039</v>
      </c>
      <c r="B1479" t="s">
        <v>2983</v>
      </c>
      <c r="C1479" t="s">
        <v>2984</v>
      </c>
      <c r="D1479" s="1" t="s">
        <v>427</v>
      </c>
      <c r="E1479" s="3">
        <v>631.38</v>
      </c>
      <c r="F1479" s="3">
        <f t="shared" ref="F1479:F1542" si="46">+E1479*$F$4</f>
        <v>159.54972600000002</v>
      </c>
      <c r="G1479" s="3">
        <f t="shared" ref="G1479:G1542" si="47">+E1479+F1479</f>
        <v>790.92972600000007</v>
      </c>
    </row>
    <row r="1480" spans="1:7" x14ac:dyDescent="0.3">
      <c r="A1480" t="s">
        <v>13039</v>
      </c>
      <c r="B1480" t="s">
        <v>2985</v>
      </c>
      <c r="C1480" t="s">
        <v>2986</v>
      </c>
      <c r="D1480" s="1" t="s">
        <v>427</v>
      </c>
      <c r="E1480" s="3">
        <v>561.76</v>
      </c>
      <c r="F1480" s="3">
        <f t="shared" si="46"/>
        <v>141.95675200000002</v>
      </c>
      <c r="G1480" s="3">
        <f t="shared" si="47"/>
        <v>703.71675200000004</v>
      </c>
    </row>
    <row r="1481" spans="1:7" x14ac:dyDescent="0.3">
      <c r="A1481" t="s">
        <v>13039</v>
      </c>
      <c r="B1481" t="s">
        <v>2987</v>
      </c>
      <c r="C1481" t="s">
        <v>2988</v>
      </c>
      <c r="D1481" s="1" t="s">
        <v>427</v>
      </c>
      <c r="E1481" s="3">
        <v>438.6</v>
      </c>
      <c r="F1481" s="3">
        <f t="shared" si="46"/>
        <v>110.83422000000002</v>
      </c>
      <c r="G1481" s="3">
        <f t="shared" si="47"/>
        <v>549.4342200000001</v>
      </c>
    </row>
    <row r="1482" spans="1:7" x14ac:dyDescent="0.3">
      <c r="A1482" t="s">
        <v>13039</v>
      </c>
      <c r="B1482" t="s">
        <v>2989</v>
      </c>
      <c r="C1482" t="s">
        <v>2990</v>
      </c>
      <c r="D1482" s="1" t="s">
        <v>427</v>
      </c>
      <c r="E1482" s="3">
        <v>491.48</v>
      </c>
      <c r="F1482" s="3">
        <f t="shared" si="46"/>
        <v>124.19699600000003</v>
      </c>
      <c r="G1482" s="3">
        <f t="shared" si="47"/>
        <v>615.67699600000003</v>
      </c>
    </row>
    <row r="1483" spans="1:7" x14ac:dyDescent="0.3">
      <c r="A1483" t="s">
        <v>13039</v>
      </c>
      <c r="B1483" t="s">
        <v>2991</v>
      </c>
      <c r="C1483" t="s">
        <v>2992</v>
      </c>
      <c r="D1483" s="1" t="s">
        <v>427</v>
      </c>
      <c r="E1483" s="3">
        <v>343.75</v>
      </c>
      <c r="F1483" s="3">
        <f t="shared" si="46"/>
        <v>86.865625000000009</v>
      </c>
      <c r="G1483" s="3">
        <f t="shared" si="47"/>
        <v>430.61562500000002</v>
      </c>
    </row>
    <row r="1484" spans="1:7" x14ac:dyDescent="0.3">
      <c r="A1484" t="s">
        <v>13039</v>
      </c>
      <c r="B1484" t="s">
        <v>2993</v>
      </c>
      <c r="C1484" t="s">
        <v>2994</v>
      </c>
      <c r="D1484" s="1" t="s">
        <v>427</v>
      </c>
      <c r="E1484" s="3">
        <v>589.30999999999995</v>
      </c>
      <c r="F1484" s="3">
        <f t="shared" si="46"/>
        <v>148.91863700000002</v>
      </c>
      <c r="G1484" s="3">
        <f t="shared" si="47"/>
        <v>738.22863699999994</v>
      </c>
    </row>
    <row r="1485" spans="1:7" x14ac:dyDescent="0.3">
      <c r="A1485" t="s">
        <v>13039</v>
      </c>
      <c r="B1485" t="s">
        <v>2995</v>
      </c>
      <c r="C1485" t="s">
        <v>2996</v>
      </c>
      <c r="D1485" s="1" t="s">
        <v>427</v>
      </c>
      <c r="E1485" s="3">
        <v>434.15</v>
      </c>
      <c r="F1485" s="3">
        <f t="shared" si="46"/>
        <v>109.70970500000001</v>
      </c>
      <c r="G1485" s="3">
        <f t="shared" si="47"/>
        <v>543.85970499999996</v>
      </c>
    </row>
    <row r="1486" spans="1:7" x14ac:dyDescent="0.3">
      <c r="A1486" t="s">
        <v>13039</v>
      </c>
      <c r="B1486" t="s">
        <v>2997</v>
      </c>
      <c r="C1486" t="s">
        <v>2998</v>
      </c>
      <c r="D1486" s="1" t="s">
        <v>427</v>
      </c>
      <c r="E1486" s="3">
        <v>458.13</v>
      </c>
      <c r="F1486" s="3">
        <f t="shared" si="46"/>
        <v>115.76945100000002</v>
      </c>
      <c r="G1486" s="3">
        <f t="shared" si="47"/>
        <v>573.899451</v>
      </c>
    </row>
    <row r="1487" spans="1:7" x14ac:dyDescent="0.3">
      <c r="A1487" t="s">
        <v>13039</v>
      </c>
      <c r="B1487" t="s">
        <v>2999</v>
      </c>
      <c r="C1487" t="s">
        <v>3000</v>
      </c>
      <c r="D1487" s="1" t="s">
        <v>427</v>
      </c>
      <c r="E1487" s="3">
        <v>296.08</v>
      </c>
      <c r="F1487" s="3">
        <f t="shared" si="46"/>
        <v>74.819416000000004</v>
      </c>
      <c r="G1487" s="3">
        <f t="shared" si="47"/>
        <v>370.89941599999997</v>
      </c>
    </row>
    <row r="1488" spans="1:7" x14ac:dyDescent="0.3">
      <c r="A1488" t="s">
        <v>13039</v>
      </c>
      <c r="B1488" t="s">
        <v>3001</v>
      </c>
      <c r="C1488" t="s">
        <v>3002</v>
      </c>
      <c r="D1488" s="1" t="s">
        <v>427</v>
      </c>
      <c r="E1488" s="3">
        <v>390.83</v>
      </c>
      <c r="F1488" s="3">
        <f t="shared" si="46"/>
        <v>98.762741000000005</v>
      </c>
      <c r="G1488" s="3">
        <f t="shared" si="47"/>
        <v>489.59274099999999</v>
      </c>
    </row>
    <row r="1489" spans="1:7" x14ac:dyDescent="0.3">
      <c r="A1489" t="s">
        <v>13039</v>
      </c>
      <c r="B1489" t="s">
        <v>3003</v>
      </c>
      <c r="C1489" t="s">
        <v>3004</v>
      </c>
      <c r="D1489" s="1" t="s">
        <v>427</v>
      </c>
      <c r="E1489" s="3">
        <v>204.12</v>
      </c>
      <c r="F1489" s="3">
        <f t="shared" si="46"/>
        <v>51.58112400000001</v>
      </c>
      <c r="G1489" s="3">
        <f t="shared" si="47"/>
        <v>255.70112400000002</v>
      </c>
    </row>
    <row r="1490" spans="1:7" x14ac:dyDescent="0.3">
      <c r="A1490" t="s">
        <v>13039</v>
      </c>
      <c r="B1490" t="s">
        <v>3005</v>
      </c>
      <c r="C1490" t="s">
        <v>3006</v>
      </c>
      <c r="D1490" s="1" t="s">
        <v>427</v>
      </c>
      <c r="E1490" s="3">
        <v>450.4</v>
      </c>
      <c r="F1490" s="3">
        <f t="shared" si="46"/>
        <v>113.81608000000001</v>
      </c>
      <c r="G1490" s="3">
        <f t="shared" si="47"/>
        <v>564.21608000000003</v>
      </c>
    </row>
    <row r="1491" spans="1:7" x14ac:dyDescent="0.3">
      <c r="A1491" t="s">
        <v>13039</v>
      </c>
      <c r="B1491" t="s">
        <v>3007</v>
      </c>
      <c r="C1491" t="s">
        <v>3008</v>
      </c>
      <c r="D1491" s="1" t="s">
        <v>427</v>
      </c>
      <c r="E1491" s="3">
        <v>329.68</v>
      </c>
      <c r="F1491" s="3">
        <f t="shared" si="46"/>
        <v>83.310136000000014</v>
      </c>
      <c r="G1491" s="3">
        <f t="shared" si="47"/>
        <v>412.99013600000001</v>
      </c>
    </row>
    <row r="1492" spans="1:7" x14ac:dyDescent="0.3">
      <c r="A1492" t="s">
        <v>13039</v>
      </c>
      <c r="B1492" t="s">
        <v>3009</v>
      </c>
      <c r="C1492" t="s">
        <v>3010</v>
      </c>
      <c r="D1492" s="1" t="s">
        <v>427</v>
      </c>
      <c r="E1492" s="3">
        <v>359.05</v>
      </c>
      <c r="F1492" s="3">
        <f t="shared" si="46"/>
        <v>90.731935000000021</v>
      </c>
      <c r="G1492" s="3">
        <f t="shared" si="47"/>
        <v>449.78193500000003</v>
      </c>
    </row>
    <row r="1493" spans="1:7" x14ac:dyDescent="0.3">
      <c r="A1493" t="s">
        <v>13039</v>
      </c>
      <c r="B1493" t="s">
        <v>3011</v>
      </c>
      <c r="C1493" t="s">
        <v>3012</v>
      </c>
      <c r="D1493" s="1" t="s">
        <v>427</v>
      </c>
      <c r="E1493" s="3">
        <v>206.16</v>
      </c>
      <c r="F1493" s="3">
        <f t="shared" si="46"/>
        <v>52.096632000000007</v>
      </c>
      <c r="G1493" s="3">
        <f t="shared" si="47"/>
        <v>258.25663200000002</v>
      </c>
    </row>
    <row r="1494" spans="1:7" x14ac:dyDescent="0.3">
      <c r="A1494" t="s">
        <v>13039</v>
      </c>
      <c r="B1494" t="s">
        <v>3013</v>
      </c>
      <c r="C1494" t="s">
        <v>3014</v>
      </c>
      <c r="D1494" s="1" t="s">
        <v>427</v>
      </c>
      <c r="E1494" s="3">
        <v>405.17</v>
      </c>
      <c r="F1494" s="3">
        <f t="shared" si="46"/>
        <v>102.38645900000002</v>
      </c>
      <c r="G1494" s="3">
        <f t="shared" si="47"/>
        <v>507.55645900000002</v>
      </c>
    </row>
    <row r="1495" spans="1:7" x14ac:dyDescent="0.3">
      <c r="A1495" t="s">
        <v>13039</v>
      </c>
      <c r="B1495" t="s">
        <v>3015</v>
      </c>
      <c r="C1495" t="s">
        <v>3016</v>
      </c>
      <c r="D1495" s="1" t="s">
        <v>427</v>
      </c>
      <c r="E1495" s="3">
        <v>266.49</v>
      </c>
      <c r="F1495" s="3">
        <f t="shared" si="46"/>
        <v>67.342023000000012</v>
      </c>
      <c r="G1495" s="3">
        <f t="shared" si="47"/>
        <v>333.83202300000005</v>
      </c>
    </row>
    <row r="1496" spans="1:7" x14ac:dyDescent="0.3">
      <c r="A1496" t="s">
        <v>13039</v>
      </c>
      <c r="B1496" t="s">
        <v>3017</v>
      </c>
      <c r="C1496" t="s">
        <v>3018</v>
      </c>
      <c r="D1496" s="1" t="s">
        <v>427</v>
      </c>
      <c r="E1496" s="3">
        <v>381.96</v>
      </c>
      <c r="F1496" s="3">
        <f t="shared" si="46"/>
        <v>96.521292000000003</v>
      </c>
      <c r="G1496" s="3">
        <f t="shared" si="47"/>
        <v>478.481292</v>
      </c>
    </row>
    <row r="1497" spans="1:7" x14ac:dyDescent="0.3">
      <c r="A1497" t="s">
        <v>13039</v>
      </c>
      <c r="B1497" t="s">
        <v>3019</v>
      </c>
      <c r="C1497" t="s">
        <v>3020</v>
      </c>
      <c r="D1497" s="1" t="s">
        <v>427</v>
      </c>
      <c r="E1497" s="3">
        <v>233.28</v>
      </c>
      <c r="F1497" s="3">
        <f t="shared" si="46"/>
        <v>58.949856000000011</v>
      </c>
      <c r="G1497" s="3">
        <f t="shared" si="47"/>
        <v>292.22985600000004</v>
      </c>
    </row>
    <row r="1498" spans="1:7" x14ac:dyDescent="0.3">
      <c r="A1498" t="s">
        <v>13039</v>
      </c>
      <c r="B1498" t="s">
        <v>3021</v>
      </c>
      <c r="C1498" t="s">
        <v>3022</v>
      </c>
      <c r="D1498" s="1" t="s">
        <v>427</v>
      </c>
      <c r="E1498" s="3">
        <v>442.22</v>
      </c>
      <c r="F1498" s="3">
        <f t="shared" si="46"/>
        <v>111.74899400000002</v>
      </c>
      <c r="G1498" s="3">
        <f t="shared" si="47"/>
        <v>553.96899400000007</v>
      </c>
    </row>
    <row r="1499" spans="1:7" x14ac:dyDescent="0.3">
      <c r="A1499" t="s">
        <v>13039</v>
      </c>
      <c r="B1499" t="s">
        <v>3023</v>
      </c>
      <c r="C1499" t="s">
        <v>3024</v>
      </c>
      <c r="D1499" s="1" t="s">
        <v>427</v>
      </c>
      <c r="E1499" s="3">
        <v>312.73</v>
      </c>
      <c r="F1499" s="3">
        <f t="shared" si="46"/>
        <v>79.026871000000014</v>
      </c>
      <c r="G1499" s="3">
        <f t="shared" si="47"/>
        <v>391.75687100000005</v>
      </c>
    </row>
    <row r="1500" spans="1:7" x14ac:dyDescent="0.3">
      <c r="A1500" t="s">
        <v>13039</v>
      </c>
      <c r="B1500" t="s">
        <v>3025</v>
      </c>
      <c r="C1500" t="s">
        <v>3026</v>
      </c>
      <c r="D1500" s="1" t="s">
        <v>427</v>
      </c>
      <c r="E1500" s="3">
        <v>421.94</v>
      </c>
      <c r="F1500" s="3">
        <f t="shared" si="46"/>
        <v>106.62423800000002</v>
      </c>
      <c r="G1500" s="3">
        <f t="shared" si="47"/>
        <v>528.56423800000005</v>
      </c>
    </row>
    <row r="1501" spans="1:7" x14ac:dyDescent="0.3">
      <c r="A1501" t="s">
        <v>13039</v>
      </c>
      <c r="B1501" t="s">
        <v>3027</v>
      </c>
      <c r="C1501" t="s">
        <v>3028</v>
      </c>
      <c r="D1501" s="1" t="s">
        <v>427</v>
      </c>
      <c r="E1501" s="3">
        <v>285.98</v>
      </c>
      <c r="F1501" s="3">
        <f t="shared" si="46"/>
        <v>72.267146000000011</v>
      </c>
      <c r="G1501" s="3">
        <f t="shared" si="47"/>
        <v>358.24714600000004</v>
      </c>
    </row>
    <row r="1502" spans="1:7" x14ac:dyDescent="0.3">
      <c r="A1502" t="s">
        <v>13039</v>
      </c>
      <c r="B1502" t="s">
        <v>3029</v>
      </c>
      <c r="C1502" t="s">
        <v>3030</v>
      </c>
      <c r="D1502" s="1" t="s">
        <v>427</v>
      </c>
      <c r="E1502" s="3">
        <v>405.75</v>
      </c>
      <c r="F1502" s="3">
        <f t="shared" si="46"/>
        <v>102.53302500000001</v>
      </c>
      <c r="G1502" s="3">
        <f t="shared" si="47"/>
        <v>508.28302500000001</v>
      </c>
    </row>
    <row r="1503" spans="1:7" x14ac:dyDescent="0.3">
      <c r="A1503" t="s">
        <v>13039</v>
      </c>
      <c r="B1503" t="s">
        <v>3031</v>
      </c>
      <c r="C1503" t="s">
        <v>3032</v>
      </c>
      <c r="D1503" s="1" t="s">
        <v>427</v>
      </c>
      <c r="E1503" s="3">
        <v>264.67</v>
      </c>
      <c r="F1503" s="3">
        <f t="shared" si="46"/>
        <v>66.882109000000014</v>
      </c>
      <c r="G1503" s="3">
        <f t="shared" si="47"/>
        <v>331.55210900000003</v>
      </c>
    </row>
    <row r="1504" spans="1:7" x14ac:dyDescent="0.3">
      <c r="A1504" t="s">
        <v>13039</v>
      </c>
      <c r="B1504" t="s">
        <v>3033</v>
      </c>
      <c r="C1504" t="s">
        <v>3034</v>
      </c>
      <c r="D1504" s="1" t="s">
        <v>427</v>
      </c>
      <c r="E1504" s="3">
        <v>392.67</v>
      </c>
      <c r="F1504" s="3">
        <f t="shared" si="46"/>
        <v>99.227709000000019</v>
      </c>
      <c r="G1504" s="3">
        <f t="shared" si="47"/>
        <v>491.89770900000002</v>
      </c>
    </row>
    <row r="1505" spans="1:7" x14ac:dyDescent="0.3">
      <c r="A1505" t="s">
        <v>13039</v>
      </c>
      <c r="B1505" t="s">
        <v>3035</v>
      </c>
      <c r="C1505" t="s">
        <v>3036</v>
      </c>
      <c r="D1505" s="1" t="s">
        <v>427</v>
      </c>
      <c r="E1505" s="3">
        <v>247.43</v>
      </c>
      <c r="F1505" s="3">
        <f t="shared" si="46"/>
        <v>62.52556100000001</v>
      </c>
      <c r="G1505" s="3">
        <f t="shared" si="47"/>
        <v>309.95556099999999</v>
      </c>
    </row>
    <row r="1506" spans="1:7" x14ac:dyDescent="0.3">
      <c r="A1506" t="s">
        <v>13039</v>
      </c>
      <c r="B1506" t="s">
        <v>3037</v>
      </c>
      <c r="C1506" t="s">
        <v>3038</v>
      </c>
      <c r="D1506" s="1" t="s">
        <v>427</v>
      </c>
      <c r="E1506" s="3">
        <v>3330.28</v>
      </c>
      <c r="F1506" s="3">
        <f t="shared" si="46"/>
        <v>841.56175600000017</v>
      </c>
      <c r="G1506" s="3">
        <f t="shared" si="47"/>
        <v>4171.8417560000007</v>
      </c>
    </row>
    <row r="1507" spans="1:7" x14ac:dyDescent="0.3">
      <c r="A1507" t="s">
        <v>13039</v>
      </c>
      <c r="B1507" t="s">
        <v>3039</v>
      </c>
      <c r="C1507" t="s">
        <v>3040</v>
      </c>
      <c r="D1507" s="1" t="s">
        <v>427</v>
      </c>
      <c r="E1507" s="3">
        <v>10672.73</v>
      </c>
      <c r="F1507" s="3">
        <f t="shared" si="46"/>
        <v>2696.9988710000002</v>
      </c>
      <c r="G1507" s="3">
        <f t="shared" si="47"/>
        <v>13369.728870999999</v>
      </c>
    </row>
    <row r="1508" spans="1:7" x14ac:dyDescent="0.3">
      <c r="A1508" t="s">
        <v>13039</v>
      </c>
      <c r="B1508" t="s">
        <v>3041</v>
      </c>
      <c r="C1508" t="s">
        <v>3042</v>
      </c>
      <c r="D1508" s="1" t="s">
        <v>427</v>
      </c>
      <c r="E1508" s="3">
        <v>0</v>
      </c>
      <c r="F1508" s="3">
        <f t="shared" si="46"/>
        <v>0</v>
      </c>
      <c r="G1508" s="3">
        <f t="shared" si="47"/>
        <v>0</v>
      </c>
    </row>
    <row r="1509" spans="1:7" x14ac:dyDescent="0.3">
      <c r="A1509" t="s">
        <v>13039</v>
      </c>
      <c r="B1509" t="s">
        <v>3043</v>
      </c>
      <c r="C1509" t="s">
        <v>3044</v>
      </c>
      <c r="D1509" s="1" t="s">
        <v>427</v>
      </c>
      <c r="E1509" s="3">
        <v>589.83000000000004</v>
      </c>
      <c r="F1509" s="3">
        <f t="shared" si="46"/>
        <v>149.05004100000002</v>
      </c>
      <c r="G1509" s="3">
        <f t="shared" si="47"/>
        <v>738.88004100000012</v>
      </c>
    </row>
    <row r="1510" spans="1:7" x14ac:dyDescent="0.3">
      <c r="A1510" t="s">
        <v>13039</v>
      </c>
      <c r="B1510" t="s">
        <v>3045</v>
      </c>
      <c r="C1510" t="s">
        <v>3046</v>
      </c>
      <c r="D1510" s="1" t="s">
        <v>427</v>
      </c>
      <c r="E1510" s="3">
        <v>418.9</v>
      </c>
      <c r="F1510" s="3">
        <f t="shared" si="46"/>
        <v>105.85603</v>
      </c>
      <c r="G1510" s="3">
        <f t="shared" si="47"/>
        <v>524.75603000000001</v>
      </c>
    </row>
    <row r="1511" spans="1:7" x14ac:dyDescent="0.3">
      <c r="A1511" t="s">
        <v>13039</v>
      </c>
      <c r="B1511" t="s">
        <v>3047</v>
      </c>
      <c r="C1511" t="s">
        <v>3048</v>
      </c>
      <c r="D1511" s="1" t="s">
        <v>427</v>
      </c>
      <c r="E1511" s="3">
        <v>511.85</v>
      </c>
      <c r="F1511" s="3">
        <f t="shared" si="46"/>
        <v>129.34449500000002</v>
      </c>
      <c r="G1511" s="3">
        <f t="shared" si="47"/>
        <v>641.19449500000007</v>
      </c>
    </row>
    <row r="1512" spans="1:7" x14ac:dyDescent="0.3">
      <c r="A1512" t="s">
        <v>13039</v>
      </c>
      <c r="B1512" t="s">
        <v>3049</v>
      </c>
      <c r="C1512" t="s">
        <v>3050</v>
      </c>
      <c r="D1512" s="1" t="s">
        <v>427</v>
      </c>
      <c r="E1512" s="3">
        <v>540.20000000000005</v>
      </c>
      <c r="F1512" s="3">
        <f t="shared" si="46"/>
        <v>136.50854000000004</v>
      </c>
      <c r="G1512" s="3">
        <f t="shared" si="47"/>
        <v>676.70854000000008</v>
      </c>
    </row>
    <row r="1513" spans="1:7" x14ac:dyDescent="0.3">
      <c r="A1513" t="s">
        <v>13039</v>
      </c>
      <c r="B1513" t="s">
        <v>3051</v>
      </c>
      <c r="C1513" t="s">
        <v>3052</v>
      </c>
      <c r="D1513" s="1" t="s">
        <v>427</v>
      </c>
      <c r="E1513" s="3">
        <v>571.84</v>
      </c>
      <c r="F1513" s="3">
        <f t="shared" si="46"/>
        <v>144.50396800000001</v>
      </c>
      <c r="G1513" s="3">
        <f t="shared" si="47"/>
        <v>716.34396800000002</v>
      </c>
    </row>
    <row r="1514" spans="1:7" x14ac:dyDescent="0.3">
      <c r="A1514" t="s">
        <v>13039</v>
      </c>
      <c r="B1514" t="s">
        <v>3053</v>
      </c>
      <c r="C1514" t="s">
        <v>3054</v>
      </c>
      <c r="D1514" s="1" t="s">
        <v>427</v>
      </c>
      <c r="E1514" s="3">
        <v>607.20000000000005</v>
      </c>
      <c r="F1514" s="3">
        <f t="shared" si="46"/>
        <v>153.43944000000005</v>
      </c>
      <c r="G1514" s="3">
        <f t="shared" si="47"/>
        <v>760.63944000000015</v>
      </c>
    </row>
    <row r="1515" spans="1:7" x14ac:dyDescent="0.3">
      <c r="A1515" t="s">
        <v>13039</v>
      </c>
      <c r="B1515" t="s">
        <v>3055</v>
      </c>
      <c r="C1515" t="s">
        <v>3056</v>
      </c>
      <c r="D1515" s="1" t="s">
        <v>427</v>
      </c>
      <c r="E1515" s="3">
        <v>646.72</v>
      </c>
      <c r="F1515" s="3">
        <f t="shared" si="46"/>
        <v>163.42614400000002</v>
      </c>
      <c r="G1515" s="3">
        <f t="shared" si="47"/>
        <v>810.14614400000005</v>
      </c>
    </row>
    <row r="1516" spans="1:7" x14ac:dyDescent="0.3">
      <c r="A1516" t="s">
        <v>13039</v>
      </c>
      <c r="B1516" t="s">
        <v>3057</v>
      </c>
      <c r="C1516" t="s">
        <v>3058</v>
      </c>
      <c r="D1516" s="1" t="s">
        <v>427</v>
      </c>
      <c r="E1516" s="3">
        <v>690.9</v>
      </c>
      <c r="F1516" s="3">
        <f t="shared" si="46"/>
        <v>174.59043000000003</v>
      </c>
      <c r="G1516" s="3">
        <f t="shared" si="47"/>
        <v>865.49043000000006</v>
      </c>
    </row>
    <row r="1517" spans="1:7" x14ac:dyDescent="0.3">
      <c r="A1517" t="s">
        <v>13039</v>
      </c>
      <c r="B1517" t="s">
        <v>3059</v>
      </c>
      <c r="C1517" t="s">
        <v>3060</v>
      </c>
      <c r="D1517" s="1" t="s">
        <v>427</v>
      </c>
      <c r="E1517" s="3">
        <v>753.53</v>
      </c>
      <c r="F1517" s="3">
        <f t="shared" si="46"/>
        <v>190.41703100000001</v>
      </c>
      <c r="G1517" s="3">
        <f t="shared" si="47"/>
        <v>943.94703099999992</v>
      </c>
    </row>
    <row r="1518" spans="1:7" x14ac:dyDescent="0.3">
      <c r="A1518" t="s">
        <v>13039</v>
      </c>
      <c r="B1518" t="s">
        <v>3061</v>
      </c>
      <c r="C1518" t="s">
        <v>3062</v>
      </c>
      <c r="D1518" s="1" t="s">
        <v>427</v>
      </c>
      <c r="E1518" s="3">
        <v>243.37</v>
      </c>
      <c r="F1518" s="3">
        <f t="shared" si="46"/>
        <v>61.499599000000011</v>
      </c>
      <c r="G1518" s="3">
        <f t="shared" si="47"/>
        <v>304.86959899999999</v>
      </c>
    </row>
    <row r="1519" spans="1:7" x14ac:dyDescent="0.3">
      <c r="A1519" t="s">
        <v>13039</v>
      </c>
      <c r="B1519" t="s">
        <v>3063</v>
      </c>
      <c r="C1519" t="s">
        <v>3064</v>
      </c>
      <c r="D1519" s="1" t="s">
        <v>427</v>
      </c>
      <c r="E1519" s="3">
        <v>423.21</v>
      </c>
      <c r="F1519" s="3">
        <f t="shared" si="46"/>
        <v>106.94516700000001</v>
      </c>
      <c r="G1519" s="3">
        <f t="shared" si="47"/>
        <v>530.15516700000001</v>
      </c>
    </row>
    <row r="1520" spans="1:7" x14ac:dyDescent="0.3">
      <c r="A1520" t="s">
        <v>13039</v>
      </c>
      <c r="B1520" t="s">
        <v>3065</v>
      </c>
      <c r="C1520" t="s">
        <v>3066</v>
      </c>
      <c r="D1520" s="1" t="s">
        <v>427</v>
      </c>
      <c r="E1520" s="3">
        <v>563.48</v>
      </c>
      <c r="F1520" s="3">
        <f t="shared" si="46"/>
        <v>142.39139600000001</v>
      </c>
      <c r="G1520" s="3">
        <f t="shared" si="47"/>
        <v>705.871396</v>
      </c>
    </row>
    <row r="1521" spans="1:7" x14ac:dyDescent="0.3">
      <c r="A1521" t="s">
        <v>13039</v>
      </c>
      <c r="B1521" t="s">
        <v>3067</v>
      </c>
      <c r="C1521" t="s">
        <v>3068</v>
      </c>
      <c r="D1521" s="1" t="s">
        <v>427</v>
      </c>
      <c r="E1521" s="3">
        <v>597.17999999999995</v>
      </c>
      <c r="F1521" s="3">
        <f t="shared" si="46"/>
        <v>150.907386</v>
      </c>
      <c r="G1521" s="3">
        <f t="shared" si="47"/>
        <v>748.08738599999992</v>
      </c>
    </row>
    <row r="1522" spans="1:7" x14ac:dyDescent="0.3">
      <c r="A1522" t="s">
        <v>13039</v>
      </c>
      <c r="B1522" t="s">
        <v>3069</v>
      </c>
      <c r="C1522" t="s">
        <v>3070</v>
      </c>
      <c r="D1522" s="1" t="s">
        <v>427</v>
      </c>
      <c r="E1522" s="3">
        <v>465.49</v>
      </c>
      <c r="F1522" s="3">
        <f t="shared" si="46"/>
        <v>117.62932300000001</v>
      </c>
      <c r="G1522" s="3">
        <f t="shared" si="47"/>
        <v>583.11932300000001</v>
      </c>
    </row>
    <row r="1523" spans="1:7" x14ac:dyDescent="0.3">
      <c r="A1523" t="s">
        <v>13039</v>
      </c>
      <c r="B1523" t="s">
        <v>3071</v>
      </c>
      <c r="C1523" t="s">
        <v>3072</v>
      </c>
      <c r="D1523" s="1" t="s">
        <v>427</v>
      </c>
      <c r="E1523" s="3">
        <v>475.51</v>
      </c>
      <c r="F1523" s="3">
        <f t="shared" si="46"/>
        <v>120.16137700000002</v>
      </c>
      <c r="G1523" s="3">
        <f t="shared" si="47"/>
        <v>595.67137700000001</v>
      </c>
    </row>
    <row r="1524" spans="1:7" x14ac:dyDescent="0.3">
      <c r="A1524" t="s">
        <v>13039</v>
      </c>
      <c r="B1524" t="s">
        <v>3073</v>
      </c>
      <c r="C1524" t="s">
        <v>3074</v>
      </c>
      <c r="D1524" s="1" t="s">
        <v>427</v>
      </c>
      <c r="E1524" s="3">
        <v>498.86</v>
      </c>
      <c r="F1524" s="3">
        <f t="shared" si="46"/>
        <v>126.06192200000002</v>
      </c>
      <c r="G1524" s="3">
        <f t="shared" si="47"/>
        <v>624.921922</v>
      </c>
    </row>
    <row r="1525" spans="1:7" x14ac:dyDescent="0.3">
      <c r="A1525" t="s">
        <v>13039</v>
      </c>
      <c r="B1525" t="s">
        <v>3075</v>
      </c>
      <c r="C1525" t="s">
        <v>3076</v>
      </c>
      <c r="D1525" s="1" t="s">
        <v>427</v>
      </c>
      <c r="E1525" s="3">
        <v>524.91</v>
      </c>
      <c r="F1525" s="3">
        <f t="shared" si="46"/>
        <v>132.644757</v>
      </c>
      <c r="G1525" s="3">
        <f t="shared" si="47"/>
        <v>657.554757</v>
      </c>
    </row>
    <row r="1526" spans="1:7" x14ac:dyDescent="0.3">
      <c r="A1526" t="s">
        <v>13039</v>
      </c>
      <c r="B1526" t="s">
        <v>3077</v>
      </c>
      <c r="C1526" t="s">
        <v>3078</v>
      </c>
      <c r="D1526" s="1" t="s">
        <v>427</v>
      </c>
      <c r="E1526" s="3">
        <v>948.09</v>
      </c>
      <c r="F1526" s="3">
        <f t="shared" si="46"/>
        <v>239.58234300000004</v>
      </c>
      <c r="G1526" s="3">
        <f t="shared" si="47"/>
        <v>1187.6723430000002</v>
      </c>
    </row>
    <row r="1527" spans="1:7" x14ac:dyDescent="0.3">
      <c r="A1527" t="s">
        <v>13039</v>
      </c>
      <c r="B1527" t="s">
        <v>3079</v>
      </c>
      <c r="C1527" t="s">
        <v>3080</v>
      </c>
      <c r="D1527" s="1" t="s">
        <v>427</v>
      </c>
      <c r="E1527" s="3">
        <v>1021.47</v>
      </c>
      <c r="F1527" s="3">
        <f t="shared" si="46"/>
        <v>258.12546900000007</v>
      </c>
      <c r="G1527" s="3">
        <f t="shared" si="47"/>
        <v>1279.5954690000001</v>
      </c>
    </row>
    <row r="1528" spans="1:7" x14ac:dyDescent="0.3">
      <c r="A1528" t="s">
        <v>13039</v>
      </c>
      <c r="B1528" t="s">
        <v>3081</v>
      </c>
      <c r="C1528" t="s">
        <v>3082</v>
      </c>
      <c r="D1528" s="1" t="s">
        <v>427</v>
      </c>
      <c r="E1528" s="3">
        <v>455.87</v>
      </c>
      <c r="F1528" s="3">
        <f t="shared" si="46"/>
        <v>115.19834900000002</v>
      </c>
      <c r="G1528" s="3">
        <f t="shared" si="47"/>
        <v>571.06834900000001</v>
      </c>
    </row>
    <row r="1529" spans="1:7" x14ac:dyDescent="0.3">
      <c r="A1529" t="s">
        <v>13039</v>
      </c>
      <c r="B1529" t="s">
        <v>3083</v>
      </c>
      <c r="C1529" t="s">
        <v>3084</v>
      </c>
      <c r="D1529" s="1" t="s">
        <v>427</v>
      </c>
      <c r="E1529" s="3">
        <v>278.7</v>
      </c>
      <c r="F1529" s="3">
        <f t="shared" si="46"/>
        <v>70.427490000000006</v>
      </c>
      <c r="G1529" s="3">
        <f t="shared" si="47"/>
        <v>349.12748999999997</v>
      </c>
    </row>
    <row r="1530" spans="1:7" x14ac:dyDescent="0.3">
      <c r="A1530" t="s">
        <v>13039</v>
      </c>
      <c r="B1530" t="s">
        <v>3085</v>
      </c>
      <c r="C1530" t="s">
        <v>3086</v>
      </c>
      <c r="D1530" s="1" t="s">
        <v>427</v>
      </c>
      <c r="E1530" s="3">
        <v>471.42</v>
      </c>
      <c r="F1530" s="3">
        <f t="shared" si="46"/>
        <v>119.12783400000002</v>
      </c>
      <c r="G1530" s="3">
        <f t="shared" si="47"/>
        <v>590.54783400000008</v>
      </c>
    </row>
    <row r="1531" spans="1:7" x14ac:dyDescent="0.3">
      <c r="A1531" t="s">
        <v>13039</v>
      </c>
      <c r="B1531" t="s">
        <v>3087</v>
      </c>
      <c r="C1531" t="s">
        <v>3088</v>
      </c>
      <c r="D1531" s="1" t="s">
        <v>427</v>
      </c>
      <c r="E1531" s="3">
        <v>296.72000000000003</v>
      </c>
      <c r="F1531" s="3">
        <f t="shared" si="46"/>
        <v>74.981144000000015</v>
      </c>
      <c r="G1531" s="3">
        <f t="shared" si="47"/>
        <v>371.70114400000006</v>
      </c>
    </row>
    <row r="1532" spans="1:7" x14ac:dyDescent="0.3">
      <c r="A1532" t="s">
        <v>13039</v>
      </c>
      <c r="B1532" t="s">
        <v>3089</v>
      </c>
      <c r="C1532" t="s">
        <v>3090</v>
      </c>
      <c r="D1532" s="1" t="s">
        <v>427</v>
      </c>
      <c r="E1532" s="3">
        <v>411.21</v>
      </c>
      <c r="F1532" s="3">
        <f t="shared" si="46"/>
        <v>103.91276700000002</v>
      </c>
      <c r="G1532" s="3">
        <f t="shared" si="47"/>
        <v>515.12276699999995</v>
      </c>
    </row>
    <row r="1533" spans="1:7" x14ac:dyDescent="0.3">
      <c r="A1533" t="s">
        <v>13039</v>
      </c>
      <c r="B1533" t="s">
        <v>3091</v>
      </c>
      <c r="C1533" t="s">
        <v>3092</v>
      </c>
      <c r="D1533" s="1" t="s">
        <v>427</v>
      </c>
      <c r="E1533" s="3">
        <v>235.88</v>
      </c>
      <c r="F1533" s="3">
        <f t="shared" si="46"/>
        <v>59.606876000000007</v>
      </c>
      <c r="G1533" s="3">
        <f t="shared" si="47"/>
        <v>295.486876</v>
      </c>
    </row>
    <row r="1534" spans="1:7" x14ac:dyDescent="0.3">
      <c r="A1534" t="s">
        <v>13039</v>
      </c>
      <c r="B1534" t="s">
        <v>3093</v>
      </c>
      <c r="C1534" t="s">
        <v>3094</v>
      </c>
      <c r="D1534" s="1" t="s">
        <v>427</v>
      </c>
      <c r="E1534" s="3">
        <v>386.64</v>
      </c>
      <c r="F1534" s="3">
        <f t="shared" si="46"/>
        <v>97.703928000000005</v>
      </c>
      <c r="G1534" s="3">
        <f t="shared" si="47"/>
        <v>484.34392800000001</v>
      </c>
    </row>
    <row r="1535" spans="1:7" x14ac:dyDescent="0.3">
      <c r="A1535" t="s">
        <v>13039</v>
      </c>
      <c r="B1535" t="s">
        <v>3095</v>
      </c>
      <c r="C1535" t="s">
        <v>3096</v>
      </c>
      <c r="D1535" s="1" t="s">
        <v>427</v>
      </c>
      <c r="E1535" s="3">
        <v>211.31</v>
      </c>
      <c r="F1535" s="3">
        <f t="shared" si="46"/>
        <v>53.398037000000009</v>
      </c>
      <c r="G1535" s="3">
        <f t="shared" si="47"/>
        <v>264.70803699999999</v>
      </c>
    </row>
    <row r="1536" spans="1:7" x14ac:dyDescent="0.3">
      <c r="A1536" t="s">
        <v>13039</v>
      </c>
      <c r="B1536" t="s">
        <v>3097</v>
      </c>
      <c r="C1536" t="s">
        <v>3098</v>
      </c>
      <c r="D1536" s="1" t="s">
        <v>427</v>
      </c>
      <c r="E1536" s="3">
        <v>488.87</v>
      </c>
      <c r="F1536" s="3">
        <f t="shared" si="46"/>
        <v>123.53744900000002</v>
      </c>
      <c r="G1536" s="3">
        <f t="shared" si="47"/>
        <v>612.40744900000004</v>
      </c>
    </row>
    <row r="1537" spans="1:7" x14ac:dyDescent="0.3">
      <c r="A1537" t="s">
        <v>13039</v>
      </c>
      <c r="B1537" t="s">
        <v>3099</v>
      </c>
      <c r="C1537" t="s">
        <v>3100</v>
      </c>
      <c r="D1537" s="1" t="s">
        <v>427</v>
      </c>
      <c r="E1537" s="3">
        <v>316.92</v>
      </c>
      <c r="F1537" s="3">
        <f t="shared" si="46"/>
        <v>80.085684000000015</v>
      </c>
      <c r="G1537" s="3">
        <f t="shared" si="47"/>
        <v>397.00568400000003</v>
      </c>
    </row>
    <row r="1538" spans="1:7" x14ac:dyDescent="0.3">
      <c r="A1538" t="s">
        <v>13039</v>
      </c>
      <c r="B1538" t="s">
        <v>3101</v>
      </c>
      <c r="C1538" t="s">
        <v>3102</v>
      </c>
      <c r="D1538" s="1" t="s">
        <v>427</v>
      </c>
      <c r="E1538" s="3">
        <v>422.77</v>
      </c>
      <c r="F1538" s="3">
        <f t="shared" si="46"/>
        <v>106.83397900000001</v>
      </c>
      <c r="G1538" s="3">
        <f t="shared" si="47"/>
        <v>529.60397899999998</v>
      </c>
    </row>
    <row r="1539" spans="1:7" x14ac:dyDescent="0.3">
      <c r="A1539" t="s">
        <v>13039</v>
      </c>
      <c r="B1539" t="s">
        <v>3103</v>
      </c>
      <c r="C1539" t="s">
        <v>3104</v>
      </c>
      <c r="D1539" s="1" t="s">
        <v>427</v>
      </c>
      <c r="E1539" s="3">
        <v>249.34</v>
      </c>
      <c r="F1539" s="3">
        <f t="shared" si="46"/>
        <v>63.008218000000006</v>
      </c>
      <c r="G1539" s="3">
        <f t="shared" si="47"/>
        <v>312.34821800000003</v>
      </c>
    </row>
    <row r="1540" spans="1:7" x14ac:dyDescent="0.3">
      <c r="A1540" t="s">
        <v>13039</v>
      </c>
      <c r="B1540" t="s">
        <v>3105</v>
      </c>
      <c r="C1540" t="s">
        <v>3106</v>
      </c>
      <c r="D1540" s="1" t="s">
        <v>427</v>
      </c>
      <c r="E1540" s="3">
        <v>396.48</v>
      </c>
      <c r="F1540" s="3">
        <f t="shared" si="46"/>
        <v>100.19049600000002</v>
      </c>
      <c r="G1540" s="3">
        <f t="shared" si="47"/>
        <v>496.67049600000007</v>
      </c>
    </row>
    <row r="1541" spans="1:7" x14ac:dyDescent="0.3">
      <c r="A1541" t="s">
        <v>13039</v>
      </c>
      <c r="B1541" t="s">
        <v>3107</v>
      </c>
      <c r="C1541" t="s">
        <v>3108</v>
      </c>
      <c r="D1541" s="1" t="s">
        <v>427</v>
      </c>
      <c r="E1541" s="3">
        <v>223.06</v>
      </c>
      <c r="F1541" s="3">
        <f t="shared" si="46"/>
        <v>56.367262000000011</v>
      </c>
      <c r="G1541" s="3">
        <f t="shared" si="47"/>
        <v>279.42726200000004</v>
      </c>
    </row>
    <row r="1542" spans="1:7" x14ac:dyDescent="0.3">
      <c r="A1542" t="s">
        <v>13039</v>
      </c>
      <c r="B1542" t="s">
        <v>3109</v>
      </c>
      <c r="C1542" t="s">
        <v>3110</v>
      </c>
      <c r="D1542" s="1" t="s">
        <v>427</v>
      </c>
      <c r="E1542" s="3">
        <v>500.39</v>
      </c>
      <c r="F1542" s="3">
        <f t="shared" si="46"/>
        <v>126.44855300000002</v>
      </c>
      <c r="G1542" s="3">
        <f t="shared" si="47"/>
        <v>626.83855300000005</v>
      </c>
    </row>
    <row r="1543" spans="1:7" x14ac:dyDescent="0.3">
      <c r="A1543" t="s">
        <v>13039</v>
      </c>
      <c r="B1543" t="s">
        <v>3111</v>
      </c>
      <c r="C1543" t="s">
        <v>3112</v>
      </c>
      <c r="D1543" s="1" t="s">
        <v>427</v>
      </c>
      <c r="E1543" s="3">
        <v>337.58</v>
      </c>
      <c r="F1543" s="3">
        <f t="shared" ref="F1543:F1606" si="48">+E1543*$F$4</f>
        <v>85.306466000000015</v>
      </c>
      <c r="G1543" s="3">
        <f t="shared" ref="G1543:G1606" si="49">+E1543+F1543</f>
        <v>422.88646599999998</v>
      </c>
    </row>
    <row r="1544" spans="1:7" x14ac:dyDescent="0.3">
      <c r="A1544" t="s">
        <v>13039</v>
      </c>
      <c r="B1544" t="s">
        <v>3113</v>
      </c>
      <c r="C1544" t="s">
        <v>3114</v>
      </c>
      <c r="D1544" s="1" t="s">
        <v>427</v>
      </c>
      <c r="E1544" s="3">
        <v>508.29</v>
      </c>
      <c r="F1544" s="3">
        <f t="shared" si="48"/>
        <v>128.44488300000003</v>
      </c>
      <c r="G1544" s="3">
        <f t="shared" si="49"/>
        <v>636.73488300000008</v>
      </c>
    </row>
    <row r="1545" spans="1:7" x14ac:dyDescent="0.3">
      <c r="A1545" t="s">
        <v>13039</v>
      </c>
      <c r="B1545" t="s">
        <v>3115</v>
      </c>
      <c r="C1545" t="s">
        <v>3116</v>
      </c>
      <c r="D1545" s="1" t="s">
        <v>427</v>
      </c>
      <c r="E1545" s="3">
        <v>339.42</v>
      </c>
      <c r="F1545" s="3">
        <f t="shared" si="48"/>
        <v>85.771434000000013</v>
      </c>
      <c r="G1545" s="3">
        <f t="shared" si="49"/>
        <v>425.19143400000002</v>
      </c>
    </row>
    <row r="1546" spans="1:7" x14ac:dyDescent="0.3">
      <c r="A1546" t="s">
        <v>13039</v>
      </c>
      <c r="B1546" t="s">
        <v>3117</v>
      </c>
      <c r="C1546" t="s">
        <v>3118</v>
      </c>
      <c r="D1546" s="1" t="s">
        <v>427</v>
      </c>
      <c r="E1546" s="3">
        <v>437.83</v>
      </c>
      <c r="F1546" s="3">
        <f t="shared" si="48"/>
        <v>110.63964100000001</v>
      </c>
      <c r="G1546" s="3">
        <f t="shared" si="49"/>
        <v>548.46964100000002</v>
      </c>
    </row>
    <row r="1547" spans="1:7" x14ac:dyDescent="0.3">
      <c r="A1547" t="s">
        <v>13039</v>
      </c>
      <c r="B1547" t="s">
        <v>3119</v>
      </c>
      <c r="C1547" t="s">
        <v>3120</v>
      </c>
      <c r="D1547" s="1" t="s">
        <v>427</v>
      </c>
      <c r="E1547" s="3">
        <v>266.89999999999998</v>
      </c>
      <c r="F1547" s="3">
        <f t="shared" si="48"/>
        <v>67.445630000000008</v>
      </c>
      <c r="G1547" s="3">
        <f t="shared" si="49"/>
        <v>334.34562999999997</v>
      </c>
    </row>
    <row r="1548" spans="1:7" x14ac:dyDescent="0.3">
      <c r="A1548" t="s">
        <v>13039</v>
      </c>
      <c r="B1548" t="s">
        <v>3121</v>
      </c>
      <c r="C1548" t="s">
        <v>3122</v>
      </c>
      <c r="D1548" s="1" t="s">
        <v>427</v>
      </c>
      <c r="E1548" s="3">
        <v>409.39</v>
      </c>
      <c r="F1548" s="3">
        <f t="shared" si="48"/>
        <v>103.452853</v>
      </c>
      <c r="G1548" s="3">
        <f t="shared" si="49"/>
        <v>512.84285299999999</v>
      </c>
    </row>
    <row r="1549" spans="1:7" x14ac:dyDescent="0.3">
      <c r="A1549" t="s">
        <v>13039</v>
      </c>
      <c r="B1549" t="s">
        <v>3123</v>
      </c>
      <c r="C1549" t="s">
        <v>3124</v>
      </c>
      <c r="D1549" s="1" t="s">
        <v>427</v>
      </c>
      <c r="E1549" s="3">
        <v>238.45</v>
      </c>
      <c r="F1549" s="3">
        <f t="shared" si="48"/>
        <v>60.256315000000008</v>
      </c>
      <c r="G1549" s="3">
        <f t="shared" si="49"/>
        <v>298.70631500000002</v>
      </c>
    </row>
    <row r="1550" spans="1:7" x14ac:dyDescent="0.3">
      <c r="A1550" t="s">
        <v>13039</v>
      </c>
      <c r="B1550" t="s">
        <v>3125</v>
      </c>
      <c r="C1550" t="s">
        <v>3126</v>
      </c>
      <c r="D1550" s="1" t="s">
        <v>427</v>
      </c>
      <c r="E1550" s="3">
        <v>530.04</v>
      </c>
      <c r="F1550" s="3">
        <f t="shared" si="48"/>
        <v>133.94110800000001</v>
      </c>
      <c r="G1550" s="3">
        <f t="shared" si="49"/>
        <v>663.98110799999995</v>
      </c>
    </row>
    <row r="1551" spans="1:7" x14ac:dyDescent="0.3">
      <c r="A1551" t="s">
        <v>13039</v>
      </c>
      <c r="B1551" t="s">
        <v>3127</v>
      </c>
      <c r="C1551" t="s">
        <v>3128</v>
      </c>
      <c r="D1551" s="1" t="s">
        <v>427</v>
      </c>
      <c r="E1551" s="3">
        <v>364.62</v>
      </c>
      <c r="F1551" s="3">
        <f t="shared" si="48"/>
        <v>92.139474000000021</v>
      </c>
      <c r="G1551" s="3">
        <f t="shared" si="49"/>
        <v>456.75947400000001</v>
      </c>
    </row>
    <row r="1552" spans="1:7" x14ac:dyDescent="0.3">
      <c r="A1552" t="s">
        <v>13039</v>
      </c>
      <c r="B1552" t="s">
        <v>3129</v>
      </c>
      <c r="C1552" t="s">
        <v>3130</v>
      </c>
      <c r="D1552" s="1" t="s">
        <v>427</v>
      </c>
      <c r="E1552" s="3">
        <v>554.25</v>
      </c>
      <c r="F1552" s="3">
        <f t="shared" si="48"/>
        <v>140.05897500000003</v>
      </c>
      <c r="G1552" s="3">
        <f t="shared" si="49"/>
        <v>694.30897500000003</v>
      </c>
    </row>
    <row r="1553" spans="1:7" x14ac:dyDescent="0.3">
      <c r="A1553" t="s">
        <v>13039</v>
      </c>
      <c r="B1553" t="s">
        <v>3131</v>
      </c>
      <c r="C1553" t="s">
        <v>3132</v>
      </c>
      <c r="D1553" s="1" t="s">
        <v>427</v>
      </c>
      <c r="E1553" s="3">
        <v>392.69</v>
      </c>
      <c r="F1553" s="3">
        <f t="shared" si="48"/>
        <v>99.23276300000002</v>
      </c>
      <c r="G1553" s="3">
        <f t="shared" si="49"/>
        <v>491.92276300000003</v>
      </c>
    </row>
    <row r="1554" spans="1:7" x14ac:dyDescent="0.3">
      <c r="A1554" t="s">
        <v>13039</v>
      </c>
      <c r="B1554" t="s">
        <v>3133</v>
      </c>
      <c r="C1554" t="s">
        <v>3134</v>
      </c>
      <c r="D1554" s="1" t="s">
        <v>427</v>
      </c>
      <c r="E1554" s="3">
        <v>464.2</v>
      </c>
      <c r="F1554" s="3">
        <f t="shared" si="48"/>
        <v>117.30334000000002</v>
      </c>
      <c r="G1554" s="3">
        <f t="shared" si="49"/>
        <v>581.50333999999998</v>
      </c>
    </row>
    <row r="1555" spans="1:7" x14ac:dyDescent="0.3">
      <c r="A1555" t="s">
        <v>13039</v>
      </c>
      <c r="B1555" t="s">
        <v>3135</v>
      </c>
      <c r="C1555" t="s">
        <v>3136</v>
      </c>
      <c r="D1555" s="1" t="s">
        <v>427</v>
      </c>
      <c r="E1555" s="3">
        <v>297.39999999999998</v>
      </c>
      <c r="F1555" s="3">
        <f t="shared" si="48"/>
        <v>75.152979999999999</v>
      </c>
      <c r="G1555" s="3">
        <f t="shared" si="49"/>
        <v>372.55297999999999</v>
      </c>
    </row>
    <row r="1556" spans="1:7" x14ac:dyDescent="0.3">
      <c r="A1556" t="s">
        <v>13039</v>
      </c>
      <c r="B1556" t="s">
        <v>3137</v>
      </c>
      <c r="C1556" t="s">
        <v>3138</v>
      </c>
      <c r="D1556" s="1" t="s">
        <v>427</v>
      </c>
      <c r="E1556" s="3">
        <v>457.59</v>
      </c>
      <c r="F1556" s="3">
        <f t="shared" si="48"/>
        <v>115.63299300000001</v>
      </c>
      <c r="G1556" s="3">
        <f t="shared" si="49"/>
        <v>573.22299299999997</v>
      </c>
    </row>
    <row r="1557" spans="1:7" x14ac:dyDescent="0.3">
      <c r="A1557" t="s">
        <v>13039</v>
      </c>
      <c r="B1557" t="s">
        <v>3139</v>
      </c>
      <c r="C1557" t="s">
        <v>3140</v>
      </c>
      <c r="D1557" s="1" t="s">
        <v>427</v>
      </c>
      <c r="E1557" s="3">
        <v>288.94</v>
      </c>
      <c r="F1557" s="3">
        <f t="shared" si="48"/>
        <v>73.015138000000007</v>
      </c>
      <c r="G1557" s="3">
        <f t="shared" si="49"/>
        <v>361.95513800000003</v>
      </c>
    </row>
    <row r="1558" spans="1:7" x14ac:dyDescent="0.3">
      <c r="A1558" t="s">
        <v>13039</v>
      </c>
      <c r="B1558" t="s">
        <v>3141</v>
      </c>
      <c r="C1558" t="s">
        <v>3142</v>
      </c>
      <c r="D1558" s="1" t="s">
        <v>427</v>
      </c>
      <c r="E1558" s="3">
        <v>441.97</v>
      </c>
      <c r="F1558" s="3">
        <f t="shared" si="48"/>
        <v>111.68581900000002</v>
      </c>
      <c r="G1558" s="3">
        <f t="shared" si="49"/>
        <v>553.65581900000006</v>
      </c>
    </row>
    <row r="1559" spans="1:7" x14ac:dyDescent="0.3">
      <c r="A1559" t="s">
        <v>13039</v>
      </c>
      <c r="B1559" t="s">
        <v>3143</v>
      </c>
      <c r="C1559" t="s">
        <v>3144</v>
      </c>
      <c r="D1559" s="1" t="s">
        <v>427</v>
      </c>
      <c r="E1559" s="3">
        <v>277.44</v>
      </c>
      <c r="F1559" s="3">
        <f t="shared" si="48"/>
        <v>70.109088000000014</v>
      </c>
      <c r="G1559" s="3">
        <f t="shared" si="49"/>
        <v>347.54908799999998</v>
      </c>
    </row>
    <row r="1560" spans="1:7" x14ac:dyDescent="0.3">
      <c r="A1560" t="s">
        <v>13039</v>
      </c>
      <c r="B1560" t="s">
        <v>3145</v>
      </c>
      <c r="C1560" t="s">
        <v>3146</v>
      </c>
      <c r="D1560" s="1" t="s">
        <v>427</v>
      </c>
      <c r="E1560" s="3">
        <v>412.09</v>
      </c>
      <c r="F1560" s="3">
        <f t="shared" si="48"/>
        <v>104.13514300000001</v>
      </c>
      <c r="G1560" s="3">
        <f t="shared" si="49"/>
        <v>516.225143</v>
      </c>
    </row>
    <row r="1561" spans="1:7" x14ac:dyDescent="0.3">
      <c r="A1561" t="s">
        <v>13039</v>
      </c>
      <c r="B1561" t="s">
        <v>3147</v>
      </c>
      <c r="C1561" t="s">
        <v>3148</v>
      </c>
      <c r="D1561" s="1" t="s">
        <v>427</v>
      </c>
      <c r="E1561" s="3">
        <v>247.56</v>
      </c>
      <c r="F1561" s="3">
        <f t="shared" si="48"/>
        <v>62.558412000000011</v>
      </c>
      <c r="G1561" s="3">
        <f t="shared" si="49"/>
        <v>310.11841200000003</v>
      </c>
    </row>
    <row r="1562" spans="1:7" x14ac:dyDescent="0.3">
      <c r="A1562" t="s">
        <v>13039</v>
      </c>
      <c r="B1562" t="s">
        <v>3149</v>
      </c>
      <c r="C1562" t="s">
        <v>3150</v>
      </c>
      <c r="D1562" s="1" t="s">
        <v>427</v>
      </c>
      <c r="E1562" s="3">
        <v>459.75</v>
      </c>
      <c r="F1562" s="3">
        <f t="shared" si="48"/>
        <v>116.17882500000002</v>
      </c>
      <c r="G1562" s="3">
        <f t="shared" si="49"/>
        <v>575.92882499999996</v>
      </c>
    </row>
    <row r="1563" spans="1:7" x14ac:dyDescent="0.3">
      <c r="A1563" t="s">
        <v>13039</v>
      </c>
      <c r="B1563" t="s">
        <v>3151</v>
      </c>
      <c r="C1563" t="s">
        <v>3152</v>
      </c>
      <c r="D1563" s="1" t="s">
        <v>427</v>
      </c>
      <c r="E1563" s="3">
        <v>298.12</v>
      </c>
      <c r="F1563" s="3">
        <f t="shared" si="48"/>
        <v>75.334924000000015</v>
      </c>
      <c r="G1563" s="3">
        <f t="shared" si="49"/>
        <v>373.45492400000001</v>
      </c>
    </row>
    <row r="1564" spans="1:7" x14ac:dyDescent="0.3">
      <c r="A1564" t="s">
        <v>13039</v>
      </c>
      <c r="B1564" t="s">
        <v>3153</v>
      </c>
      <c r="C1564" t="s">
        <v>3154</v>
      </c>
      <c r="D1564" s="1" t="s">
        <v>427</v>
      </c>
      <c r="E1564" s="3">
        <v>427.36</v>
      </c>
      <c r="F1564" s="3">
        <f t="shared" si="48"/>
        <v>107.99387200000002</v>
      </c>
      <c r="G1564" s="3">
        <f t="shared" si="49"/>
        <v>535.35387200000002</v>
      </c>
    </row>
    <row r="1565" spans="1:7" x14ac:dyDescent="0.3">
      <c r="A1565" t="s">
        <v>13039</v>
      </c>
      <c r="B1565" t="s">
        <v>3155</v>
      </c>
      <c r="C1565" t="s">
        <v>3156</v>
      </c>
      <c r="D1565" s="1" t="s">
        <v>427</v>
      </c>
      <c r="E1565" s="3">
        <v>265.73</v>
      </c>
      <c r="F1565" s="3">
        <f t="shared" si="48"/>
        <v>67.149971000000008</v>
      </c>
      <c r="G1565" s="3">
        <f t="shared" si="49"/>
        <v>332.87997100000001</v>
      </c>
    </row>
    <row r="1566" spans="1:7" x14ac:dyDescent="0.3">
      <c r="A1566" t="s">
        <v>13039</v>
      </c>
      <c r="B1566" t="s">
        <v>3157</v>
      </c>
      <c r="C1566" t="s">
        <v>3158</v>
      </c>
      <c r="D1566" s="1" t="s">
        <v>427</v>
      </c>
      <c r="E1566" s="3">
        <v>482.67</v>
      </c>
      <c r="F1566" s="3">
        <f t="shared" si="48"/>
        <v>121.97070900000003</v>
      </c>
      <c r="G1566" s="3">
        <f t="shared" si="49"/>
        <v>604.64070900000002</v>
      </c>
    </row>
    <row r="1567" spans="1:7" x14ac:dyDescent="0.3">
      <c r="A1567" t="s">
        <v>13039</v>
      </c>
      <c r="B1567" t="s">
        <v>3159</v>
      </c>
      <c r="C1567" t="s">
        <v>3160</v>
      </c>
      <c r="D1567" s="1" t="s">
        <v>427</v>
      </c>
      <c r="E1567" s="3">
        <v>324.77</v>
      </c>
      <c r="F1567" s="3">
        <f t="shared" si="48"/>
        <v>82.069379000000012</v>
      </c>
      <c r="G1567" s="3">
        <f t="shared" si="49"/>
        <v>406.83937900000001</v>
      </c>
    </row>
    <row r="1568" spans="1:7" x14ac:dyDescent="0.3">
      <c r="A1568" t="s">
        <v>13039</v>
      </c>
      <c r="B1568" t="s">
        <v>3161</v>
      </c>
      <c r="C1568" t="s">
        <v>3162</v>
      </c>
      <c r="D1568" s="1" t="s">
        <v>427</v>
      </c>
      <c r="E1568" s="3">
        <v>446.96</v>
      </c>
      <c r="F1568" s="3">
        <f t="shared" si="48"/>
        <v>112.94679200000002</v>
      </c>
      <c r="G1568" s="3">
        <f t="shared" si="49"/>
        <v>559.906792</v>
      </c>
    </row>
    <row r="1569" spans="1:7" x14ac:dyDescent="0.3">
      <c r="A1569" t="s">
        <v>13039</v>
      </c>
      <c r="B1569" t="s">
        <v>3163</v>
      </c>
      <c r="C1569" t="s">
        <v>3164</v>
      </c>
      <c r="D1569" s="1" t="s">
        <v>427</v>
      </c>
      <c r="E1569" s="3">
        <v>289.05</v>
      </c>
      <c r="F1569" s="3">
        <f t="shared" si="48"/>
        <v>73.042935000000014</v>
      </c>
      <c r="G1569" s="3">
        <f t="shared" si="49"/>
        <v>362.09293500000001</v>
      </c>
    </row>
    <row r="1570" spans="1:7" x14ac:dyDescent="0.3">
      <c r="A1570" t="s">
        <v>13039</v>
      </c>
      <c r="B1570" t="s">
        <v>3165</v>
      </c>
      <c r="C1570" t="s">
        <v>3166</v>
      </c>
      <c r="D1570" s="1" t="s">
        <v>427</v>
      </c>
      <c r="E1570" s="3">
        <v>508.25</v>
      </c>
      <c r="F1570" s="3">
        <f t="shared" si="48"/>
        <v>128.43477500000003</v>
      </c>
      <c r="G1570" s="3">
        <f t="shared" si="49"/>
        <v>636.68477500000006</v>
      </c>
    </row>
    <row r="1571" spans="1:7" x14ac:dyDescent="0.3">
      <c r="A1571" t="s">
        <v>13039</v>
      </c>
      <c r="B1571" t="s">
        <v>3167</v>
      </c>
      <c r="C1571" t="s">
        <v>3168</v>
      </c>
      <c r="D1571" s="1" t="s">
        <v>427</v>
      </c>
      <c r="E1571" s="3">
        <v>354.5</v>
      </c>
      <c r="F1571" s="3">
        <f t="shared" si="48"/>
        <v>89.582150000000013</v>
      </c>
      <c r="G1571" s="3">
        <f t="shared" si="49"/>
        <v>444.08215000000001</v>
      </c>
    </row>
    <row r="1572" spans="1:7" x14ac:dyDescent="0.3">
      <c r="A1572" t="s">
        <v>13039</v>
      </c>
      <c r="B1572" t="s">
        <v>3169</v>
      </c>
      <c r="C1572" t="s">
        <v>3170</v>
      </c>
      <c r="D1572" s="1" t="s">
        <v>427</v>
      </c>
      <c r="E1572" s="3">
        <v>468.87</v>
      </c>
      <c r="F1572" s="3">
        <f t="shared" si="48"/>
        <v>118.48344900000002</v>
      </c>
      <c r="G1572" s="3">
        <f t="shared" si="49"/>
        <v>587.35344900000007</v>
      </c>
    </row>
    <row r="1573" spans="1:7" x14ac:dyDescent="0.3">
      <c r="A1573" t="s">
        <v>13039</v>
      </c>
      <c r="B1573" t="s">
        <v>3171</v>
      </c>
      <c r="C1573" t="s">
        <v>3172</v>
      </c>
      <c r="D1573" s="1" t="s">
        <v>427</v>
      </c>
      <c r="E1573" s="3">
        <v>315.12</v>
      </c>
      <c r="F1573" s="3">
        <f t="shared" si="48"/>
        <v>79.630824000000018</v>
      </c>
      <c r="G1573" s="3">
        <f t="shared" si="49"/>
        <v>394.75082400000002</v>
      </c>
    </row>
    <row r="1574" spans="1:7" x14ac:dyDescent="0.3">
      <c r="A1574" t="s">
        <v>13039</v>
      </c>
      <c r="B1574" t="s">
        <v>3173</v>
      </c>
      <c r="C1574" t="s">
        <v>3174</v>
      </c>
      <c r="D1574" s="1" t="s">
        <v>427</v>
      </c>
      <c r="E1574" s="3">
        <v>372.87</v>
      </c>
      <c r="F1574" s="3">
        <f t="shared" si="48"/>
        <v>94.224249000000015</v>
      </c>
      <c r="G1574" s="3">
        <f t="shared" si="49"/>
        <v>467.09424899999999</v>
      </c>
    </row>
    <row r="1575" spans="1:7" x14ac:dyDescent="0.3">
      <c r="A1575" t="s">
        <v>13039</v>
      </c>
      <c r="B1575" t="s">
        <v>3175</v>
      </c>
      <c r="C1575" t="s">
        <v>3176</v>
      </c>
      <c r="D1575" s="1" t="s">
        <v>427</v>
      </c>
      <c r="E1575" s="3">
        <v>191.22</v>
      </c>
      <c r="F1575" s="3">
        <f t="shared" si="48"/>
        <v>48.321294000000009</v>
      </c>
      <c r="G1575" s="3">
        <f t="shared" si="49"/>
        <v>239.54129399999999</v>
      </c>
    </row>
    <row r="1576" spans="1:7" x14ac:dyDescent="0.3">
      <c r="A1576" t="s">
        <v>13039</v>
      </c>
      <c r="B1576" t="s">
        <v>3177</v>
      </c>
      <c r="C1576" t="s">
        <v>3178</v>
      </c>
      <c r="D1576" s="1" t="s">
        <v>427</v>
      </c>
      <c r="E1576" s="3">
        <v>435.22</v>
      </c>
      <c r="F1576" s="3">
        <f t="shared" si="48"/>
        <v>109.98009400000002</v>
      </c>
      <c r="G1576" s="3">
        <f t="shared" si="49"/>
        <v>545.20009400000004</v>
      </c>
    </row>
    <row r="1577" spans="1:7" x14ac:dyDescent="0.3">
      <c r="A1577" t="s">
        <v>13039</v>
      </c>
      <c r="B1577" t="s">
        <v>3179</v>
      </c>
      <c r="C1577" t="s">
        <v>3180</v>
      </c>
      <c r="D1577" s="1" t="s">
        <v>427</v>
      </c>
      <c r="E1577" s="3">
        <v>323.91000000000003</v>
      </c>
      <c r="F1577" s="3">
        <f t="shared" si="48"/>
        <v>81.852057000000016</v>
      </c>
      <c r="G1577" s="3">
        <f t="shared" si="49"/>
        <v>405.76205700000003</v>
      </c>
    </row>
    <row r="1578" spans="1:7" x14ac:dyDescent="0.3">
      <c r="A1578" t="s">
        <v>13039</v>
      </c>
      <c r="B1578" t="s">
        <v>3181</v>
      </c>
      <c r="C1578" t="s">
        <v>3182</v>
      </c>
      <c r="D1578" s="1" t="s">
        <v>427</v>
      </c>
      <c r="E1578" s="3">
        <v>451.46</v>
      </c>
      <c r="F1578" s="3">
        <f t="shared" si="48"/>
        <v>114.08394200000001</v>
      </c>
      <c r="G1578" s="3">
        <f t="shared" si="49"/>
        <v>565.54394200000002</v>
      </c>
    </row>
    <row r="1579" spans="1:7" x14ac:dyDescent="0.3">
      <c r="A1579" t="s">
        <v>13039</v>
      </c>
      <c r="B1579" t="s">
        <v>3183</v>
      </c>
      <c r="C1579" t="s">
        <v>3184</v>
      </c>
      <c r="D1579" s="1" t="s">
        <v>427</v>
      </c>
      <c r="E1579" s="3">
        <v>457.52</v>
      </c>
      <c r="F1579" s="3">
        <f t="shared" si="48"/>
        <v>115.61530400000001</v>
      </c>
      <c r="G1579" s="3">
        <f t="shared" si="49"/>
        <v>573.13530400000002</v>
      </c>
    </row>
    <row r="1580" spans="1:7" x14ac:dyDescent="0.3">
      <c r="A1580" t="s">
        <v>13039</v>
      </c>
      <c r="B1580" t="s">
        <v>3185</v>
      </c>
      <c r="C1580" t="s">
        <v>3186</v>
      </c>
      <c r="D1580" s="1" t="s">
        <v>427</v>
      </c>
      <c r="E1580" s="3">
        <v>482.07</v>
      </c>
      <c r="F1580" s="3">
        <f t="shared" si="48"/>
        <v>121.81908900000002</v>
      </c>
      <c r="G1580" s="3">
        <f t="shared" si="49"/>
        <v>603.88908900000001</v>
      </c>
    </row>
    <row r="1581" spans="1:7" x14ac:dyDescent="0.3">
      <c r="A1581" t="s">
        <v>13039</v>
      </c>
      <c r="B1581" t="s">
        <v>3187</v>
      </c>
      <c r="C1581" t="s">
        <v>3188</v>
      </c>
      <c r="D1581" s="1" t="s">
        <v>427</v>
      </c>
      <c r="E1581" s="3">
        <v>507.23</v>
      </c>
      <c r="F1581" s="3">
        <f t="shared" si="48"/>
        <v>128.17702100000002</v>
      </c>
      <c r="G1581" s="3">
        <f t="shared" si="49"/>
        <v>635.40702099999999</v>
      </c>
    </row>
    <row r="1582" spans="1:7" x14ac:dyDescent="0.3">
      <c r="A1582" t="s">
        <v>13039</v>
      </c>
      <c r="B1582" t="s">
        <v>3189</v>
      </c>
      <c r="C1582" t="s">
        <v>3190</v>
      </c>
      <c r="D1582" s="1" t="s">
        <v>427</v>
      </c>
      <c r="E1582" s="3">
        <v>535.34</v>
      </c>
      <c r="F1582" s="3">
        <f t="shared" si="48"/>
        <v>135.28041800000003</v>
      </c>
      <c r="G1582" s="3">
        <f t="shared" si="49"/>
        <v>670.62041800000009</v>
      </c>
    </row>
    <row r="1583" spans="1:7" x14ac:dyDescent="0.3">
      <c r="A1583" t="s">
        <v>13039</v>
      </c>
      <c r="B1583" t="s">
        <v>3191</v>
      </c>
      <c r="C1583" t="s">
        <v>3192</v>
      </c>
      <c r="D1583" s="1" t="s">
        <v>427</v>
      </c>
      <c r="E1583" s="3">
        <v>56.9</v>
      </c>
      <c r="F1583" s="3">
        <f t="shared" si="48"/>
        <v>14.378630000000001</v>
      </c>
      <c r="G1583" s="3">
        <f t="shared" si="49"/>
        <v>71.278629999999993</v>
      </c>
    </row>
    <row r="1584" spans="1:7" x14ac:dyDescent="0.3">
      <c r="A1584" t="s">
        <v>13039</v>
      </c>
      <c r="B1584" t="s">
        <v>3193</v>
      </c>
      <c r="C1584" t="s">
        <v>3194</v>
      </c>
      <c r="D1584" s="1" t="s">
        <v>427</v>
      </c>
      <c r="E1584" s="3">
        <v>47.76</v>
      </c>
      <c r="F1584" s="3">
        <f t="shared" si="48"/>
        <v>12.068952000000001</v>
      </c>
      <c r="G1584" s="3">
        <f t="shared" si="49"/>
        <v>59.828952000000001</v>
      </c>
    </row>
    <row r="1585" spans="1:7" x14ac:dyDescent="0.3">
      <c r="A1585" t="s">
        <v>13039</v>
      </c>
      <c r="B1585" t="s">
        <v>3195</v>
      </c>
      <c r="C1585" t="s">
        <v>3196</v>
      </c>
      <c r="D1585" s="1" t="s">
        <v>427</v>
      </c>
      <c r="E1585" s="3">
        <v>64.319999999999993</v>
      </c>
      <c r="F1585" s="3">
        <f t="shared" si="48"/>
        <v>16.253664000000001</v>
      </c>
      <c r="G1585" s="3">
        <f t="shared" si="49"/>
        <v>80.573663999999994</v>
      </c>
    </row>
    <row r="1586" spans="1:7" x14ac:dyDescent="0.3">
      <c r="A1586" t="s">
        <v>13039</v>
      </c>
      <c r="B1586" t="s">
        <v>3197</v>
      </c>
      <c r="C1586" t="s">
        <v>3198</v>
      </c>
      <c r="D1586" s="1" t="s">
        <v>427</v>
      </c>
      <c r="E1586" s="3">
        <v>55.41</v>
      </c>
      <c r="F1586" s="3">
        <f t="shared" si="48"/>
        <v>14.002107000000001</v>
      </c>
      <c r="G1586" s="3">
        <f t="shared" si="49"/>
        <v>69.412106999999992</v>
      </c>
    </row>
    <row r="1587" spans="1:7" x14ac:dyDescent="0.3">
      <c r="A1587" t="s">
        <v>13039</v>
      </c>
      <c r="B1587" t="s">
        <v>3199</v>
      </c>
      <c r="C1587" t="s">
        <v>3200</v>
      </c>
      <c r="D1587" s="1" t="s">
        <v>427</v>
      </c>
      <c r="E1587" s="3">
        <v>63.78</v>
      </c>
      <c r="F1587" s="3">
        <f t="shared" si="48"/>
        <v>16.117206000000003</v>
      </c>
      <c r="G1587" s="3">
        <f t="shared" si="49"/>
        <v>79.897206000000011</v>
      </c>
    </row>
    <row r="1588" spans="1:7" x14ac:dyDescent="0.3">
      <c r="A1588" t="s">
        <v>13039</v>
      </c>
      <c r="B1588" t="s">
        <v>3201</v>
      </c>
      <c r="C1588" t="s">
        <v>3202</v>
      </c>
      <c r="D1588" s="1" t="s">
        <v>427</v>
      </c>
      <c r="E1588" s="3">
        <v>68.88</v>
      </c>
      <c r="F1588" s="3">
        <f t="shared" si="48"/>
        <v>17.405976000000003</v>
      </c>
      <c r="G1588" s="3">
        <f t="shared" si="49"/>
        <v>86.285976000000005</v>
      </c>
    </row>
    <row r="1589" spans="1:7" x14ac:dyDescent="0.3">
      <c r="A1589" t="s">
        <v>13039</v>
      </c>
      <c r="B1589" t="s">
        <v>3203</v>
      </c>
      <c r="C1589" t="s">
        <v>3204</v>
      </c>
      <c r="D1589" s="1" t="s">
        <v>427</v>
      </c>
      <c r="E1589" s="3">
        <v>56.81</v>
      </c>
      <c r="F1589" s="3">
        <f t="shared" si="48"/>
        <v>14.355887000000003</v>
      </c>
      <c r="G1589" s="3">
        <f t="shared" si="49"/>
        <v>71.165886999999998</v>
      </c>
    </row>
    <row r="1590" spans="1:7" x14ac:dyDescent="0.3">
      <c r="A1590" t="s">
        <v>13039</v>
      </c>
      <c r="B1590" t="s">
        <v>3205</v>
      </c>
      <c r="C1590" t="s">
        <v>3206</v>
      </c>
      <c r="D1590" s="1" t="s">
        <v>427</v>
      </c>
      <c r="E1590" s="3">
        <v>2956.92</v>
      </c>
      <c r="F1590" s="3">
        <f t="shared" si="48"/>
        <v>747.21368400000017</v>
      </c>
      <c r="G1590" s="3">
        <f t="shared" si="49"/>
        <v>3704.1336840000004</v>
      </c>
    </row>
    <row r="1591" spans="1:7" x14ac:dyDescent="0.3">
      <c r="A1591" t="s">
        <v>13039</v>
      </c>
      <c r="B1591" t="s">
        <v>3207</v>
      </c>
      <c r="C1591" t="s">
        <v>3208</v>
      </c>
      <c r="D1591" s="1" t="s">
        <v>427</v>
      </c>
      <c r="E1591" s="3">
        <v>3038.32</v>
      </c>
      <c r="F1591" s="3">
        <f t="shared" si="48"/>
        <v>767.78346400000009</v>
      </c>
      <c r="G1591" s="3">
        <f t="shared" si="49"/>
        <v>3806.1034640000003</v>
      </c>
    </row>
    <row r="1592" spans="1:7" x14ac:dyDescent="0.3">
      <c r="A1592" t="s">
        <v>13039</v>
      </c>
      <c r="B1592" t="s">
        <v>3209</v>
      </c>
      <c r="C1592" t="s">
        <v>3210</v>
      </c>
      <c r="D1592" s="1" t="s">
        <v>427</v>
      </c>
      <c r="E1592" s="3">
        <v>583.85</v>
      </c>
      <c r="F1592" s="3">
        <f t="shared" si="48"/>
        <v>147.53889500000002</v>
      </c>
      <c r="G1592" s="3">
        <f t="shared" si="49"/>
        <v>731.38889500000005</v>
      </c>
    </row>
    <row r="1593" spans="1:7" x14ac:dyDescent="0.3">
      <c r="A1593" t="s">
        <v>13039</v>
      </c>
      <c r="B1593" t="s">
        <v>3211</v>
      </c>
      <c r="C1593" t="s">
        <v>3212</v>
      </c>
      <c r="D1593" s="1" t="s">
        <v>427</v>
      </c>
      <c r="E1593" s="3">
        <v>616.47</v>
      </c>
      <c r="F1593" s="3">
        <f t="shared" si="48"/>
        <v>155.78196900000003</v>
      </c>
      <c r="G1593" s="3">
        <f t="shared" si="49"/>
        <v>772.25196900000003</v>
      </c>
    </row>
    <row r="1594" spans="1:7" x14ac:dyDescent="0.3">
      <c r="A1594" t="s">
        <v>13039</v>
      </c>
      <c r="B1594" t="s">
        <v>3213</v>
      </c>
      <c r="C1594" t="s">
        <v>3214</v>
      </c>
      <c r="D1594" s="1" t="s">
        <v>427</v>
      </c>
      <c r="E1594" s="3">
        <v>652.98</v>
      </c>
      <c r="F1594" s="3">
        <f t="shared" si="48"/>
        <v>165.00804600000004</v>
      </c>
      <c r="G1594" s="3">
        <f t="shared" si="49"/>
        <v>817.98804600000005</v>
      </c>
    </row>
    <row r="1595" spans="1:7" x14ac:dyDescent="0.3">
      <c r="A1595" t="s">
        <v>13039</v>
      </c>
      <c r="B1595" t="s">
        <v>3215</v>
      </c>
      <c r="C1595" t="s">
        <v>3216</v>
      </c>
      <c r="D1595" s="1" t="s">
        <v>427</v>
      </c>
      <c r="E1595" s="3">
        <v>595.71</v>
      </c>
      <c r="F1595" s="3">
        <f t="shared" si="48"/>
        <v>150.53591700000004</v>
      </c>
      <c r="G1595" s="3">
        <f t="shared" si="49"/>
        <v>746.24591700000008</v>
      </c>
    </row>
    <row r="1596" spans="1:7" x14ac:dyDescent="0.3">
      <c r="A1596" t="s">
        <v>13039</v>
      </c>
      <c r="B1596" t="s">
        <v>3217</v>
      </c>
      <c r="C1596" t="s">
        <v>3218</v>
      </c>
      <c r="D1596" s="1" t="s">
        <v>427</v>
      </c>
      <c r="E1596" s="3">
        <v>739.48</v>
      </c>
      <c r="F1596" s="3">
        <f t="shared" si="48"/>
        <v>186.86659600000004</v>
      </c>
      <c r="G1596" s="3">
        <f t="shared" si="49"/>
        <v>926.34659600000009</v>
      </c>
    </row>
    <row r="1597" spans="1:7" x14ac:dyDescent="0.3">
      <c r="A1597" t="s">
        <v>13039</v>
      </c>
      <c r="B1597" t="s">
        <v>3219</v>
      </c>
      <c r="C1597" t="s">
        <v>3220</v>
      </c>
      <c r="D1597" s="1" t="s">
        <v>427</v>
      </c>
      <c r="E1597" s="3">
        <v>674.92</v>
      </c>
      <c r="F1597" s="3">
        <f t="shared" si="48"/>
        <v>170.55228400000001</v>
      </c>
      <c r="G1597" s="3">
        <f t="shared" si="49"/>
        <v>845.47228399999995</v>
      </c>
    </row>
    <row r="1598" spans="1:7" x14ac:dyDescent="0.3">
      <c r="A1598" t="s">
        <v>13039</v>
      </c>
      <c r="B1598" t="s">
        <v>3221</v>
      </c>
      <c r="C1598" t="s">
        <v>3222</v>
      </c>
      <c r="D1598" s="1" t="s">
        <v>427</v>
      </c>
      <c r="E1598" s="3">
        <v>921.08</v>
      </c>
      <c r="F1598" s="3">
        <f t="shared" si="48"/>
        <v>232.75691600000005</v>
      </c>
      <c r="G1598" s="3">
        <f t="shared" si="49"/>
        <v>1153.8369160000002</v>
      </c>
    </row>
    <row r="1599" spans="1:7" x14ac:dyDescent="0.3">
      <c r="A1599" t="s">
        <v>13039</v>
      </c>
      <c r="B1599" t="s">
        <v>3223</v>
      </c>
      <c r="C1599" t="s">
        <v>3224</v>
      </c>
      <c r="D1599" s="1" t="s">
        <v>427</v>
      </c>
      <c r="E1599" s="3">
        <v>1151.3900000000001</v>
      </c>
      <c r="F1599" s="3">
        <f t="shared" si="48"/>
        <v>290.95625300000006</v>
      </c>
      <c r="G1599" s="3">
        <f t="shared" si="49"/>
        <v>1442.3462530000002</v>
      </c>
    </row>
    <row r="1600" spans="1:7" x14ac:dyDescent="0.3">
      <c r="A1600" t="s">
        <v>13039</v>
      </c>
      <c r="B1600" t="s">
        <v>3225</v>
      </c>
      <c r="C1600" t="s">
        <v>3226</v>
      </c>
      <c r="D1600" s="1" t="s">
        <v>427</v>
      </c>
      <c r="E1600" s="3">
        <v>1753.68</v>
      </c>
      <c r="F1600" s="3">
        <f t="shared" si="48"/>
        <v>443.15493600000008</v>
      </c>
      <c r="G1600" s="3">
        <f t="shared" si="49"/>
        <v>2196.8349360000002</v>
      </c>
    </row>
    <row r="1601" spans="1:7" x14ac:dyDescent="0.3">
      <c r="A1601" t="s">
        <v>13039</v>
      </c>
      <c r="B1601" t="s">
        <v>3227</v>
      </c>
      <c r="C1601" t="s">
        <v>3228</v>
      </c>
      <c r="D1601" s="1" t="s">
        <v>427</v>
      </c>
      <c r="E1601" s="3">
        <v>959.46</v>
      </c>
      <c r="F1601" s="3">
        <f t="shared" si="48"/>
        <v>242.45554200000004</v>
      </c>
      <c r="G1601" s="3">
        <f t="shared" si="49"/>
        <v>1201.9155420000002</v>
      </c>
    </row>
    <row r="1602" spans="1:7" x14ac:dyDescent="0.3">
      <c r="A1602" t="s">
        <v>13039</v>
      </c>
      <c r="B1602" t="s">
        <v>3229</v>
      </c>
      <c r="C1602" t="s">
        <v>3230</v>
      </c>
      <c r="D1602" s="1" t="s">
        <v>427</v>
      </c>
      <c r="E1602" s="3">
        <v>1197.99</v>
      </c>
      <c r="F1602" s="3">
        <f t="shared" si="48"/>
        <v>302.73207300000007</v>
      </c>
      <c r="G1602" s="3">
        <f t="shared" si="49"/>
        <v>1500.7220730000001</v>
      </c>
    </row>
    <row r="1603" spans="1:7" x14ac:dyDescent="0.3">
      <c r="A1603" t="s">
        <v>13039</v>
      </c>
      <c r="B1603" t="s">
        <v>3231</v>
      </c>
      <c r="C1603" t="s">
        <v>3232</v>
      </c>
      <c r="D1603" s="1" t="s">
        <v>427</v>
      </c>
      <c r="E1603" s="3">
        <v>1818.92</v>
      </c>
      <c r="F1603" s="3">
        <f t="shared" si="48"/>
        <v>459.64108400000009</v>
      </c>
      <c r="G1603" s="3">
        <f t="shared" si="49"/>
        <v>2278.5610839999999</v>
      </c>
    </row>
    <row r="1604" spans="1:7" x14ac:dyDescent="0.3">
      <c r="A1604" t="s">
        <v>13039</v>
      </c>
      <c r="B1604" t="s">
        <v>3233</v>
      </c>
      <c r="C1604" t="s">
        <v>3234</v>
      </c>
      <c r="D1604" s="1" t="s">
        <v>427</v>
      </c>
      <c r="E1604" s="3">
        <v>1002.41</v>
      </c>
      <c r="F1604" s="3">
        <f t="shared" si="48"/>
        <v>253.30900700000004</v>
      </c>
      <c r="G1604" s="3">
        <f t="shared" si="49"/>
        <v>1255.7190069999999</v>
      </c>
    </row>
    <row r="1605" spans="1:7" x14ac:dyDescent="0.3">
      <c r="A1605" t="s">
        <v>13039</v>
      </c>
      <c r="B1605" t="s">
        <v>3235</v>
      </c>
      <c r="C1605" t="s">
        <v>3236</v>
      </c>
      <c r="D1605" s="1" t="s">
        <v>427</v>
      </c>
      <c r="E1605" s="3">
        <v>1250.1500000000001</v>
      </c>
      <c r="F1605" s="3">
        <f t="shared" si="48"/>
        <v>315.91290500000008</v>
      </c>
      <c r="G1605" s="3">
        <f t="shared" si="49"/>
        <v>1566.0629050000002</v>
      </c>
    </row>
    <row r="1606" spans="1:7" x14ac:dyDescent="0.3">
      <c r="A1606" t="s">
        <v>13039</v>
      </c>
      <c r="B1606" t="s">
        <v>3237</v>
      </c>
      <c r="C1606" t="s">
        <v>3238</v>
      </c>
      <c r="D1606" s="1" t="s">
        <v>427</v>
      </c>
      <c r="E1606" s="3">
        <v>1891.94</v>
      </c>
      <c r="F1606" s="3">
        <f t="shared" si="48"/>
        <v>478.0932380000001</v>
      </c>
      <c r="G1606" s="3">
        <f t="shared" si="49"/>
        <v>2370.033238</v>
      </c>
    </row>
    <row r="1607" spans="1:7" x14ac:dyDescent="0.3">
      <c r="A1607" t="s">
        <v>13039</v>
      </c>
      <c r="B1607" t="s">
        <v>3239</v>
      </c>
      <c r="C1607" t="s">
        <v>3240</v>
      </c>
      <c r="D1607" s="1" t="s">
        <v>427</v>
      </c>
      <c r="E1607" s="3">
        <v>1104.17</v>
      </c>
      <c r="F1607" s="3">
        <f t="shared" ref="F1607:F1670" si="50">+E1607*$F$4</f>
        <v>279.02375900000004</v>
      </c>
      <c r="G1607" s="3">
        <f t="shared" ref="G1607:G1670" si="51">+E1607+F1607</f>
        <v>1383.1937590000002</v>
      </c>
    </row>
    <row r="1608" spans="1:7" x14ac:dyDescent="0.3">
      <c r="A1608" t="s">
        <v>13039</v>
      </c>
      <c r="B1608" t="s">
        <v>3241</v>
      </c>
      <c r="C1608" t="s">
        <v>3242</v>
      </c>
      <c r="D1608" s="1" t="s">
        <v>427</v>
      </c>
      <c r="E1608" s="3">
        <v>1373.72</v>
      </c>
      <c r="F1608" s="3">
        <f t="shared" si="50"/>
        <v>347.13904400000007</v>
      </c>
      <c r="G1608" s="3">
        <f t="shared" si="51"/>
        <v>1720.859044</v>
      </c>
    </row>
    <row r="1609" spans="1:7" x14ac:dyDescent="0.3">
      <c r="A1609" t="s">
        <v>13039</v>
      </c>
      <c r="B1609" t="s">
        <v>3243</v>
      </c>
      <c r="C1609" t="s">
        <v>3244</v>
      </c>
      <c r="D1609" s="1" t="s">
        <v>427</v>
      </c>
      <c r="E1609" s="3">
        <v>2064.94</v>
      </c>
      <c r="F1609" s="3">
        <f t="shared" si="50"/>
        <v>521.81033800000012</v>
      </c>
      <c r="G1609" s="3">
        <f t="shared" si="51"/>
        <v>2586.7503380000003</v>
      </c>
    </row>
    <row r="1610" spans="1:7" x14ac:dyDescent="0.3">
      <c r="A1610" t="s">
        <v>13039</v>
      </c>
      <c r="B1610" t="s">
        <v>3245</v>
      </c>
      <c r="C1610" t="s">
        <v>3246</v>
      </c>
      <c r="D1610" s="1" t="s">
        <v>427</v>
      </c>
      <c r="E1610" s="3">
        <v>914.87</v>
      </c>
      <c r="F1610" s="3">
        <f t="shared" si="50"/>
        <v>231.18764900000002</v>
      </c>
      <c r="G1610" s="3">
        <f t="shared" si="51"/>
        <v>1146.0576490000001</v>
      </c>
    </row>
    <row r="1611" spans="1:7" x14ac:dyDescent="0.3">
      <c r="A1611" t="s">
        <v>13039</v>
      </c>
      <c r="B1611" t="s">
        <v>3247</v>
      </c>
      <c r="C1611" t="s">
        <v>3248</v>
      </c>
      <c r="D1611" s="1" t="s">
        <v>427</v>
      </c>
      <c r="E1611" s="3">
        <v>891.01</v>
      </c>
      <c r="F1611" s="3">
        <f t="shared" si="50"/>
        <v>225.15822700000004</v>
      </c>
      <c r="G1611" s="3">
        <f t="shared" si="51"/>
        <v>1116.1682270000001</v>
      </c>
    </row>
    <row r="1612" spans="1:7" x14ac:dyDescent="0.3">
      <c r="A1612" t="s">
        <v>13039</v>
      </c>
      <c r="B1612" t="s">
        <v>3249</v>
      </c>
      <c r="C1612" t="s">
        <v>3250</v>
      </c>
      <c r="D1612" s="1" t="s">
        <v>427</v>
      </c>
      <c r="E1612" s="3">
        <v>871.93</v>
      </c>
      <c r="F1612" s="3">
        <f t="shared" si="50"/>
        <v>220.33671100000001</v>
      </c>
      <c r="G1612" s="3">
        <f t="shared" si="51"/>
        <v>1092.266711</v>
      </c>
    </row>
    <row r="1613" spans="1:7" x14ac:dyDescent="0.3">
      <c r="A1613" t="s">
        <v>13039</v>
      </c>
      <c r="B1613" t="s">
        <v>3251</v>
      </c>
      <c r="C1613" t="s">
        <v>3252</v>
      </c>
      <c r="D1613" s="1" t="s">
        <v>427</v>
      </c>
      <c r="E1613" s="3">
        <v>849.96</v>
      </c>
      <c r="F1613" s="3">
        <f t="shared" si="50"/>
        <v>214.78489200000004</v>
      </c>
      <c r="G1613" s="3">
        <f t="shared" si="51"/>
        <v>1064.7448920000002</v>
      </c>
    </row>
    <row r="1614" spans="1:7" x14ac:dyDescent="0.3">
      <c r="A1614" t="s">
        <v>13039</v>
      </c>
      <c r="B1614" t="s">
        <v>3253</v>
      </c>
      <c r="C1614" t="s">
        <v>3254</v>
      </c>
      <c r="D1614" s="1" t="s">
        <v>427</v>
      </c>
      <c r="E1614" s="3">
        <v>964.91</v>
      </c>
      <c r="F1614" s="3">
        <f t="shared" si="50"/>
        <v>243.83275700000002</v>
      </c>
      <c r="G1614" s="3">
        <f t="shared" si="51"/>
        <v>1208.742757</v>
      </c>
    </row>
    <row r="1615" spans="1:7" x14ac:dyDescent="0.3">
      <c r="A1615" t="s">
        <v>13039</v>
      </c>
      <c r="B1615" t="s">
        <v>3255</v>
      </c>
      <c r="C1615" t="s">
        <v>3256</v>
      </c>
      <c r="D1615" s="1" t="s">
        <v>427</v>
      </c>
      <c r="E1615" s="3">
        <v>933.38</v>
      </c>
      <c r="F1615" s="3">
        <f t="shared" si="50"/>
        <v>235.86512600000003</v>
      </c>
      <c r="G1615" s="3">
        <f t="shared" si="51"/>
        <v>1169.245126</v>
      </c>
    </row>
    <row r="1616" spans="1:7" x14ac:dyDescent="0.3">
      <c r="A1616" t="s">
        <v>13039</v>
      </c>
      <c r="B1616" t="s">
        <v>3257</v>
      </c>
      <c r="C1616" t="s">
        <v>3258</v>
      </c>
      <c r="D1616" s="1" t="s">
        <v>427</v>
      </c>
      <c r="E1616" s="3">
        <v>909.36</v>
      </c>
      <c r="F1616" s="3">
        <f t="shared" si="50"/>
        <v>229.79527200000004</v>
      </c>
      <c r="G1616" s="3">
        <f t="shared" si="51"/>
        <v>1139.155272</v>
      </c>
    </row>
    <row r="1617" spans="1:7" x14ac:dyDescent="0.3">
      <c r="A1617" t="s">
        <v>13039</v>
      </c>
      <c r="B1617" t="s">
        <v>3259</v>
      </c>
      <c r="C1617" t="s">
        <v>3260</v>
      </c>
      <c r="D1617" s="1" t="s">
        <v>427</v>
      </c>
      <c r="E1617" s="3">
        <v>883.82</v>
      </c>
      <c r="F1617" s="3">
        <f t="shared" si="50"/>
        <v>223.34131400000004</v>
      </c>
      <c r="G1617" s="3">
        <f t="shared" si="51"/>
        <v>1107.1613140000002</v>
      </c>
    </row>
    <row r="1618" spans="1:7" x14ac:dyDescent="0.3">
      <c r="A1618" t="s">
        <v>13039</v>
      </c>
      <c r="B1618" t="s">
        <v>3261</v>
      </c>
      <c r="C1618" t="s">
        <v>3262</v>
      </c>
      <c r="D1618" s="1" t="s">
        <v>427</v>
      </c>
      <c r="E1618" s="3">
        <v>1025.72</v>
      </c>
      <c r="F1618" s="3">
        <f t="shared" si="50"/>
        <v>259.19944400000003</v>
      </c>
      <c r="G1618" s="3">
        <f t="shared" si="51"/>
        <v>1284.9194440000001</v>
      </c>
    </row>
    <row r="1619" spans="1:7" x14ac:dyDescent="0.3">
      <c r="A1619" t="s">
        <v>13039</v>
      </c>
      <c r="B1619" t="s">
        <v>3263</v>
      </c>
      <c r="C1619" t="s">
        <v>3264</v>
      </c>
      <c r="D1619" s="1" t="s">
        <v>427</v>
      </c>
      <c r="E1619" s="3">
        <v>982.8</v>
      </c>
      <c r="F1619" s="3">
        <f t="shared" si="50"/>
        <v>248.35356000000002</v>
      </c>
      <c r="G1619" s="3">
        <f t="shared" si="51"/>
        <v>1231.15356</v>
      </c>
    </row>
    <row r="1620" spans="1:7" x14ac:dyDescent="0.3">
      <c r="A1620" t="s">
        <v>13039</v>
      </c>
      <c r="B1620" t="s">
        <v>3265</v>
      </c>
      <c r="C1620" t="s">
        <v>3266</v>
      </c>
      <c r="D1620" s="1" t="s">
        <v>427</v>
      </c>
      <c r="E1620" s="3">
        <v>946.71</v>
      </c>
      <c r="F1620" s="3">
        <f t="shared" si="50"/>
        <v>239.23361700000004</v>
      </c>
      <c r="G1620" s="3">
        <f t="shared" si="51"/>
        <v>1185.9436170000001</v>
      </c>
    </row>
    <row r="1621" spans="1:7" x14ac:dyDescent="0.3">
      <c r="A1621" t="s">
        <v>13039</v>
      </c>
      <c r="B1621" t="s">
        <v>3267</v>
      </c>
      <c r="C1621" t="s">
        <v>3268</v>
      </c>
      <c r="D1621" s="1" t="s">
        <v>427</v>
      </c>
      <c r="E1621" s="3">
        <v>916.96</v>
      </c>
      <c r="F1621" s="3">
        <f t="shared" si="50"/>
        <v>231.71579200000005</v>
      </c>
      <c r="G1621" s="3">
        <f t="shared" si="51"/>
        <v>1148.675792</v>
      </c>
    </row>
    <row r="1622" spans="1:7" x14ac:dyDescent="0.3">
      <c r="A1622" t="s">
        <v>13039</v>
      </c>
      <c r="B1622" t="s">
        <v>3269</v>
      </c>
      <c r="C1622" t="s">
        <v>3270</v>
      </c>
      <c r="D1622" s="1" t="s">
        <v>427</v>
      </c>
      <c r="E1622" s="3">
        <v>1103.1099999999999</v>
      </c>
      <c r="F1622" s="3">
        <f t="shared" si="50"/>
        <v>278.755897</v>
      </c>
      <c r="G1622" s="3">
        <f t="shared" si="51"/>
        <v>1381.8658969999999</v>
      </c>
    </row>
    <row r="1623" spans="1:7" x14ac:dyDescent="0.3">
      <c r="A1623" t="s">
        <v>13039</v>
      </c>
      <c r="B1623" t="s">
        <v>3271</v>
      </c>
      <c r="C1623" t="s">
        <v>3272</v>
      </c>
      <c r="D1623" s="1" t="s">
        <v>427</v>
      </c>
      <c r="E1623" s="3">
        <v>1041.76</v>
      </c>
      <c r="F1623" s="3">
        <f t="shared" si="50"/>
        <v>263.25275200000004</v>
      </c>
      <c r="G1623" s="3">
        <f t="shared" si="51"/>
        <v>1305.0127520000001</v>
      </c>
    </row>
    <row r="1624" spans="1:7" x14ac:dyDescent="0.3">
      <c r="A1624" t="s">
        <v>13039</v>
      </c>
      <c r="B1624" t="s">
        <v>3273</v>
      </c>
      <c r="C1624" t="s">
        <v>3274</v>
      </c>
      <c r="D1624" s="1" t="s">
        <v>427</v>
      </c>
      <c r="E1624" s="3">
        <v>1000.03</v>
      </c>
      <c r="F1624" s="3">
        <f t="shared" si="50"/>
        <v>252.70758100000003</v>
      </c>
      <c r="G1624" s="3">
        <f t="shared" si="51"/>
        <v>1252.7375810000001</v>
      </c>
    </row>
    <row r="1625" spans="1:7" x14ac:dyDescent="0.3">
      <c r="A1625" t="s">
        <v>13039</v>
      </c>
      <c r="B1625" t="s">
        <v>3275</v>
      </c>
      <c r="C1625" t="s">
        <v>3276</v>
      </c>
      <c r="D1625" s="1" t="s">
        <v>427</v>
      </c>
      <c r="E1625" s="3">
        <v>958.08</v>
      </c>
      <c r="F1625" s="3">
        <f t="shared" si="50"/>
        <v>242.10681600000004</v>
      </c>
      <c r="G1625" s="3">
        <f t="shared" si="51"/>
        <v>1200.1868160000001</v>
      </c>
    </row>
    <row r="1626" spans="1:7" x14ac:dyDescent="0.3">
      <c r="A1626" t="s">
        <v>13039</v>
      </c>
      <c r="B1626" t="s">
        <v>3277</v>
      </c>
      <c r="C1626" t="s">
        <v>3278</v>
      </c>
      <c r="D1626" s="1" t="s">
        <v>427</v>
      </c>
      <c r="E1626" s="3">
        <v>1243.33</v>
      </c>
      <c r="F1626" s="3">
        <f t="shared" si="50"/>
        <v>314.18949100000003</v>
      </c>
      <c r="G1626" s="3">
        <f t="shared" si="51"/>
        <v>1557.519491</v>
      </c>
    </row>
    <row r="1627" spans="1:7" x14ac:dyDescent="0.3">
      <c r="A1627" t="s">
        <v>13039</v>
      </c>
      <c r="B1627" t="s">
        <v>3279</v>
      </c>
      <c r="C1627" t="s">
        <v>3280</v>
      </c>
      <c r="D1627" s="1" t="s">
        <v>427</v>
      </c>
      <c r="E1627" s="3">
        <v>1210.07</v>
      </c>
      <c r="F1627" s="3">
        <f t="shared" si="50"/>
        <v>305.78468900000001</v>
      </c>
      <c r="G1627" s="3">
        <f t="shared" si="51"/>
        <v>1515.854689</v>
      </c>
    </row>
    <row r="1628" spans="1:7" x14ac:dyDescent="0.3">
      <c r="A1628" t="s">
        <v>13039</v>
      </c>
      <c r="B1628" t="s">
        <v>3281</v>
      </c>
      <c r="C1628" t="s">
        <v>3282</v>
      </c>
      <c r="D1628" s="1" t="s">
        <v>427</v>
      </c>
      <c r="E1628" s="3">
        <v>1183.46</v>
      </c>
      <c r="F1628" s="3">
        <f t="shared" si="50"/>
        <v>299.06034200000005</v>
      </c>
      <c r="G1628" s="3">
        <f t="shared" si="51"/>
        <v>1482.520342</v>
      </c>
    </row>
    <row r="1629" spans="1:7" x14ac:dyDescent="0.3">
      <c r="A1629" t="s">
        <v>13039</v>
      </c>
      <c r="B1629" t="s">
        <v>3283</v>
      </c>
      <c r="C1629" t="s">
        <v>3284</v>
      </c>
      <c r="D1629" s="1" t="s">
        <v>427</v>
      </c>
      <c r="E1629" s="3">
        <v>1143.55</v>
      </c>
      <c r="F1629" s="3">
        <f t="shared" si="50"/>
        <v>288.97508500000004</v>
      </c>
      <c r="G1629" s="3">
        <f t="shared" si="51"/>
        <v>1432.525085</v>
      </c>
    </row>
    <row r="1630" spans="1:7" x14ac:dyDescent="0.3">
      <c r="A1630" t="s">
        <v>13039</v>
      </c>
      <c r="B1630" t="s">
        <v>3285</v>
      </c>
      <c r="C1630" t="s">
        <v>3286</v>
      </c>
      <c r="D1630" s="1" t="s">
        <v>427</v>
      </c>
      <c r="E1630" s="3">
        <v>1389.43</v>
      </c>
      <c r="F1630" s="3">
        <f t="shared" si="50"/>
        <v>351.10896100000008</v>
      </c>
      <c r="G1630" s="3">
        <f t="shared" si="51"/>
        <v>1740.5389610000002</v>
      </c>
    </row>
    <row r="1631" spans="1:7" x14ac:dyDescent="0.3">
      <c r="A1631" t="s">
        <v>13039</v>
      </c>
      <c r="B1631" t="s">
        <v>3287</v>
      </c>
      <c r="C1631" t="s">
        <v>3288</v>
      </c>
      <c r="D1631" s="1" t="s">
        <v>427</v>
      </c>
      <c r="E1631" s="3">
        <v>1348.14</v>
      </c>
      <c r="F1631" s="3">
        <f t="shared" si="50"/>
        <v>340.67497800000007</v>
      </c>
      <c r="G1631" s="3">
        <f t="shared" si="51"/>
        <v>1688.8149780000001</v>
      </c>
    </row>
    <row r="1632" spans="1:7" x14ac:dyDescent="0.3">
      <c r="A1632" t="s">
        <v>13039</v>
      </c>
      <c r="B1632" t="s">
        <v>3289</v>
      </c>
      <c r="C1632" t="s">
        <v>3290</v>
      </c>
      <c r="D1632" s="1" t="s">
        <v>427</v>
      </c>
      <c r="E1632" s="3">
        <v>1286.21</v>
      </c>
      <c r="F1632" s="3">
        <f t="shared" si="50"/>
        <v>325.02526700000004</v>
      </c>
      <c r="G1632" s="3">
        <f t="shared" si="51"/>
        <v>1611.235267</v>
      </c>
    </row>
    <row r="1633" spans="1:7" x14ac:dyDescent="0.3">
      <c r="A1633" t="s">
        <v>13039</v>
      </c>
      <c r="B1633" t="s">
        <v>3291</v>
      </c>
      <c r="C1633" t="s">
        <v>3292</v>
      </c>
      <c r="D1633" s="1" t="s">
        <v>427</v>
      </c>
      <c r="E1633" s="3">
        <v>1224.27</v>
      </c>
      <c r="F1633" s="3">
        <f t="shared" si="50"/>
        <v>309.37302900000003</v>
      </c>
      <c r="G1633" s="3">
        <f t="shared" si="51"/>
        <v>1533.6430290000001</v>
      </c>
    </row>
    <row r="1634" spans="1:7" x14ac:dyDescent="0.3">
      <c r="A1634" t="s">
        <v>13039</v>
      </c>
      <c r="B1634" t="s">
        <v>3293</v>
      </c>
      <c r="C1634" t="s">
        <v>3294</v>
      </c>
      <c r="D1634" s="1" t="s">
        <v>427</v>
      </c>
      <c r="E1634" s="3">
        <v>1008.06</v>
      </c>
      <c r="F1634" s="3">
        <f t="shared" si="50"/>
        <v>254.73676200000003</v>
      </c>
      <c r="G1634" s="3">
        <f t="shared" si="51"/>
        <v>1262.7967619999999</v>
      </c>
    </row>
    <row r="1635" spans="1:7" x14ac:dyDescent="0.3">
      <c r="A1635" t="s">
        <v>13039</v>
      </c>
      <c r="B1635" t="s">
        <v>3295</v>
      </c>
      <c r="C1635" t="s">
        <v>3296</v>
      </c>
      <c r="D1635" s="1" t="s">
        <v>427</v>
      </c>
      <c r="E1635" s="3">
        <v>984.2</v>
      </c>
      <c r="F1635" s="3">
        <f t="shared" si="50"/>
        <v>248.70734000000004</v>
      </c>
      <c r="G1635" s="3">
        <f t="shared" si="51"/>
        <v>1232.9073400000002</v>
      </c>
    </row>
    <row r="1636" spans="1:7" x14ac:dyDescent="0.3">
      <c r="A1636" t="s">
        <v>13039</v>
      </c>
      <c r="B1636" t="s">
        <v>3297</v>
      </c>
      <c r="C1636" t="s">
        <v>3298</v>
      </c>
      <c r="D1636" s="1" t="s">
        <v>427</v>
      </c>
      <c r="E1636" s="3">
        <v>965.12</v>
      </c>
      <c r="F1636" s="3">
        <f t="shared" si="50"/>
        <v>243.88582400000004</v>
      </c>
      <c r="G1636" s="3">
        <f t="shared" si="51"/>
        <v>1209.0058240000001</v>
      </c>
    </row>
    <row r="1637" spans="1:7" x14ac:dyDescent="0.3">
      <c r="A1637" t="s">
        <v>13039</v>
      </c>
      <c r="B1637" t="s">
        <v>3299</v>
      </c>
      <c r="C1637" t="s">
        <v>3300</v>
      </c>
      <c r="D1637" s="1" t="s">
        <v>427</v>
      </c>
      <c r="E1637" s="3">
        <v>943.15</v>
      </c>
      <c r="F1637" s="3">
        <f t="shared" si="50"/>
        <v>238.33400500000002</v>
      </c>
      <c r="G1637" s="3">
        <f t="shared" si="51"/>
        <v>1181.484005</v>
      </c>
    </row>
    <row r="1638" spans="1:7" x14ac:dyDescent="0.3">
      <c r="A1638" t="s">
        <v>13039</v>
      </c>
      <c r="B1638" t="s">
        <v>3301</v>
      </c>
      <c r="C1638" t="s">
        <v>3302</v>
      </c>
      <c r="D1638" s="1" t="s">
        <v>427</v>
      </c>
      <c r="E1638" s="3">
        <v>1060.92</v>
      </c>
      <c r="F1638" s="3">
        <f t="shared" si="50"/>
        <v>268.09448400000008</v>
      </c>
      <c r="G1638" s="3">
        <f t="shared" si="51"/>
        <v>1329.0144840000003</v>
      </c>
    </row>
    <row r="1639" spans="1:7" x14ac:dyDescent="0.3">
      <c r="A1639" t="s">
        <v>13039</v>
      </c>
      <c r="B1639" t="s">
        <v>3303</v>
      </c>
      <c r="C1639" t="s">
        <v>3304</v>
      </c>
      <c r="D1639" s="1" t="s">
        <v>427</v>
      </c>
      <c r="E1639" s="3">
        <v>1029.3900000000001</v>
      </c>
      <c r="F1639" s="3">
        <f t="shared" si="50"/>
        <v>260.12685300000004</v>
      </c>
      <c r="G1639" s="3">
        <f t="shared" si="51"/>
        <v>1289.5168530000001</v>
      </c>
    </row>
    <row r="1640" spans="1:7" x14ac:dyDescent="0.3">
      <c r="A1640" t="s">
        <v>13039</v>
      </c>
      <c r="B1640" t="s">
        <v>3305</v>
      </c>
      <c r="C1640" t="s">
        <v>3306</v>
      </c>
      <c r="D1640" s="1" t="s">
        <v>427</v>
      </c>
      <c r="E1640" s="3">
        <v>1005.37</v>
      </c>
      <c r="F1640" s="3">
        <f t="shared" si="50"/>
        <v>254.05699900000005</v>
      </c>
      <c r="G1640" s="3">
        <f t="shared" si="51"/>
        <v>1259.426999</v>
      </c>
    </row>
    <row r="1641" spans="1:7" x14ac:dyDescent="0.3">
      <c r="A1641" t="s">
        <v>13039</v>
      </c>
      <c r="B1641" t="s">
        <v>3307</v>
      </c>
      <c r="C1641" t="s">
        <v>3308</v>
      </c>
      <c r="D1641" s="1" t="s">
        <v>427</v>
      </c>
      <c r="E1641" s="3">
        <v>979.83</v>
      </c>
      <c r="F1641" s="3">
        <f t="shared" si="50"/>
        <v>247.60304100000005</v>
      </c>
      <c r="G1641" s="3">
        <f t="shared" si="51"/>
        <v>1227.433041</v>
      </c>
    </row>
    <row r="1642" spans="1:7" x14ac:dyDescent="0.3">
      <c r="A1642" t="s">
        <v>13039</v>
      </c>
      <c r="B1642" t="s">
        <v>3309</v>
      </c>
      <c r="C1642" t="s">
        <v>3310</v>
      </c>
      <c r="D1642" s="1" t="s">
        <v>427</v>
      </c>
      <c r="E1642" s="3">
        <v>1124.73</v>
      </c>
      <c r="F1642" s="3">
        <f t="shared" si="50"/>
        <v>284.21927100000005</v>
      </c>
      <c r="G1642" s="3">
        <f t="shared" si="51"/>
        <v>1408.949271</v>
      </c>
    </row>
    <row r="1643" spans="1:7" x14ac:dyDescent="0.3">
      <c r="A1643" t="s">
        <v>13039</v>
      </c>
      <c r="B1643" t="s">
        <v>3311</v>
      </c>
      <c r="C1643" t="s">
        <v>3312</v>
      </c>
      <c r="D1643" s="1" t="s">
        <v>427</v>
      </c>
      <c r="E1643" s="3">
        <v>1081.81</v>
      </c>
      <c r="F1643" s="3">
        <f t="shared" si="50"/>
        <v>273.37338700000004</v>
      </c>
      <c r="G1643" s="3">
        <f t="shared" si="51"/>
        <v>1355.183387</v>
      </c>
    </row>
    <row r="1644" spans="1:7" x14ac:dyDescent="0.3">
      <c r="A1644" t="s">
        <v>13039</v>
      </c>
      <c r="B1644" t="s">
        <v>3313</v>
      </c>
      <c r="C1644" t="s">
        <v>3314</v>
      </c>
      <c r="D1644" s="1" t="s">
        <v>427</v>
      </c>
      <c r="E1644" s="3">
        <v>1045.72</v>
      </c>
      <c r="F1644" s="3">
        <f t="shared" si="50"/>
        <v>264.25344400000006</v>
      </c>
      <c r="G1644" s="3">
        <f t="shared" si="51"/>
        <v>1309.9734440000002</v>
      </c>
    </row>
    <row r="1645" spans="1:7" x14ac:dyDescent="0.3">
      <c r="A1645" t="s">
        <v>13039</v>
      </c>
      <c r="B1645" t="s">
        <v>3315</v>
      </c>
      <c r="C1645" t="s">
        <v>3316</v>
      </c>
      <c r="D1645" s="1" t="s">
        <v>427</v>
      </c>
      <c r="E1645" s="3">
        <v>1015.97</v>
      </c>
      <c r="F1645" s="3">
        <f t="shared" si="50"/>
        <v>256.73561900000004</v>
      </c>
      <c r="G1645" s="3">
        <f t="shared" si="51"/>
        <v>1272.7056190000001</v>
      </c>
    </row>
    <row r="1646" spans="1:7" x14ac:dyDescent="0.3">
      <c r="A1646" t="s">
        <v>13039</v>
      </c>
      <c r="B1646" t="s">
        <v>3317</v>
      </c>
      <c r="C1646" t="s">
        <v>3318</v>
      </c>
      <c r="D1646" s="1" t="s">
        <v>427</v>
      </c>
      <c r="E1646" s="3">
        <v>1205.31</v>
      </c>
      <c r="F1646" s="3">
        <f t="shared" si="50"/>
        <v>304.58183700000001</v>
      </c>
      <c r="G1646" s="3">
        <f t="shared" si="51"/>
        <v>1509.8918369999999</v>
      </c>
    </row>
    <row r="1647" spans="1:7" x14ac:dyDescent="0.3">
      <c r="A1647" t="s">
        <v>13039</v>
      </c>
      <c r="B1647" t="s">
        <v>3319</v>
      </c>
      <c r="C1647" t="s">
        <v>3320</v>
      </c>
      <c r="D1647" s="1" t="s">
        <v>427</v>
      </c>
      <c r="E1647" s="3">
        <v>1143.97</v>
      </c>
      <c r="F1647" s="3">
        <f t="shared" si="50"/>
        <v>289.08121900000003</v>
      </c>
      <c r="G1647" s="3">
        <f t="shared" si="51"/>
        <v>1433.0512189999999</v>
      </c>
    </row>
    <row r="1648" spans="1:7" x14ac:dyDescent="0.3">
      <c r="A1648" t="s">
        <v>13039</v>
      </c>
      <c r="B1648" t="s">
        <v>3321</v>
      </c>
      <c r="C1648" t="s">
        <v>3322</v>
      </c>
      <c r="D1648" s="1" t="s">
        <v>427</v>
      </c>
      <c r="E1648" s="3">
        <v>1102.24</v>
      </c>
      <c r="F1648" s="3">
        <f t="shared" si="50"/>
        <v>278.53604800000005</v>
      </c>
      <c r="G1648" s="3">
        <f t="shared" si="51"/>
        <v>1380.7760480000002</v>
      </c>
    </row>
    <row r="1649" spans="1:7" x14ac:dyDescent="0.3">
      <c r="A1649" t="s">
        <v>13039</v>
      </c>
      <c r="B1649" t="s">
        <v>3323</v>
      </c>
      <c r="C1649" t="s">
        <v>3324</v>
      </c>
      <c r="D1649" s="1" t="s">
        <v>427</v>
      </c>
      <c r="E1649" s="3">
        <v>1060.28</v>
      </c>
      <c r="F1649" s="3">
        <f t="shared" si="50"/>
        <v>267.93275600000004</v>
      </c>
      <c r="G1649" s="3">
        <f t="shared" si="51"/>
        <v>1328.2127559999999</v>
      </c>
    </row>
    <row r="1650" spans="1:7" x14ac:dyDescent="0.3">
      <c r="A1650" t="s">
        <v>13039</v>
      </c>
      <c r="B1650" t="s">
        <v>3325</v>
      </c>
      <c r="C1650" t="s">
        <v>3326</v>
      </c>
      <c r="D1650" s="1" t="s">
        <v>427</v>
      </c>
      <c r="E1650" s="3">
        <v>1348.95</v>
      </c>
      <c r="F1650" s="3">
        <f t="shared" si="50"/>
        <v>340.87966500000005</v>
      </c>
      <c r="G1650" s="3">
        <f t="shared" si="51"/>
        <v>1689.8296650000002</v>
      </c>
    </row>
    <row r="1651" spans="1:7" x14ac:dyDescent="0.3">
      <c r="A1651" t="s">
        <v>13039</v>
      </c>
      <c r="B1651" t="s">
        <v>3327</v>
      </c>
      <c r="C1651" t="s">
        <v>3328</v>
      </c>
      <c r="D1651" s="1" t="s">
        <v>427</v>
      </c>
      <c r="E1651" s="3">
        <v>1315.69</v>
      </c>
      <c r="F1651" s="3">
        <f t="shared" si="50"/>
        <v>332.47486300000008</v>
      </c>
      <c r="G1651" s="3">
        <f t="shared" si="51"/>
        <v>1648.1648630000002</v>
      </c>
    </row>
    <row r="1652" spans="1:7" x14ac:dyDescent="0.3">
      <c r="A1652" t="s">
        <v>13039</v>
      </c>
      <c r="B1652" t="s">
        <v>3329</v>
      </c>
      <c r="C1652" t="s">
        <v>3330</v>
      </c>
      <c r="D1652" s="1" t="s">
        <v>427</v>
      </c>
      <c r="E1652" s="3">
        <v>1289.08</v>
      </c>
      <c r="F1652" s="3">
        <f t="shared" si="50"/>
        <v>325.750516</v>
      </c>
      <c r="G1652" s="3">
        <f t="shared" si="51"/>
        <v>1614.830516</v>
      </c>
    </row>
    <row r="1653" spans="1:7" x14ac:dyDescent="0.3">
      <c r="A1653" t="s">
        <v>13039</v>
      </c>
      <c r="B1653" t="s">
        <v>3331</v>
      </c>
      <c r="C1653" t="s">
        <v>3332</v>
      </c>
      <c r="D1653" s="1" t="s">
        <v>427</v>
      </c>
      <c r="E1653" s="3">
        <v>1249.1600000000001</v>
      </c>
      <c r="F1653" s="3">
        <f t="shared" si="50"/>
        <v>315.66273200000006</v>
      </c>
      <c r="G1653" s="3">
        <f t="shared" si="51"/>
        <v>1564.8227320000001</v>
      </c>
    </row>
    <row r="1654" spans="1:7" x14ac:dyDescent="0.3">
      <c r="A1654" t="s">
        <v>13039</v>
      </c>
      <c r="B1654" t="s">
        <v>3333</v>
      </c>
      <c r="C1654" t="s">
        <v>3334</v>
      </c>
      <c r="D1654" s="1" t="s">
        <v>427</v>
      </c>
      <c r="E1654" s="3">
        <v>1498.69</v>
      </c>
      <c r="F1654" s="3">
        <f t="shared" si="50"/>
        <v>378.71896300000009</v>
      </c>
      <c r="G1654" s="3">
        <f t="shared" si="51"/>
        <v>1877.4089630000001</v>
      </c>
    </row>
    <row r="1655" spans="1:7" x14ac:dyDescent="0.3">
      <c r="A1655" t="s">
        <v>13039</v>
      </c>
      <c r="B1655" t="s">
        <v>3335</v>
      </c>
      <c r="C1655" t="s">
        <v>3336</v>
      </c>
      <c r="D1655" s="1" t="s">
        <v>427</v>
      </c>
      <c r="E1655" s="3">
        <v>1457.4</v>
      </c>
      <c r="F1655" s="3">
        <f t="shared" si="50"/>
        <v>368.28498000000008</v>
      </c>
      <c r="G1655" s="3">
        <f t="shared" si="51"/>
        <v>1825.6849800000002</v>
      </c>
    </row>
    <row r="1656" spans="1:7" x14ac:dyDescent="0.3">
      <c r="A1656" t="s">
        <v>13039</v>
      </c>
      <c r="B1656" t="s">
        <v>3337</v>
      </c>
      <c r="C1656" t="s">
        <v>3338</v>
      </c>
      <c r="D1656" s="1" t="s">
        <v>427</v>
      </c>
      <c r="E1656" s="3">
        <v>1395.46</v>
      </c>
      <c r="F1656" s="3">
        <f t="shared" si="50"/>
        <v>352.63274200000006</v>
      </c>
      <c r="G1656" s="3">
        <f t="shared" si="51"/>
        <v>1748.092742</v>
      </c>
    </row>
    <row r="1657" spans="1:7" x14ac:dyDescent="0.3">
      <c r="A1657" t="s">
        <v>13039</v>
      </c>
      <c r="B1657" t="s">
        <v>3339</v>
      </c>
      <c r="C1657" t="s">
        <v>3340</v>
      </c>
      <c r="D1657" s="1" t="s">
        <v>427</v>
      </c>
      <c r="E1657" s="3">
        <v>1333.53</v>
      </c>
      <c r="F1657" s="3">
        <f t="shared" si="50"/>
        <v>336.98303100000004</v>
      </c>
      <c r="G1657" s="3">
        <f t="shared" si="51"/>
        <v>1670.513031</v>
      </c>
    </row>
    <row r="1658" spans="1:7" x14ac:dyDescent="0.3">
      <c r="A1658" t="s">
        <v>13039</v>
      </c>
      <c r="B1658" t="s">
        <v>3341</v>
      </c>
      <c r="C1658" t="s">
        <v>3342</v>
      </c>
      <c r="D1658" s="1" t="s">
        <v>195</v>
      </c>
      <c r="E1658" s="3">
        <v>5.27</v>
      </c>
      <c r="F1658" s="3">
        <f t="shared" si="50"/>
        <v>1.3317290000000002</v>
      </c>
      <c r="G1658" s="3">
        <f t="shared" si="51"/>
        <v>6.6017289999999997</v>
      </c>
    </row>
    <row r="1659" spans="1:7" x14ac:dyDescent="0.3">
      <c r="A1659" t="s">
        <v>13039</v>
      </c>
      <c r="B1659" t="s">
        <v>3343</v>
      </c>
      <c r="C1659" t="s">
        <v>3344</v>
      </c>
      <c r="D1659" s="1" t="s">
        <v>195</v>
      </c>
      <c r="E1659" s="3">
        <v>2.4500000000000002</v>
      </c>
      <c r="F1659" s="3">
        <f t="shared" si="50"/>
        <v>0.61911500000000008</v>
      </c>
      <c r="G1659" s="3">
        <f t="shared" si="51"/>
        <v>3.069115</v>
      </c>
    </row>
    <row r="1660" spans="1:7" x14ac:dyDescent="0.3">
      <c r="A1660" t="s">
        <v>13039</v>
      </c>
      <c r="B1660" t="s">
        <v>3345</v>
      </c>
      <c r="C1660" t="s">
        <v>3346</v>
      </c>
      <c r="D1660" s="1" t="s">
        <v>195</v>
      </c>
      <c r="E1660" s="3">
        <v>10.67</v>
      </c>
      <c r="F1660" s="3">
        <f t="shared" si="50"/>
        <v>2.6963090000000003</v>
      </c>
      <c r="G1660" s="3">
        <f t="shared" si="51"/>
        <v>13.366309000000001</v>
      </c>
    </row>
    <row r="1661" spans="1:7" x14ac:dyDescent="0.3">
      <c r="A1661" t="s">
        <v>13039</v>
      </c>
      <c r="B1661" t="s">
        <v>3347</v>
      </c>
      <c r="C1661" t="s">
        <v>3348</v>
      </c>
      <c r="D1661" s="1" t="s">
        <v>195</v>
      </c>
      <c r="E1661" s="3">
        <v>2.4</v>
      </c>
      <c r="F1661" s="3">
        <f t="shared" si="50"/>
        <v>0.60648000000000002</v>
      </c>
      <c r="G1661" s="3">
        <f t="shared" si="51"/>
        <v>3.0064799999999998</v>
      </c>
    </row>
    <row r="1662" spans="1:7" x14ac:dyDescent="0.3">
      <c r="A1662" t="s">
        <v>13039</v>
      </c>
      <c r="B1662" t="s">
        <v>3349</v>
      </c>
      <c r="C1662" t="s">
        <v>3350</v>
      </c>
      <c r="D1662" s="1" t="s">
        <v>3351</v>
      </c>
      <c r="E1662" s="3">
        <v>0.24</v>
      </c>
      <c r="F1662" s="3">
        <f t="shared" si="50"/>
        <v>6.0648000000000007E-2</v>
      </c>
      <c r="G1662" s="3">
        <f t="shared" si="51"/>
        <v>0.30064800000000003</v>
      </c>
    </row>
    <row r="1663" spans="1:7" x14ac:dyDescent="0.3">
      <c r="A1663" t="s">
        <v>13039</v>
      </c>
      <c r="B1663" t="s">
        <v>3352</v>
      </c>
      <c r="C1663" t="s">
        <v>3353</v>
      </c>
      <c r="D1663" s="1" t="s">
        <v>38</v>
      </c>
      <c r="E1663" s="3">
        <v>0.17</v>
      </c>
      <c r="F1663" s="3">
        <f t="shared" si="50"/>
        <v>4.2959000000000011E-2</v>
      </c>
      <c r="G1663" s="3">
        <f t="shared" si="51"/>
        <v>0.21295900000000001</v>
      </c>
    </row>
    <row r="1664" spans="1:7" x14ac:dyDescent="0.3">
      <c r="A1664" t="s">
        <v>13039</v>
      </c>
      <c r="B1664" t="s">
        <v>3354</v>
      </c>
      <c r="C1664" t="s">
        <v>3355</v>
      </c>
      <c r="D1664" s="1" t="s">
        <v>195</v>
      </c>
      <c r="E1664" s="3">
        <v>4.21</v>
      </c>
      <c r="F1664" s="3">
        <f t="shared" si="50"/>
        <v>1.0638670000000001</v>
      </c>
      <c r="G1664" s="3">
        <f t="shared" si="51"/>
        <v>5.2738670000000001</v>
      </c>
    </row>
    <row r="1665" spans="1:7" x14ac:dyDescent="0.3">
      <c r="A1665" t="s">
        <v>13039</v>
      </c>
      <c r="B1665" t="s">
        <v>3356</v>
      </c>
      <c r="C1665" t="s">
        <v>3357</v>
      </c>
      <c r="D1665" s="1" t="s">
        <v>195</v>
      </c>
      <c r="E1665" s="3">
        <v>3.94</v>
      </c>
      <c r="F1665" s="3">
        <f t="shared" si="50"/>
        <v>0.99563800000000013</v>
      </c>
      <c r="G1665" s="3">
        <f t="shared" si="51"/>
        <v>4.935638</v>
      </c>
    </row>
    <row r="1666" spans="1:7" x14ac:dyDescent="0.3">
      <c r="A1666" t="s">
        <v>13039</v>
      </c>
      <c r="B1666" t="s">
        <v>3358</v>
      </c>
      <c r="C1666" t="s">
        <v>3359</v>
      </c>
      <c r="D1666" s="1" t="s">
        <v>195</v>
      </c>
      <c r="E1666" s="3">
        <v>6.04</v>
      </c>
      <c r="F1666" s="3">
        <f t="shared" si="50"/>
        <v>1.5263080000000002</v>
      </c>
      <c r="G1666" s="3">
        <f t="shared" si="51"/>
        <v>7.5663080000000003</v>
      </c>
    </row>
    <row r="1667" spans="1:7" x14ac:dyDescent="0.3">
      <c r="A1667" t="s">
        <v>13039</v>
      </c>
      <c r="B1667" t="s">
        <v>3360</v>
      </c>
      <c r="C1667" t="s">
        <v>3361</v>
      </c>
      <c r="D1667" s="1" t="s">
        <v>195</v>
      </c>
      <c r="E1667" s="3">
        <v>1.72</v>
      </c>
      <c r="F1667" s="3">
        <f t="shared" si="50"/>
        <v>0.43464400000000003</v>
      </c>
      <c r="G1667" s="3">
        <f t="shared" si="51"/>
        <v>2.1546440000000002</v>
      </c>
    </row>
    <row r="1668" spans="1:7" x14ac:dyDescent="0.3">
      <c r="A1668" t="s">
        <v>13039</v>
      </c>
      <c r="B1668" t="s">
        <v>3362</v>
      </c>
      <c r="C1668" t="s">
        <v>3363</v>
      </c>
      <c r="D1668" s="1" t="s">
        <v>195</v>
      </c>
      <c r="E1668" s="3">
        <v>2</v>
      </c>
      <c r="F1668" s="3">
        <f t="shared" si="50"/>
        <v>0.50540000000000007</v>
      </c>
      <c r="G1668" s="3">
        <f t="shared" si="51"/>
        <v>2.5053999999999998</v>
      </c>
    </row>
    <row r="1669" spans="1:7" x14ac:dyDescent="0.3">
      <c r="A1669" t="s">
        <v>13039</v>
      </c>
      <c r="B1669" t="s">
        <v>3364</v>
      </c>
      <c r="C1669" t="s">
        <v>3365</v>
      </c>
      <c r="D1669" s="1" t="s">
        <v>195</v>
      </c>
      <c r="E1669" s="3">
        <v>2.2200000000000002</v>
      </c>
      <c r="F1669" s="3">
        <f t="shared" si="50"/>
        <v>0.5609940000000001</v>
      </c>
      <c r="G1669" s="3">
        <f t="shared" si="51"/>
        <v>2.7809940000000002</v>
      </c>
    </row>
    <row r="1670" spans="1:7" x14ac:dyDescent="0.3">
      <c r="A1670" t="s">
        <v>13039</v>
      </c>
      <c r="B1670" t="s">
        <v>3366</v>
      </c>
      <c r="C1670" t="s">
        <v>3367</v>
      </c>
      <c r="D1670" s="1" t="s">
        <v>195</v>
      </c>
      <c r="E1670" s="3">
        <v>2.56</v>
      </c>
      <c r="F1670" s="3">
        <f t="shared" si="50"/>
        <v>0.64691200000000015</v>
      </c>
      <c r="G1670" s="3">
        <f t="shared" si="51"/>
        <v>3.206912</v>
      </c>
    </row>
    <row r="1671" spans="1:7" x14ac:dyDescent="0.3">
      <c r="A1671" t="s">
        <v>13039</v>
      </c>
      <c r="B1671" t="s">
        <v>3368</v>
      </c>
      <c r="C1671" t="s">
        <v>3369</v>
      </c>
      <c r="D1671" s="1" t="s">
        <v>195</v>
      </c>
      <c r="E1671" s="3">
        <v>2.93</v>
      </c>
      <c r="F1671" s="3">
        <f t="shared" ref="F1671:F1734" si="52">+E1671*$F$4</f>
        <v>0.74041100000000015</v>
      </c>
      <c r="G1671" s="3">
        <f t="shared" ref="G1671:G1734" si="53">+E1671+F1671</f>
        <v>3.6704110000000005</v>
      </c>
    </row>
    <row r="1672" spans="1:7" x14ac:dyDescent="0.3">
      <c r="A1672" t="s">
        <v>13039</v>
      </c>
      <c r="B1672" t="s">
        <v>3370</v>
      </c>
      <c r="C1672" t="s">
        <v>3371</v>
      </c>
      <c r="D1672" s="1" t="s">
        <v>38</v>
      </c>
      <c r="E1672" s="3">
        <v>0.22</v>
      </c>
      <c r="F1672" s="3">
        <f t="shared" si="52"/>
        <v>5.5594000000000011E-2</v>
      </c>
      <c r="G1672" s="3">
        <f t="shared" si="53"/>
        <v>0.27559400000000001</v>
      </c>
    </row>
    <row r="1673" spans="1:7" x14ac:dyDescent="0.3">
      <c r="A1673" t="s">
        <v>13039</v>
      </c>
      <c r="B1673" t="s">
        <v>3372</v>
      </c>
      <c r="C1673" t="s">
        <v>3373</v>
      </c>
      <c r="D1673" s="1" t="s">
        <v>3351</v>
      </c>
      <c r="E1673" s="3">
        <v>0.06</v>
      </c>
      <c r="F1673" s="3">
        <f t="shared" si="52"/>
        <v>1.5162000000000002E-2</v>
      </c>
      <c r="G1673" s="3">
        <f t="shared" si="53"/>
        <v>7.5162000000000007E-2</v>
      </c>
    </row>
    <row r="1674" spans="1:7" x14ac:dyDescent="0.3">
      <c r="A1674" t="s">
        <v>13039</v>
      </c>
      <c r="B1674" t="s">
        <v>3374</v>
      </c>
      <c r="C1674" t="s">
        <v>3375</v>
      </c>
      <c r="D1674" s="1" t="s">
        <v>38</v>
      </c>
      <c r="E1674" s="3">
        <v>8.1</v>
      </c>
      <c r="F1674" s="3">
        <f t="shared" si="52"/>
        <v>2.0468700000000002</v>
      </c>
      <c r="G1674" s="3">
        <f t="shared" si="53"/>
        <v>10.14687</v>
      </c>
    </row>
    <row r="1675" spans="1:7" x14ac:dyDescent="0.3">
      <c r="A1675" t="s">
        <v>13039</v>
      </c>
      <c r="B1675" t="s">
        <v>3376</v>
      </c>
      <c r="C1675" t="s">
        <v>3377</v>
      </c>
      <c r="D1675" s="1" t="s">
        <v>38</v>
      </c>
      <c r="E1675" s="3">
        <v>8.35</v>
      </c>
      <c r="F1675" s="3">
        <f t="shared" si="52"/>
        <v>2.1100450000000004</v>
      </c>
      <c r="G1675" s="3">
        <f t="shared" si="53"/>
        <v>10.460045000000001</v>
      </c>
    </row>
    <row r="1676" spans="1:7" x14ac:dyDescent="0.3">
      <c r="A1676" t="s">
        <v>13039</v>
      </c>
      <c r="B1676" t="s">
        <v>3378</v>
      </c>
      <c r="C1676" t="s">
        <v>3379</v>
      </c>
      <c r="D1676" s="1" t="s">
        <v>38</v>
      </c>
      <c r="E1676" s="3">
        <v>8.5500000000000007</v>
      </c>
      <c r="F1676" s="3">
        <f t="shared" si="52"/>
        <v>2.1605850000000006</v>
      </c>
      <c r="G1676" s="3">
        <f t="shared" si="53"/>
        <v>10.710585000000002</v>
      </c>
    </row>
    <row r="1677" spans="1:7" x14ac:dyDescent="0.3">
      <c r="A1677" t="s">
        <v>13039</v>
      </c>
      <c r="B1677" t="s">
        <v>3380</v>
      </c>
      <c r="C1677" t="s">
        <v>3381</v>
      </c>
      <c r="D1677" s="1" t="s">
        <v>38</v>
      </c>
      <c r="E1677" s="3">
        <v>8.41</v>
      </c>
      <c r="F1677" s="3">
        <f t="shared" si="52"/>
        <v>2.1252070000000005</v>
      </c>
      <c r="G1677" s="3">
        <f t="shared" si="53"/>
        <v>10.535207</v>
      </c>
    </row>
    <row r="1678" spans="1:7" x14ac:dyDescent="0.3">
      <c r="A1678" t="s">
        <v>13039</v>
      </c>
      <c r="B1678" t="s">
        <v>3382</v>
      </c>
      <c r="C1678" t="s">
        <v>3383</v>
      </c>
      <c r="D1678" s="1" t="s">
        <v>195</v>
      </c>
      <c r="E1678" s="3">
        <v>3.61</v>
      </c>
      <c r="F1678" s="3">
        <f t="shared" si="52"/>
        <v>0.91224700000000014</v>
      </c>
      <c r="G1678" s="3">
        <f t="shared" si="53"/>
        <v>4.5222470000000001</v>
      </c>
    </row>
    <row r="1679" spans="1:7" x14ac:dyDescent="0.3">
      <c r="A1679" t="s">
        <v>13039</v>
      </c>
      <c r="B1679" t="s">
        <v>3384</v>
      </c>
      <c r="C1679" t="s">
        <v>3385</v>
      </c>
      <c r="D1679" s="1" t="s">
        <v>38</v>
      </c>
      <c r="E1679" s="3">
        <v>2.98</v>
      </c>
      <c r="F1679" s="3">
        <f t="shared" si="52"/>
        <v>0.7530460000000001</v>
      </c>
      <c r="G1679" s="3">
        <f t="shared" si="53"/>
        <v>3.7330459999999999</v>
      </c>
    </row>
    <row r="1680" spans="1:7" x14ac:dyDescent="0.3">
      <c r="A1680" t="s">
        <v>13039</v>
      </c>
      <c r="B1680" t="s">
        <v>3386</v>
      </c>
      <c r="C1680" t="s">
        <v>3387</v>
      </c>
      <c r="D1680" s="1" t="s">
        <v>38</v>
      </c>
      <c r="E1680" s="3">
        <v>3.35</v>
      </c>
      <c r="F1680" s="3">
        <f t="shared" si="52"/>
        <v>0.8465450000000001</v>
      </c>
      <c r="G1680" s="3">
        <f t="shared" si="53"/>
        <v>4.1965450000000004</v>
      </c>
    </row>
    <row r="1681" spans="1:7" x14ac:dyDescent="0.3">
      <c r="A1681" t="s">
        <v>13039</v>
      </c>
      <c r="B1681" t="s">
        <v>3388</v>
      </c>
      <c r="C1681" t="s">
        <v>3389</v>
      </c>
      <c r="D1681" s="1" t="s">
        <v>38</v>
      </c>
      <c r="E1681" s="3">
        <v>3.63</v>
      </c>
      <c r="F1681" s="3">
        <f t="shared" si="52"/>
        <v>0.91730100000000014</v>
      </c>
      <c r="G1681" s="3">
        <f t="shared" si="53"/>
        <v>4.547301</v>
      </c>
    </row>
    <row r="1682" spans="1:7" x14ac:dyDescent="0.3">
      <c r="A1682" t="s">
        <v>13039</v>
      </c>
      <c r="B1682" t="s">
        <v>3390</v>
      </c>
      <c r="C1682" t="s">
        <v>3391</v>
      </c>
      <c r="D1682" s="1" t="s">
        <v>38</v>
      </c>
      <c r="E1682" s="3">
        <v>3.46</v>
      </c>
      <c r="F1682" s="3">
        <f t="shared" si="52"/>
        <v>0.87434200000000006</v>
      </c>
      <c r="G1682" s="3">
        <f t="shared" si="53"/>
        <v>4.3343420000000004</v>
      </c>
    </row>
    <row r="1683" spans="1:7" x14ac:dyDescent="0.3">
      <c r="A1683" t="s">
        <v>13039</v>
      </c>
      <c r="B1683" t="s">
        <v>3392</v>
      </c>
      <c r="C1683" t="s">
        <v>3393</v>
      </c>
      <c r="D1683" s="1" t="s">
        <v>38</v>
      </c>
      <c r="E1683" s="3">
        <v>1.41</v>
      </c>
      <c r="F1683" s="3">
        <f t="shared" si="52"/>
        <v>0.35630700000000004</v>
      </c>
      <c r="G1683" s="3">
        <f t="shared" si="53"/>
        <v>1.7663069999999998</v>
      </c>
    </row>
    <row r="1684" spans="1:7" x14ac:dyDescent="0.3">
      <c r="A1684" t="s">
        <v>13039</v>
      </c>
      <c r="B1684" t="s">
        <v>3394</v>
      </c>
      <c r="C1684" t="s">
        <v>3395</v>
      </c>
      <c r="D1684" s="1" t="s">
        <v>195</v>
      </c>
      <c r="E1684" s="3">
        <v>283.43</v>
      </c>
      <c r="F1684" s="3">
        <f t="shared" si="52"/>
        <v>71.622761000000011</v>
      </c>
      <c r="G1684" s="3">
        <f t="shared" si="53"/>
        <v>355.05276100000003</v>
      </c>
    </row>
    <row r="1685" spans="1:7" x14ac:dyDescent="0.3">
      <c r="A1685" t="s">
        <v>13039</v>
      </c>
      <c r="B1685" t="s">
        <v>3396</v>
      </c>
      <c r="C1685" t="s">
        <v>3397</v>
      </c>
      <c r="D1685" s="1" t="s">
        <v>195</v>
      </c>
      <c r="E1685" s="3">
        <v>646.76</v>
      </c>
      <c r="F1685" s="3">
        <f t="shared" si="52"/>
        <v>163.43625200000002</v>
      </c>
      <c r="G1685" s="3">
        <f t="shared" si="53"/>
        <v>810.19625199999996</v>
      </c>
    </row>
    <row r="1686" spans="1:7" x14ac:dyDescent="0.3">
      <c r="A1686" t="s">
        <v>13039</v>
      </c>
      <c r="B1686" t="s">
        <v>3398</v>
      </c>
      <c r="C1686" t="s">
        <v>3399</v>
      </c>
      <c r="D1686" s="1" t="s">
        <v>195</v>
      </c>
      <c r="E1686" s="3">
        <v>55.11</v>
      </c>
      <c r="F1686" s="3">
        <f t="shared" si="52"/>
        <v>13.926297000000002</v>
      </c>
      <c r="G1686" s="3">
        <f t="shared" si="53"/>
        <v>69.036297000000005</v>
      </c>
    </row>
    <row r="1687" spans="1:7" x14ac:dyDescent="0.3">
      <c r="A1687" t="s">
        <v>13039</v>
      </c>
      <c r="B1687" t="s">
        <v>3400</v>
      </c>
      <c r="C1687" t="s">
        <v>3401</v>
      </c>
      <c r="D1687" s="1" t="s">
        <v>195</v>
      </c>
      <c r="E1687" s="3">
        <v>95.74</v>
      </c>
      <c r="F1687" s="3">
        <f t="shared" si="52"/>
        <v>24.193498000000002</v>
      </c>
      <c r="G1687" s="3">
        <f t="shared" si="53"/>
        <v>119.933498</v>
      </c>
    </row>
    <row r="1688" spans="1:7" x14ac:dyDescent="0.3">
      <c r="A1688" t="s">
        <v>13039</v>
      </c>
      <c r="B1688" t="s">
        <v>3402</v>
      </c>
      <c r="C1688" t="s">
        <v>3403</v>
      </c>
      <c r="D1688" s="1" t="s">
        <v>195</v>
      </c>
      <c r="E1688" s="3">
        <v>147.06</v>
      </c>
      <c r="F1688" s="3">
        <f t="shared" si="52"/>
        <v>37.162062000000006</v>
      </c>
      <c r="G1688" s="3">
        <f t="shared" si="53"/>
        <v>184.22206199999999</v>
      </c>
    </row>
    <row r="1689" spans="1:7" x14ac:dyDescent="0.3">
      <c r="A1689" t="s">
        <v>13039</v>
      </c>
      <c r="B1689" t="s">
        <v>3404</v>
      </c>
      <c r="C1689" t="s">
        <v>3405</v>
      </c>
      <c r="D1689" s="1" t="s">
        <v>210</v>
      </c>
      <c r="E1689" s="3">
        <v>233.73</v>
      </c>
      <c r="F1689" s="3">
        <f t="shared" si="52"/>
        <v>59.063571000000003</v>
      </c>
      <c r="G1689" s="3">
        <f t="shared" si="53"/>
        <v>292.79357099999999</v>
      </c>
    </row>
    <row r="1690" spans="1:7" x14ac:dyDescent="0.3">
      <c r="A1690" t="s">
        <v>13039</v>
      </c>
      <c r="B1690" t="s">
        <v>3406</v>
      </c>
      <c r="C1690" t="s">
        <v>3407</v>
      </c>
      <c r="D1690" s="1" t="s">
        <v>210</v>
      </c>
      <c r="E1690" s="3">
        <v>129.72</v>
      </c>
      <c r="F1690" s="3">
        <f t="shared" si="52"/>
        <v>32.780244000000003</v>
      </c>
      <c r="G1690" s="3">
        <f t="shared" si="53"/>
        <v>162.50024400000001</v>
      </c>
    </row>
    <row r="1691" spans="1:7" x14ac:dyDescent="0.3">
      <c r="A1691" t="s">
        <v>13039</v>
      </c>
      <c r="B1691" t="s">
        <v>3408</v>
      </c>
      <c r="C1691" t="s">
        <v>3409</v>
      </c>
      <c r="D1691" s="1" t="s">
        <v>210</v>
      </c>
      <c r="E1691" s="3">
        <v>215.09</v>
      </c>
      <c r="F1691" s="3">
        <f t="shared" si="52"/>
        <v>54.353243000000006</v>
      </c>
      <c r="G1691" s="3">
        <f t="shared" si="53"/>
        <v>269.443243</v>
      </c>
    </row>
    <row r="1692" spans="1:7" x14ac:dyDescent="0.3">
      <c r="A1692" t="s">
        <v>13039</v>
      </c>
      <c r="B1692" t="s">
        <v>3410</v>
      </c>
      <c r="C1692" t="s">
        <v>3411</v>
      </c>
      <c r="D1692" s="1" t="s">
        <v>427</v>
      </c>
      <c r="E1692" s="3">
        <v>517.55999999999995</v>
      </c>
      <c r="F1692" s="3">
        <f t="shared" si="52"/>
        <v>130.78741200000002</v>
      </c>
      <c r="G1692" s="3">
        <f t="shared" si="53"/>
        <v>648.34741199999996</v>
      </c>
    </row>
    <row r="1693" spans="1:7" x14ac:dyDescent="0.3">
      <c r="A1693" t="s">
        <v>13039</v>
      </c>
      <c r="B1693" t="s">
        <v>3412</v>
      </c>
      <c r="C1693" t="s">
        <v>3413</v>
      </c>
      <c r="D1693" s="1" t="s">
        <v>427</v>
      </c>
      <c r="E1693" s="3">
        <v>321</v>
      </c>
      <c r="F1693" s="3">
        <f t="shared" si="52"/>
        <v>81.116700000000009</v>
      </c>
      <c r="G1693" s="3">
        <f t="shared" si="53"/>
        <v>402.11670000000004</v>
      </c>
    </row>
    <row r="1694" spans="1:7" x14ac:dyDescent="0.3">
      <c r="A1694" t="s">
        <v>13039</v>
      </c>
      <c r="B1694" t="s">
        <v>3414</v>
      </c>
      <c r="C1694" t="s">
        <v>3415</v>
      </c>
      <c r="D1694" s="1" t="s">
        <v>427</v>
      </c>
      <c r="E1694" s="3">
        <v>309.49</v>
      </c>
      <c r="F1694" s="3">
        <f t="shared" si="52"/>
        <v>78.208123000000015</v>
      </c>
      <c r="G1694" s="3">
        <f t="shared" si="53"/>
        <v>387.69812300000001</v>
      </c>
    </row>
    <row r="1695" spans="1:7" x14ac:dyDescent="0.3">
      <c r="A1695" t="s">
        <v>13039</v>
      </c>
      <c r="B1695" t="s">
        <v>3416</v>
      </c>
      <c r="C1695" t="s">
        <v>3417</v>
      </c>
      <c r="D1695" s="1" t="s">
        <v>427</v>
      </c>
      <c r="E1695" s="3">
        <v>178.2</v>
      </c>
      <c r="F1695" s="3">
        <f t="shared" si="52"/>
        <v>45.031140000000001</v>
      </c>
      <c r="G1695" s="3">
        <f t="shared" si="53"/>
        <v>223.23113999999998</v>
      </c>
    </row>
    <row r="1696" spans="1:7" x14ac:dyDescent="0.3">
      <c r="A1696" t="s">
        <v>13039</v>
      </c>
      <c r="B1696" t="s">
        <v>3418</v>
      </c>
      <c r="C1696" t="s">
        <v>3419</v>
      </c>
      <c r="D1696" s="1" t="s">
        <v>427</v>
      </c>
      <c r="E1696" s="3">
        <v>212.25</v>
      </c>
      <c r="F1696" s="3">
        <f t="shared" si="52"/>
        <v>53.63557500000001</v>
      </c>
      <c r="G1696" s="3">
        <f t="shared" si="53"/>
        <v>265.88557500000002</v>
      </c>
    </row>
    <row r="1697" spans="1:7" x14ac:dyDescent="0.3">
      <c r="A1697" t="s">
        <v>13039</v>
      </c>
      <c r="B1697" t="s">
        <v>3420</v>
      </c>
      <c r="C1697" t="s">
        <v>3421</v>
      </c>
      <c r="D1697" s="1" t="s">
        <v>427</v>
      </c>
      <c r="E1697" s="3">
        <v>206.44</v>
      </c>
      <c r="F1697" s="3">
        <f t="shared" si="52"/>
        <v>52.16738800000001</v>
      </c>
      <c r="G1697" s="3">
        <f t="shared" si="53"/>
        <v>258.60738800000001</v>
      </c>
    </row>
    <row r="1698" spans="1:7" x14ac:dyDescent="0.3">
      <c r="A1698" t="s">
        <v>13039</v>
      </c>
      <c r="B1698" t="s">
        <v>3422</v>
      </c>
      <c r="C1698" t="s">
        <v>3423</v>
      </c>
      <c r="D1698" s="1" t="s">
        <v>427</v>
      </c>
      <c r="E1698" s="3">
        <v>97.03</v>
      </c>
      <c r="F1698" s="3">
        <f t="shared" si="52"/>
        <v>24.519481000000003</v>
      </c>
      <c r="G1698" s="3">
        <f t="shared" si="53"/>
        <v>121.549481</v>
      </c>
    </row>
    <row r="1699" spans="1:7" x14ac:dyDescent="0.3">
      <c r="A1699" t="s">
        <v>13039</v>
      </c>
      <c r="B1699" t="s">
        <v>3424</v>
      </c>
      <c r="C1699" t="s">
        <v>3425</v>
      </c>
      <c r="D1699" s="1" t="s">
        <v>38</v>
      </c>
      <c r="E1699" s="3">
        <v>6.06</v>
      </c>
      <c r="F1699" s="3">
        <f t="shared" si="52"/>
        <v>1.5313620000000001</v>
      </c>
      <c r="G1699" s="3">
        <f t="shared" si="53"/>
        <v>7.5913620000000002</v>
      </c>
    </row>
    <row r="1700" spans="1:7" x14ac:dyDescent="0.3">
      <c r="A1700" t="s">
        <v>13039</v>
      </c>
      <c r="B1700" t="s">
        <v>3426</v>
      </c>
      <c r="C1700" t="s">
        <v>3427</v>
      </c>
      <c r="D1700" s="1" t="s">
        <v>2904</v>
      </c>
      <c r="E1700" s="3">
        <v>40.880000000000003</v>
      </c>
      <c r="F1700" s="3">
        <f t="shared" si="52"/>
        <v>10.330376000000003</v>
      </c>
      <c r="G1700" s="3">
        <f t="shared" si="53"/>
        <v>51.210376000000004</v>
      </c>
    </row>
    <row r="1701" spans="1:7" x14ac:dyDescent="0.3">
      <c r="A1701" t="s">
        <v>13039</v>
      </c>
      <c r="B1701" t="s">
        <v>3428</v>
      </c>
      <c r="C1701" t="s">
        <v>3429</v>
      </c>
      <c r="D1701" s="1" t="s">
        <v>2904</v>
      </c>
      <c r="E1701" s="3">
        <v>52.38</v>
      </c>
      <c r="F1701" s="3">
        <f t="shared" si="52"/>
        <v>13.236426000000003</v>
      </c>
      <c r="G1701" s="3">
        <f t="shared" si="53"/>
        <v>65.616426000000004</v>
      </c>
    </row>
    <row r="1702" spans="1:7" x14ac:dyDescent="0.3">
      <c r="A1702" t="s">
        <v>13039</v>
      </c>
      <c r="B1702" t="s">
        <v>3430</v>
      </c>
      <c r="C1702" t="s">
        <v>3431</v>
      </c>
      <c r="D1702" s="1" t="s">
        <v>2904</v>
      </c>
      <c r="E1702" s="3">
        <v>42.99</v>
      </c>
      <c r="F1702" s="3">
        <f t="shared" si="52"/>
        <v>10.863573000000002</v>
      </c>
      <c r="G1702" s="3">
        <f t="shared" si="53"/>
        <v>53.853573000000004</v>
      </c>
    </row>
    <row r="1703" spans="1:7" x14ac:dyDescent="0.3">
      <c r="A1703" t="s">
        <v>13039</v>
      </c>
      <c r="B1703" t="s">
        <v>3432</v>
      </c>
      <c r="C1703" t="s">
        <v>3433</v>
      </c>
      <c r="D1703" s="1" t="s">
        <v>2904</v>
      </c>
      <c r="E1703" s="3">
        <v>49.36</v>
      </c>
      <c r="F1703" s="3">
        <f t="shared" si="52"/>
        <v>12.473272000000001</v>
      </c>
      <c r="G1703" s="3">
        <f t="shared" si="53"/>
        <v>61.833272000000001</v>
      </c>
    </row>
    <row r="1704" spans="1:7" x14ac:dyDescent="0.3">
      <c r="A1704" t="s">
        <v>13039</v>
      </c>
      <c r="B1704" t="s">
        <v>3434</v>
      </c>
      <c r="C1704" t="s">
        <v>3435</v>
      </c>
      <c r="D1704" s="1" t="s">
        <v>2904</v>
      </c>
      <c r="E1704" s="3">
        <v>62.97</v>
      </c>
      <c r="F1704" s="3">
        <f t="shared" si="52"/>
        <v>15.912519000000001</v>
      </c>
      <c r="G1704" s="3">
        <f t="shared" si="53"/>
        <v>78.882519000000002</v>
      </c>
    </row>
    <row r="1705" spans="1:7" x14ac:dyDescent="0.3">
      <c r="A1705" t="s">
        <v>13039</v>
      </c>
      <c r="B1705" t="s">
        <v>3436</v>
      </c>
      <c r="C1705" t="s">
        <v>3437</v>
      </c>
      <c r="D1705" s="1" t="s">
        <v>2904</v>
      </c>
      <c r="E1705" s="3">
        <v>51.61</v>
      </c>
      <c r="F1705" s="3">
        <f t="shared" si="52"/>
        <v>13.041847000000002</v>
      </c>
      <c r="G1705" s="3">
        <f t="shared" si="53"/>
        <v>64.651847000000004</v>
      </c>
    </row>
    <row r="1706" spans="1:7" x14ac:dyDescent="0.3">
      <c r="A1706" t="s">
        <v>13039</v>
      </c>
      <c r="B1706" t="s">
        <v>3438</v>
      </c>
      <c r="C1706" t="s">
        <v>3439</v>
      </c>
      <c r="D1706" s="1" t="s">
        <v>2904</v>
      </c>
      <c r="E1706" s="3">
        <v>56.9</v>
      </c>
      <c r="F1706" s="3">
        <f t="shared" si="52"/>
        <v>14.378630000000001</v>
      </c>
      <c r="G1706" s="3">
        <f t="shared" si="53"/>
        <v>71.278629999999993</v>
      </c>
    </row>
    <row r="1707" spans="1:7" x14ac:dyDescent="0.3">
      <c r="A1707" t="s">
        <v>13039</v>
      </c>
      <c r="B1707" t="s">
        <v>3440</v>
      </c>
      <c r="C1707" t="s">
        <v>3441</v>
      </c>
      <c r="D1707" s="1" t="s">
        <v>2904</v>
      </c>
      <c r="E1707" s="3">
        <v>73.849999999999994</v>
      </c>
      <c r="F1707" s="3">
        <f t="shared" si="52"/>
        <v>18.661895000000001</v>
      </c>
      <c r="G1707" s="3">
        <f t="shared" si="53"/>
        <v>92.511894999999996</v>
      </c>
    </row>
    <row r="1708" spans="1:7" x14ac:dyDescent="0.3">
      <c r="A1708" t="s">
        <v>13039</v>
      </c>
      <c r="B1708" t="s">
        <v>3442</v>
      </c>
      <c r="C1708" t="s">
        <v>3443</v>
      </c>
      <c r="D1708" s="1" t="s">
        <v>2904</v>
      </c>
      <c r="E1708" s="3">
        <v>60.23</v>
      </c>
      <c r="F1708" s="3">
        <f t="shared" si="52"/>
        <v>15.220121000000001</v>
      </c>
      <c r="G1708" s="3">
        <f t="shared" si="53"/>
        <v>75.450120999999996</v>
      </c>
    </row>
    <row r="1709" spans="1:7" x14ac:dyDescent="0.3">
      <c r="A1709" t="s">
        <v>13039</v>
      </c>
      <c r="B1709" t="s">
        <v>3444</v>
      </c>
      <c r="C1709" t="s">
        <v>3445</v>
      </c>
      <c r="D1709" s="1" t="s">
        <v>2904</v>
      </c>
      <c r="E1709" s="3">
        <v>31.43</v>
      </c>
      <c r="F1709" s="3">
        <f t="shared" si="52"/>
        <v>7.9423610000000009</v>
      </c>
      <c r="G1709" s="3">
        <f t="shared" si="53"/>
        <v>39.372360999999998</v>
      </c>
    </row>
    <row r="1710" spans="1:7" x14ac:dyDescent="0.3">
      <c r="A1710" t="s">
        <v>13039</v>
      </c>
      <c r="B1710" t="s">
        <v>3446</v>
      </c>
      <c r="C1710" t="s">
        <v>3447</v>
      </c>
      <c r="D1710" s="1" t="s">
        <v>2904</v>
      </c>
      <c r="E1710" s="3">
        <v>41.87</v>
      </c>
      <c r="F1710" s="3">
        <f t="shared" si="52"/>
        <v>10.580549000000001</v>
      </c>
      <c r="G1710" s="3">
        <f t="shared" si="53"/>
        <v>52.450548999999995</v>
      </c>
    </row>
    <row r="1711" spans="1:7" x14ac:dyDescent="0.3">
      <c r="A1711" t="s">
        <v>13039</v>
      </c>
      <c r="B1711" t="s">
        <v>3448</v>
      </c>
      <c r="C1711" t="s">
        <v>3449</v>
      </c>
      <c r="D1711" s="1" t="s">
        <v>2904</v>
      </c>
      <c r="E1711" s="3">
        <v>34.729999999999997</v>
      </c>
      <c r="F1711" s="3">
        <f t="shared" si="52"/>
        <v>8.7762710000000013</v>
      </c>
      <c r="G1711" s="3">
        <f t="shared" si="53"/>
        <v>43.506270999999998</v>
      </c>
    </row>
    <row r="1712" spans="1:7" x14ac:dyDescent="0.3">
      <c r="A1712" t="s">
        <v>13039</v>
      </c>
      <c r="B1712" t="s">
        <v>3450</v>
      </c>
      <c r="C1712" t="s">
        <v>3451</v>
      </c>
      <c r="D1712" s="1" t="s">
        <v>2904</v>
      </c>
      <c r="E1712" s="3">
        <v>30.36</v>
      </c>
      <c r="F1712" s="3">
        <f t="shared" si="52"/>
        <v>7.6719720000000011</v>
      </c>
      <c r="G1712" s="3">
        <f t="shared" si="53"/>
        <v>38.031972000000003</v>
      </c>
    </row>
    <row r="1713" spans="1:7" x14ac:dyDescent="0.3">
      <c r="A1713" t="s">
        <v>13039</v>
      </c>
      <c r="B1713" t="s">
        <v>3452</v>
      </c>
      <c r="C1713" t="s">
        <v>3453</v>
      </c>
      <c r="D1713" s="1" t="s">
        <v>2904</v>
      </c>
      <c r="E1713" s="3">
        <v>32.590000000000003</v>
      </c>
      <c r="F1713" s="3">
        <f t="shared" si="52"/>
        <v>8.2354930000000017</v>
      </c>
      <c r="G1713" s="3">
        <f t="shared" si="53"/>
        <v>40.825493000000009</v>
      </c>
    </row>
    <row r="1714" spans="1:7" x14ac:dyDescent="0.3">
      <c r="A1714" t="s">
        <v>13039</v>
      </c>
      <c r="B1714" t="s">
        <v>3454</v>
      </c>
      <c r="C1714" t="s">
        <v>3455</v>
      </c>
      <c r="D1714" s="1" t="s">
        <v>2904</v>
      </c>
      <c r="E1714" s="3">
        <v>43.17</v>
      </c>
      <c r="F1714" s="3">
        <f t="shared" si="52"/>
        <v>10.909059000000003</v>
      </c>
      <c r="G1714" s="3">
        <f t="shared" si="53"/>
        <v>54.079059000000001</v>
      </c>
    </row>
    <row r="1715" spans="1:7" x14ac:dyDescent="0.3">
      <c r="A1715" t="s">
        <v>13039</v>
      </c>
      <c r="B1715" t="s">
        <v>3456</v>
      </c>
      <c r="C1715" t="s">
        <v>3457</v>
      </c>
      <c r="D1715" s="1" t="s">
        <v>2904</v>
      </c>
      <c r="E1715" s="3">
        <v>64.44</v>
      </c>
      <c r="F1715" s="3">
        <f t="shared" si="52"/>
        <v>16.283988000000001</v>
      </c>
      <c r="G1715" s="3">
        <f t="shared" si="53"/>
        <v>80.723987999999991</v>
      </c>
    </row>
    <row r="1716" spans="1:7" x14ac:dyDescent="0.3">
      <c r="A1716" t="s">
        <v>13039</v>
      </c>
      <c r="B1716" t="s">
        <v>3458</v>
      </c>
      <c r="C1716" t="s">
        <v>3459</v>
      </c>
      <c r="D1716" s="1" t="s">
        <v>2904</v>
      </c>
      <c r="E1716" s="3">
        <v>85.57</v>
      </c>
      <c r="F1716" s="3">
        <f t="shared" si="52"/>
        <v>21.623539000000001</v>
      </c>
      <c r="G1716" s="3">
        <f t="shared" si="53"/>
        <v>107.19353899999999</v>
      </c>
    </row>
    <row r="1717" spans="1:7" x14ac:dyDescent="0.3">
      <c r="A1717" t="s">
        <v>13039</v>
      </c>
      <c r="B1717" t="s">
        <v>3460</v>
      </c>
      <c r="C1717" t="s">
        <v>3461</v>
      </c>
      <c r="D1717" s="1" t="s">
        <v>2904</v>
      </c>
      <c r="E1717" s="3">
        <v>22.5</v>
      </c>
      <c r="F1717" s="3">
        <f t="shared" si="52"/>
        <v>5.6857500000000005</v>
      </c>
      <c r="G1717" s="3">
        <f t="shared" si="53"/>
        <v>28.185749999999999</v>
      </c>
    </row>
    <row r="1718" spans="1:7" x14ac:dyDescent="0.3">
      <c r="A1718" t="s">
        <v>13039</v>
      </c>
      <c r="B1718" t="s">
        <v>3462</v>
      </c>
      <c r="C1718" t="s">
        <v>3463</v>
      </c>
      <c r="D1718" s="1" t="s">
        <v>2904</v>
      </c>
      <c r="E1718" s="3">
        <v>29.31</v>
      </c>
      <c r="F1718" s="3">
        <f t="shared" si="52"/>
        <v>7.4066370000000008</v>
      </c>
      <c r="G1718" s="3">
        <f t="shared" si="53"/>
        <v>36.716636999999999</v>
      </c>
    </row>
    <row r="1719" spans="1:7" x14ac:dyDescent="0.3">
      <c r="A1719" t="s">
        <v>13039</v>
      </c>
      <c r="B1719" t="s">
        <v>3464</v>
      </c>
      <c r="C1719" t="s">
        <v>3465</v>
      </c>
      <c r="D1719" s="1" t="s">
        <v>2904</v>
      </c>
      <c r="E1719" s="3">
        <v>191.03</v>
      </c>
      <c r="F1719" s="3">
        <f t="shared" si="52"/>
        <v>48.273281000000004</v>
      </c>
      <c r="G1719" s="3">
        <f t="shared" si="53"/>
        <v>239.303281</v>
      </c>
    </row>
    <row r="1720" spans="1:7" x14ac:dyDescent="0.3">
      <c r="A1720" t="s">
        <v>13039</v>
      </c>
      <c r="B1720" t="s">
        <v>3466</v>
      </c>
      <c r="C1720" t="s">
        <v>3467</v>
      </c>
      <c r="D1720" s="1" t="s">
        <v>2904</v>
      </c>
      <c r="E1720" s="3">
        <v>186.46</v>
      </c>
      <c r="F1720" s="3">
        <f t="shared" si="52"/>
        <v>47.118442000000009</v>
      </c>
      <c r="G1720" s="3">
        <f t="shared" si="53"/>
        <v>233.57844200000002</v>
      </c>
    </row>
    <row r="1721" spans="1:7" x14ac:dyDescent="0.3">
      <c r="A1721" t="s">
        <v>13039</v>
      </c>
      <c r="B1721" t="s">
        <v>3468</v>
      </c>
      <c r="C1721" t="s">
        <v>3469</v>
      </c>
      <c r="D1721" s="1" t="s">
        <v>2904</v>
      </c>
      <c r="E1721" s="3">
        <v>183.93</v>
      </c>
      <c r="F1721" s="3">
        <f t="shared" si="52"/>
        <v>46.47911100000001</v>
      </c>
      <c r="G1721" s="3">
        <f t="shared" si="53"/>
        <v>230.40911100000002</v>
      </c>
    </row>
    <row r="1722" spans="1:7" x14ac:dyDescent="0.3">
      <c r="A1722" t="s">
        <v>13039</v>
      </c>
      <c r="B1722" t="s">
        <v>3470</v>
      </c>
      <c r="C1722" t="s">
        <v>3471</v>
      </c>
      <c r="D1722" s="1" t="s">
        <v>2904</v>
      </c>
      <c r="E1722" s="3">
        <v>215</v>
      </c>
      <c r="F1722" s="3">
        <f t="shared" si="52"/>
        <v>54.330500000000008</v>
      </c>
      <c r="G1722" s="3">
        <f t="shared" si="53"/>
        <v>269.33050000000003</v>
      </c>
    </row>
    <row r="1723" spans="1:7" x14ac:dyDescent="0.3">
      <c r="A1723" t="s">
        <v>13039</v>
      </c>
      <c r="B1723" t="s">
        <v>3472</v>
      </c>
      <c r="C1723" t="s">
        <v>3473</v>
      </c>
      <c r="D1723" s="1" t="s">
        <v>427</v>
      </c>
      <c r="E1723" s="3">
        <v>456.73</v>
      </c>
      <c r="F1723" s="3">
        <f t="shared" si="52"/>
        <v>115.41567100000002</v>
      </c>
      <c r="G1723" s="3">
        <f t="shared" si="53"/>
        <v>572.14567099999999</v>
      </c>
    </row>
    <row r="1724" spans="1:7" x14ac:dyDescent="0.3">
      <c r="A1724" t="s">
        <v>13039</v>
      </c>
      <c r="B1724" t="s">
        <v>3474</v>
      </c>
      <c r="C1724" t="s">
        <v>3475</v>
      </c>
      <c r="D1724" s="1" t="s">
        <v>427</v>
      </c>
      <c r="E1724" s="3">
        <v>278.82</v>
      </c>
      <c r="F1724" s="3">
        <f t="shared" si="52"/>
        <v>70.457814000000013</v>
      </c>
      <c r="G1724" s="3">
        <f t="shared" si="53"/>
        <v>349.27781400000003</v>
      </c>
    </row>
    <row r="1725" spans="1:7" x14ac:dyDescent="0.3">
      <c r="A1725" t="s">
        <v>13039</v>
      </c>
      <c r="B1725" t="s">
        <v>3476</v>
      </c>
      <c r="C1725" t="s">
        <v>3477</v>
      </c>
      <c r="D1725" s="1" t="s">
        <v>2904</v>
      </c>
      <c r="E1725" s="3">
        <v>203.51</v>
      </c>
      <c r="F1725" s="3">
        <f t="shared" si="52"/>
        <v>51.426977000000008</v>
      </c>
      <c r="G1725" s="3">
        <f t="shared" si="53"/>
        <v>254.93697700000001</v>
      </c>
    </row>
    <row r="1726" spans="1:7" x14ac:dyDescent="0.3">
      <c r="A1726" t="s">
        <v>13039</v>
      </c>
      <c r="B1726" t="s">
        <v>3478</v>
      </c>
      <c r="C1726" t="s">
        <v>3479</v>
      </c>
      <c r="D1726" s="1" t="s">
        <v>2904</v>
      </c>
      <c r="E1726" s="3">
        <v>617.1</v>
      </c>
      <c r="F1726" s="3">
        <f t="shared" si="52"/>
        <v>155.94117000000003</v>
      </c>
      <c r="G1726" s="3">
        <f t="shared" si="53"/>
        <v>773.04117000000008</v>
      </c>
    </row>
    <row r="1727" spans="1:7" x14ac:dyDescent="0.3">
      <c r="A1727" t="s">
        <v>13039</v>
      </c>
      <c r="B1727" t="s">
        <v>3480</v>
      </c>
      <c r="C1727" t="s">
        <v>3481</v>
      </c>
      <c r="D1727" s="1" t="s">
        <v>2904</v>
      </c>
      <c r="E1727" s="3">
        <v>532.88</v>
      </c>
      <c r="F1727" s="3">
        <f t="shared" si="52"/>
        <v>134.65877600000002</v>
      </c>
      <c r="G1727" s="3">
        <f t="shared" si="53"/>
        <v>667.53877599999998</v>
      </c>
    </row>
    <row r="1728" spans="1:7" x14ac:dyDescent="0.3">
      <c r="A1728" t="s">
        <v>13039</v>
      </c>
      <c r="B1728" t="s">
        <v>3482</v>
      </c>
      <c r="C1728" t="s">
        <v>3483</v>
      </c>
      <c r="D1728" s="1" t="s">
        <v>427</v>
      </c>
      <c r="E1728" s="3">
        <v>106.87</v>
      </c>
      <c r="F1728" s="3">
        <f t="shared" si="52"/>
        <v>27.006049000000004</v>
      </c>
      <c r="G1728" s="3">
        <f t="shared" si="53"/>
        <v>133.87604900000002</v>
      </c>
    </row>
    <row r="1729" spans="1:7" x14ac:dyDescent="0.3">
      <c r="A1729" t="s">
        <v>13039</v>
      </c>
      <c r="B1729" t="s">
        <v>3484</v>
      </c>
      <c r="C1729" t="s">
        <v>3485</v>
      </c>
      <c r="D1729" s="1" t="s">
        <v>2904</v>
      </c>
      <c r="E1729" s="3">
        <v>18.53</v>
      </c>
      <c r="F1729" s="3">
        <f t="shared" si="52"/>
        <v>4.6825310000000009</v>
      </c>
      <c r="G1729" s="3">
        <f t="shared" si="53"/>
        <v>23.212531000000002</v>
      </c>
    </row>
    <row r="1730" spans="1:7" x14ac:dyDescent="0.3">
      <c r="A1730" t="s">
        <v>13039</v>
      </c>
      <c r="B1730" t="s">
        <v>3486</v>
      </c>
      <c r="C1730" t="s">
        <v>3487</v>
      </c>
      <c r="D1730" s="1" t="s">
        <v>427</v>
      </c>
      <c r="E1730" s="3">
        <v>825.78</v>
      </c>
      <c r="F1730" s="3">
        <f t="shared" si="52"/>
        <v>208.67460600000001</v>
      </c>
      <c r="G1730" s="3">
        <f t="shared" si="53"/>
        <v>1034.454606</v>
      </c>
    </row>
    <row r="1731" spans="1:7" x14ac:dyDescent="0.3">
      <c r="A1731" t="s">
        <v>13039</v>
      </c>
      <c r="B1731" t="s">
        <v>3488</v>
      </c>
      <c r="C1731" t="s">
        <v>3489</v>
      </c>
      <c r="D1731" s="1" t="s">
        <v>427</v>
      </c>
      <c r="E1731" s="3">
        <v>431.86</v>
      </c>
      <c r="F1731" s="3">
        <f t="shared" si="52"/>
        <v>109.13102200000002</v>
      </c>
      <c r="G1731" s="3">
        <f t="shared" si="53"/>
        <v>540.99102200000004</v>
      </c>
    </row>
    <row r="1732" spans="1:7" x14ac:dyDescent="0.3">
      <c r="A1732" t="s">
        <v>13039</v>
      </c>
      <c r="B1732" t="s">
        <v>3490</v>
      </c>
      <c r="C1732" t="s">
        <v>3491</v>
      </c>
      <c r="D1732" s="1" t="s">
        <v>427</v>
      </c>
      <c r="E1732" s="3">
        <v>591.11</v>
      </c>
      <c r="F1732" s="3">
        <f t="shared" si="52"/>
        <v>149.37349700000001</v>
      </c>
      <c r="G1732" s="3">
        <f t="shared" si="53"/>
        <v>740.48349700000006</v>
      </c>
    </row>
    <row r="1733" spans="1:7" x14ac:dyDescent="0.3">
      <c r="A1733" t="s">
        <v>13039</v>
      </c>
      <c r="B1733" t="s">
        <v>3492</v>
      </c>
      <c r="C1733" t="s">
        <v>3493</v>
      </c>
      <c r="D1733" s="1" t="s">
        <v>427</v>
      </c>
      <c r="E1733" s="3">
        <v>405.29</v>
      </c>
      <c r="F1733" s="3">
        <f t="shared" si="52"/>
        <v>102.41678300000002</v>
      </c>
      <c r="G1733" s="3">
        <f t="shared" si="53"/>
        <v>507.70678300000003</v>
      </c>
    </row>
    <row r="1734" spans="1:7" x14ac:dyDescent="0.3">
      <c r="A1734" t="s">
        <v>13039</v>
      </c>
      <c r="B1734" t="s">
        <v>3494</v>
      </c>
      <c r="C1734" t="s">
        <v>3495</v>
      </c>
      <c r="D1734" s="1" t="s">
        <v>2904</v>
      </c>
      <c r="E1734" s="3">
        <v>14.14</v>
      </c>
      <c r="F1734" s="3">
        <f t="shared" si="52"/>
        <v>3.5731780000000009</v>
      </c>
      <c r="G1734" s="3">
        <f t="shared" si="53"/>
        <v>17.713178000000003</v>
      </c>
    </row>
    <row r="1735" spans="1:7" x14ac:dyDescent="0.3">
      <c r="A1735" t="s">
        <v>13039</v>
      </c>
      <c r="B1735" t="s">
        <v>3496</v>
      </c>
      <c r="C1735" t="s">
        <v>3497</v>
      </c>
      <c r="D1735" s="1" t="s">
        <v>2904</v>
      </c>
      <c r="E1735" s="3">
        <v>3.8</v>
      </c>
      <c r="F1735" s="3">
        <f t="shared" ref="F1735:F1798" si="54">+E1735*$F$4</f>
        <v>0.96026000000000011</v>
      </c>
      <c r="G1735" s="3">
        <f t="shared" ref="G1735:G1798" si="55">+E1735+F1735</f>
        <v>4.7602599999999997</v>
      </c>
    </row>
    <row r="1736" spans="1:7" x14ac:dyDescent="0.3">
      <c r="A1736" t="s">
        <v>13039</v>
      </c>
      <c r="B1736" t="s">
        <v>3498</v>
      </c>
      <c r="C1736" t="s">
        <v>3499</v>
      </c>
      <c r="D1736" s="1" t="s">
        <v>427</v>
      </c>
      <c r="E1736" s="3">
        <v>8.0299999999999994</v>
      </c>
      <c r="F1736" s="3">
        <f t="shared" si="54"/>
        <v>2.0291810000000003</v>
      </c>
      <c r="G1736" s="3">
        <f t="shared" si="55"/>
        <v>10.059180999999999</v>
      </c>
    </row>
    <row r="1737" spans="1:7" x14ac:dyDescent="0.3">
      <c r="A1737" t="s">
        <v>13039</v>
      </c>
      <c r="B1737" t="s">
        <v>3500</v>
      </c>
      <c r="C1737" t="s">
        <v>3501</v>
      </c>
      <c r="D1737" s="1" t="s">
        <v>2904</v>
      </c>
      <c r="E1737" s="3">
        <v>17.77</v>
      </c>
      <c r="F1737" s="3">
        <f t="shared" si="54"/>
        <v>4.4904790000000006</v>
      </c>
      <c r="G1737" s="3">
        <f t="shared" si="55"/>
        <v>22.260479</v>
      </c>
    </row>
    <row r="1738" spans="1:7" x14ac:dyDescent="0.3">
      <c r="A1738" t="s">
        <v>13039</v>
      </c>
      <c r="B1738" t="s">
        <v>3502</v>
      </c>
      <c r="C1738" t="s">
        <v>3503</v>
      </c>
      <c r="D1738" s="1" t="s">
        <v>427</v>
      </c>
      <c r="E1738" s="3">
        <v>62.56</v>
      </c>
      <c r="F1738" s="3">
        <f t="shared" si="54"/>
        <v>15.808912000000003</v>
      </c>
      <c r="G1738" s="3">
        <f t="shared" si="55"/>
        <v>78.368912000000009</v>
      </c>
    </row>
    <row r="1739" spans="1:7" x14ac:dyDescent="0.3">
      <c r="A1739" t="s">
        <v>13039</v>
      </c>
      <c r="B1739" t="s">
        <v>3504</v>
      </c>
      <c r="C1739" t="s">
        <v>3505</v>
      </c>
      <c r="D1739" s="1" t="s">
        <v>427</v>
      </c>
      <c r="E1739" s="3">
        <v>44.99</v>
      </c>
      <c r="F1739" s="3">
        <f t="shared" si="54"/>
        <v>11.368973000000002</v>
      </c>
      <c r="G1739" s="3">
        <f t="shared" si="55"/>
        <v>56.358973000000006</v>
      </c>
    </row>
    <row r="1740" spans="1:7" x14ac:dyDescent="0.3">
      <c r="A1740" t="s">
        <v>13039</v>
      </c>
      <c r="B1740" t="s">
        <v>3506</v>
      </c>
      <c r="C1740" t="s">
        <v>3507</v>
      </c>
      <c r="D1740" s="1" t="s">
        <v>2904</v>
      </c>
      <c r="E1740" s="3">
        <v>1.19</v>
      </c>
      <c r="F1740" s="3">
        <f t="shared" si="54"/>
        <v>0.30071300000000001</v>
      </c>
      <c r="G1740" s="3">
        <f t="shared" si="55"/>
        <v>1.490713</v>
      </c>
    </row>
    <row r="1741" spans="1:7" x14ac:dyDescent="0.3">
      <c r="A1741" t="s">
        <v>13039</v>
      </c>
      <c r="B1741" t="s">
        <v>3508</v>
      </c>
      <c r="C1741" t="s">
        <v>3509</v>
      </c>
      <c r="D1741" s="1" t="s">
        <v>195</v>
      </c>
      <c r="E1741" s="3">
        <v>205.8</v>
      </c>
      <c r="F1741" s="3">
        <f t="shared" si="54"/>
        <v>52.005660000000013</v>
      </c>
      <c r="G1741" s="3">
        <f t="shared" si="55"/>
        <v>257.80566000000005</v>
      </c>
    </row>
    <row r="1742" spans="1:7" x14ac:dyDescent="0.3">
      <c r="A1742" t="s">
        <v>13039</v>
      </c>
      <c r="B1742" t="s">
        <v>3510</v>
      </c>
      <c r="C1742" t="s">
        <v>3511</v>
      </c>
      <c r="D1742" s="1" t="s">
        <v>195</v>
      </c>
      <c r="E1742" s="3">
        <v>64.34</v>
      </c>
      <c r="F1742" s="3">
        <f t="shared" si="54"/>
        <v>16.258718000000002</v>
      </c>
      <c r="G1742" s="3">
        <f t="shared" si="55"/>
        <v>80.598718000000005</v>
      </c>
    </row>
    <row r="1743" spans="1:7" x14ac:dyDescent="0.3">
      <c r="A1743" t="s">
        <v>13039</v>
      </c>
      <c r="B1743" t="s">
        <v>3512</v>
      </c>
      <c r="C1743" t="s">
        <v>3513</v>
      </c>
      <c r="D1743" s="1" t="s">
        <v>195</v>
      </c>
      <c r="E1743" s="3">
        <v>67.77</v>
      </c>
      <c r="F1743" s="3">
        <f t="shared" si="54"/>
        <v>17.125479000000002</v>
      </c>
      <c r="G1743" s="3">
        <f t="shared" si="55"/>
        <v>84.895478999999995</v>
      </c>
    </row>
    <row r="1744" spans="1:7" x14ac:dyDescent="0.3">
      <c r="A1744" t="s">
        <v>13039</v>
      </c>
      <c r="B1744" t="s">
        <v>3514</v>
      </c>
      <c r="C1744" t="s">
        <v>3515</v>
      </c>
      <c r="D1744" s="1" t="s">
        <v>195</v>
      </c>
      <c r="E1744" s="3">
        <v>77.09</v>
      </c>
      <c r="F1744" s="3">
        <f t="shared" si="54"/>
        <v>19.480643000000004</v>
      </c>
      <c r="G1744" s="3">
        <f t="shared" si="55"/>
        <v>96.570643000000004</v>
      </c>
    </row>
    <row r="1745" spans="1:7" x14ac:dyDescent="0.3">
      <c r="A1745" t="s">
        <v>13039</v>
      </c>
      <c r="B1745" t="s">
        <v>3516</v>
      </c>
      <c r="C1745" t="s">
        <v>3517</v>
      </c>
      <c r="D1745" s="1" t="s">
        <v>195</v>
      </c>
      <c r="E1745" s="3">
        <v>88.27</v>
      </c>
      <c r="F1745" s="3">
        <f t="shared" si="54"/>
        <v>22.305829000000003</v>
      </c>
      <c r="G1745" s="3">
        <f t="shared" si="55"/>
        <v>110.575829</v>
      </c>
    </row>
    <row r="1746" spans="1:7" x14ac:dyDescent="0.3">
      <c r="A1746" t="s">
        <v>13039</v>
      </c>
      <c r="B1746" t="s">
        <v>3518</v>
      </c>
      <c r="C1746" t="s">
        <v>3519</v>
      </c>
      <c r="D1746" s="1" t="s">
        <v>195</v>
      </c>
      <c r="E1746" s="3">
        <v>91.79</v>
      </c>
      <c r="F1746" s="3">
        <f t="shared" si="54"/>
        <v>23.195333000000005</v>
      </c>
      <c r="G1746" s="3">
        <f t="shared" si="55"/>
        <v>114.98533300000001</v>
      </c>
    </row>
    <row r="1747" spans="1:7" x14ac:dyDescent="0.3">
      <c r="A1747" t="s">
        <v>13039</v>
      </c>
      <c r="B1747" t="s">
        <v>3520</v>
      </c>
      <c r="C1747" t="s">
        <v>3521</v>
      </c>
      <c r="D1747" s="1" t="s">
        <v>195</v>
      </c>
      <c r="E1747" s="3">
        <v>99.3</v>
      </c>
      <c r="F1747" s="3">
        <f t="shared" si="54"/>
        <v>25.093110000000003</v>
      </c>
      <c r="G1747" s="3">
        <f t="shared" si="55"/>
        <v>124.39311000000001</v>
      </c>
    </row>
    <row r="1748" spans="1:7" x14ac:dyDescent="0.3">
      <c r="A1748" t="s">
        <v>13039</v>
      </c>
      <c r="B1748" t="s">
        <v>3522</v>
      </c>
      <c r="C1748" t="s">
        <v>3523</v>
      </c>
      <c r="D1748" s="1" t="s">
        <v>195</v>
      </c>
      <c r="E1748" s="3">
        <v>105.52</v>
      </c>
      <c r="F1748" s="3">
        <f t="shared" si="54"/>
        <v>26.664904000000003</v>
      </c>
      <c r="G1748" s="3">
        <f t="shared" si="55"/>
        <v>132.18490399999999</v>
      </c>
    </row>
    <row r="1749" spans="1:7" x14ac:dyDescent="0.3">
      <c r="A1749" t="s">
        <v>13039</v>
      </c>
      <c r="B1749" t="s">
        <v>3524</v>
      </c>
      <c r="C1749" t="s">
        <v>3525</v>
      </c>
      <c r="D1749" s="1" t="s">
        <v>195</v>
      </c>
      <c r="E1749" s="3">
        <v>122.87</v>
      </c>
      <c r="F1749" s="3">
        <f t="shared" si="54"/>
        <v>31.049249000000007</v>
      </c>
      <c r="G1749" s="3">
        <f t="shared" si="55"/>
        <v>153.91924900000001</v>
      </c>
    </row>
    <row r="1750" spans="1:7" x14ac:dyDescent="0.3">
      <c r="A1750" t="s">
        <v>13039</v>
      </c>
      <c r="B1750" t="s">
        <v>3526</v>
      </c>
      <c r="C1750" t="s">
        <v>3527</v>
      </c>
      <c r="D1750" s="1" t="s">
        <v>195</v>
      </c>
      <c r="E1750" s="3">
        <v>157.69</v>
      </c>
      <c r="F1750" s="3">
        <f t="shared" si="54"/>
        <v>39.848263000000003</v>
      </c>
      <c r="G1750" s="3">
        <f t="shared" si="55"/>
        <v>197.538263</v>
      </c>
    </row>
    <row r="1751" spans="1:7" x14ac:dyDescent="0.3">
      <c r="A1751" t="s">
        <v>13039</v>
      </c>
      <c r="B1751" t="s">
        <v>3528</v>
      </c>
      <c r="C1751" t="s">
        <v>3529</v>
      </c>
      <c r="D1751" s="1" t="s">
        <v>195</v>
      </c>
      <c r="E1751" s="3">
        <v>19.72</v>
      </c>
      <c r="F1751" s="3">
        <f t="shared" si="54"/>
        <v>4.983244</v>
      </c>
      <c r="G1751" s="3">
        <f t="shared" si="55"/>
        <v>24.703243999999998</v>
      </c>
    </row>
    <row r="1752" spans="1:7" x14ac:dyDescent="0.3">
      <c r="A1752" t="s">
        <v>13039</v>
      </c>
      <c r="B1752" t="s">
        <v>3530</v>
      </c>
      <c r="C1752" t="s">
        <v>3531</v>
      </c>
      <c r="D1752" s="1" t="s">
        <v>195</v>
      </c>
      <c r="E1752" s="3">
        <v>31.82</v>
      </c>
      <c r="F1752" s="3">
        <f t="shared" si="54"/>
        <v>8.0409140000000008</v>
      </c>
      <c r="G1752" s="3">
        <f t="shared" si="55"/>
        <v>39.860914000000001</v>
      </c>
    </row>
    <row r="1753" spans="1:7" x14ac:dyDescent="0.3">
      <c r="A1753" t="s">
        <v>13039</v>
      </c>
      <c r="B1753" t="s">
        <v>3532</v>
      </c>
      <c r="C1753" t="s">
        <v>3533</v>
      </c>
      <c r="D1753" s="1" t="s">
        <v>195</v>
      </c>
      <c r="E1753" s="3">
        <v>38.909999999999997</v>
      </c>
      <c r="F1753" s="3">
        <f t="shared" si="54"/>
        <v>9.8325570000000013</v>
      </c>
      <c r="G1753" s="3">
        <f t="shared" si="55"/>
        <v>48.742556999999998</v>
      </c>
    </row>
    <row r="1754" spans="1:7" x14ac:dyDescent="0.3">
      <c r="A1754" t="s">
        <v>13039</v>
      </c>
      <c r="B1754" t="s">
        <v>3534</v>
      </c>
      <c r="C1754" t="s">
        <v>3535</v>
      </c>
      <c r="D1754" s="1" t="s">
        <v>195</v>
      </c>
      <c r="E1754" s="3">
        <v>0.76</v>
      </c>
      <c r="F1754" s="3">
        <f t="shared" si="54"/>
        <v>0.19205200000000003</v>
      </c>
      <c r="G1754" s="3">
        <f t="shared" si="55"/>
        <v>0.95205200000000001</v>
      </c>
    </row>
    <row r="1755" spans="1:7" x14ac:dyDescent="0.3">
      <c r="A1755" t="s">
        <v>13039</v>
      </c>
      <c r="B1755" t="s">
        <v>3536</v>
      </c>
      <c r="C1755" t="s">
        <v>3537</v>
      </c>
      <c r="D1755" s="1" t="s">
        <v>2904</v>
      </c>
      <c r="E1755" s="3">
        <v>13.45</v>
      </c>
      <c r="F1755" s="3">
        <f t="shared" si="54"/>
        <v>3.3988150000000004</v>
      </c>
      <c r="G1755" s="3">
        <f t="shared" si="55"/>
        <v>16.848814999999998</v>
      </c>
    </row>
    <row r="1756" spans="1:7" x14ac:dyDescent="0.3">
      <c r="A1756" t="s">
        <v>13039</v>
      </c>
      <c r="B1756" t="s">
        <v>3538</v>
      </c>
      <c r="C1756" t="s">
        <v>3539</v>
      </c>
      <c r="D1756" s="1" t="s">
        <v>2904</v>
      </c>
      <c r="E1756" s="3">
        <v>4.01</v>
      </c>
      <c r="F1756" s="3">
        <f t="shared" si="54"/>
        <v>1.0133270000000001</v>
      </c>
      <c r="G1756" s="3">
        <f t="shared" si="55"/>
        <v>5.0233270000000001</v>
      </c>
    </row>
    <row r="1757" spans="1:7" x14ac:dyDescent="0.3">
      <c r="A1757" t="s">
        <v>13039</v>
      </c>
      <c r="B1757" t="s">
        <v>3540</v>
      </c>
      <c r="C1757" t="s">
        <v>3541</v>
      </c>
      <c r="D1757" s="1" t="s">
        <v>195</v>
      </c>
      <c r="E1757" s="3">
        <v>10.28</v>
      </c>
      <c r="F1757" s="3">
        <f t="shared" si="54"/>
        <v>2.5977560000000004</v>
      </c>
      <c r="G1757" s="3">
        <f t="shared" si="55"/>
        <v>12.877756</v>
      </c>
    </row>
    <row r="1758" spans="1:7" x14ac:dyDescent="0.3">
      <c r="A1758" t="s">
        <v>13039</v>
      </c>
      <c r="B1758" t="s">
        <v>3542</v>
      </c>
      <c r="C1758" t="s">
        <v>3543</v>
      </c>
      <c r="D1758" s="1" t="s">
        <v>195</v>
      </c>
      <c r="E1758" s="3">
        <v>11.39</v>
      </c>
      <c r="F1758" s="3">
        <f t="shared" si="54"/>
        <v>2.8782530000000004</v>
      </c>
      <c r="G1758" s="3">
        <f t="shared" si="55"/>
        <v>14.268253000000001</v>
      </c>
    </row>
    <row r="1759" spans="1:7" x14ac:dyDescent="0.3">
      <c r="A1759" t="s">
        <v>13039</v>
      </c>
      <c r="B1759" t="s">
        <v>3544</v>
      </c>
      <c r="C1759" t="s">
        <v>3545</v>
      </c>
      <c r="D1759" s="1" t="s">
        <v>427</v>
      </c>
      <c r="E1759" s="3">
        <v>139.06</v>
      </c>
      <c r="F1759" s="3">
        <f t="shared" si="54"/>
        <v>35.140462000000007</v>
      </c>
      <c r="G1759" s="3">
        <f t="shared" si="55"/>
        <v>174.20046200000002</v>
      </c>
    </row>
    <row r="1760" spans="1:7" x14ac:dyDescent="0.3">
      <c r="A1760" t="s">
        <v>13039</v>
      </c>
      <c r="B1760" t="s">
        <v>3546</v>
      </c>
      <c r="C1760" t="s">
        <v>3547</v>
      </c>
      <c r="D1760" s="1" t="s">
        <v>427</v>
      </c>
      <c r="E1760" s="3">
        <v>143.52000000000001</v>
      </c>
      <c r="F1760" s="3">
        <f t="shared" si="54"/>
        <v>36.26750400000001</v>
      </c>
      <c r="G1760" s="3">
        <f t="shared" si="55"/>
        <v>179.78750400000001</v>
      </c>
    </row>
    <row r="1761" spans="1:7" x14ac:dyDescent="0.3">
      <c r="A1761" t="s">
        <v>13039</v>
      </c>
      <c r="B1761" t="s">
        <v>3548</v>
      </c>
      <c r="C1761" t="s">
        <v>3549</v>
      </c>
      <c r="D1761" s="1" t="s">
        <v>427</v>
      </c>
      <c r="E1761" s="3">
        <v>144.08000000000001</v>
      </c>
      <c r="F1761" s="3">
        <f t="shared" si="54"/>
        <v>36.409016000000008</v>
      </c>
      <c r="G1761" s="3">
        <f t="shared" si="55"/>
        <v>180.48901600000002</v>
      </c>
    </row>
    <row r="1762" spans="1:7" x14ac:dyDescent="0.3">
      <c r="A1762" t="s">
        <v>13039</v>
      </c>
      <c r="B1762" t="s">
        <v>3550</v>
      </c>
      <c r="C1762" t="s">
        <v>3551</v>
      </c>
      <c r="D1762" s="1" t="s">
        <v>427</v>
      </c>
      <c r="E1762" s="3">
        <v>144.63999999999999</v>
      </c>
      <c r="F1762" s="3">
        <f t="shared" si="54"/>
        <v>36.550528</v>
      </c>
      <c r="G1762" s="3">
        <f t="shared" si="55"/>
        <v>181.19052799999997</v>
      </c>
    </row>
    <row r="1763" spans="1:7" x14ac:dyDescent="0.3">
      <c r="A1763" t="s">
        <v>13039</v>
      </c>
      <c r="B1763" t="s">
        <v>3552</v>
      </c>
      <c r="C1763" t="s">
        <v>3553</v>
      </c>
      <c r="D1763" s="1" t="s">
        <v>427</v>
      </c>
      <c r="E1763" s="3">
        <v>145.19</v>
      </c>
      <c r="F1763" s="3">
        <f t="shared" si="54"/>
        <v>36.689513000000005</v>
      </c>
      <c r="G1763" s="3">
        <f t="shared" si="55"/>
        <v>181.879513</v>
      </c>
    </row>
    <row r="1764" spans="1:7" x14ac:dyDescent="0.3">
      <c r="A1764" t="s">
        <v>13039</v>
      </c>
      <c r="B1764" t="s">
        <v>3554</v>
      </c>
      <c r="C1764" t="s">
        <v>3555</v>
      </c>
      <c r="D1764" s="1" t="s">
        <v>427</v>
      </c>
      <c r="E1764" s="3">
        <v>146.31</v>
      </c>
      <c r="F1764" s="3">
        <f t="shared" si="54"/>
        <v>36.972537000000003</v>
      </c>
      <c r="G1764" s="3">
        <f t="shared" si="55"/>
        <v>183.28253699999999</v>
      </c>
    </row>
    <row r="1765" spans="1:7" x14ac:dyDescent="0.3">
      <c r="A1765" t="s">
        <v>13039</v>
      </c>
      <c r="B1765" t="s">
        <v>3556</v>
      </c>
      <c r="C1765" t="s">
        <v>3557</v>
      </c>
      <c r="D1765" s="1" t="s">
        <v>427</v>
      </c>
      <c r="E1765" s="3">
        <v>147.41999999999999</v>
      </c>
      <c r="F1765" s="3">
        <f t="shared" si="54"/>
        <v>37.253034</v>
      </c>
      <c r="G1765" s="3">
        <f t="shared" si="55"/>
        <v>184.67303399999997</v>
      </c>
    </row>
    <row r="1766" spans="1:7" x14ac:dyDescent="0.3">
      <c r="A1766" t="s">
        <v>13039</v>
      </c>
      <c r="B1766" t="s">
        <v>3558</v>
      </c>
      <c r="C1766" t="s">
        <v>3559</v>
      </c>
      <c r="D1766" s="1" t="s">
        <v>427</v>
      </c>
      <c r="E1766" s="3">
        <v>149.1</v>
      </c>
      <c r="F1766" s="3">
        <f t="shared" si="54"/>
        <v>37.677570000000003</v>
      </c>
      <c r="G1766" s="3">
        <f t="shared" si="55"/>
        <v>186.77757</v>
      </c>
    </row>
    <row r="1767" spans="1:7" x14ac:dyDescent="0.3">
      <c r="A1767" t="s">
        <v>13039</v>
      </c>
      <c r="B1767" t="s">
        <v>3560</v>
      </c>
      <c r="C1767" t="s">
        <v>3561</v>
      </c>
      <c r="D1767" s="1" t="s">
        <v>427</v>
      </c>
      <c r="E1767" s="3">
        <v>140.74</v>
      </c>
      <c r="F1767" s="3">
        <f t="shared" si="54"/>
        <v>35.56499800000001</v>
      </c>
      <c r="G1767" s="3">
        <f t="shared" si="55"/>
        <v>176.30499800000001</v>
      </c>
    </row>
    <row r="1768" spans="1:7" x14ac:dyDescent="0.3">
      <c r="A1768" t="s">
        <v>13039</v>
      </c>
      <c r="B1768" t="s">
        <v>3562</v>
      </c>
      <c r="C1768" t="s">
        <v>3563</v>
      </c>
      <c r="D1768" s="1" t="s">
        <v>427</v>
      </c>
      <c r="E1768" s="3">
        <v>150.21</v>
      </c>
      <c r="F1768" s="3">
        <f t="shared" si="54"/>
        <v>37.958067000000007</v>
      </c>
      <c r="G1768" s="3">
        <f t="shared" si="55"/>
        <v>188.16806700000001</v>
      </c>
    </row>
    <row r="1769" spans="1:7" x14ac:dyDescent="0.3">
      <c r="A1769" t="s">
        <v>13039</v>
      </c>
      <c r="B1769" t="s">
        <v>3564</v>
      </c>
      <c r="C1769" t="s">
        <v>3565</v>
      </c>
      <c r="D1769" s="1" t="s">
        <v>427</v>
      </c>
      <c r="E1769" s="3">
        <v>141.29</v>
      </c>
      <c r="F1769" s="3">
        <f t="shared" si="54"/>
        <v>35.703983000000001</v>
      </c>
      <c r="G1769" s="3">
        <f t="shared" si="55"/>
        <v>176.99398299999999</v>
      </c>
    </row>
    <row r="1770" spans="1:7" x14ac:dyDescent="0.3">
      <c r="A1770" t="s">
        <v>13039</v>
      </c>
      <c r="B1770" t="s">
        <v>3566</v>
      </c>
      <c r="C1770" t="s">
        <v>3567</v>
      </c>
      <c r="D1770" s="1" t="s">
        <v>427</v>
      </c>
      <c r="E1770" s="3">
        <v>142.41</v>
      </c>
      <c r="F1770" s="3">
        <f t="shared" si="54"/>
        <v>35.987007000000006</v>
      </c>
      <c r="G1770" s="3">
        <f t="shared" si="55"/>
        <v>178.397007</v>
      </c>
    </row>
    <row r="1771" spans="1:7" x14ac:dyDescent="0.3">
      <c r="A1771" t="s">
        <v>13039</v>
      </c>
      <c r="B1771" t="s">
        <v>3568</v>
      </c>
      <c r="C1771" t="s">
        <v>3569</v>
      </c>
      <c r="D1771" s="1" t="s">
        <v>427</v>
      </c>
      <c r="E1771" s="3">
        <v>142.97</v>
      </c>
      <c r="F1771" s="3">
        <f t="shared" si="54"/>
        <v>36.128519000000004</v>
      </c>
      <c r="G1771" s="3">
        <f t="shared" si="55"/>
        <v>179.09851900000001</v>
      </c>
    </row>
    <row r="1772" spans="1:7" x14ac:dyDescent="0.3">
      <c r="A1772" t="s">
        <v>13039</v>
      </c>
      <c r="B1772" t="s">
        <v>3570</v>
      </c>
      <c r="C1772" t="s">
        <v>3571</v>
      </c>
      <c r="D1772" s="1" t="s">
        <v>427</v>
      </c>
      <c r="E1772" s="3">
        <v>88.71</v>
      </c>
      <c r="F1772" s="3">
        <f t="shared" si="54"/>
        <v>22.417017000000001</v>
      </c>
      <c r="G1772" s="3">
        <f t="shared" si="55"/>
        <v>111.127017</v>
      </c>
    </row>
    <row r="1773" spans="1:7" x14ac:dyDescent="0.3">
      <c r="A1773" t="s">
        <v>13039</v>
      </c>
      <c r="B1773" t="s">
        <v>3572</v>
      </c>
      <c r="C1773" t="s">
        <v>3573</v>
      </c>
      <c r="D1773" s="1" t="s">
        <v>427</v>
      </c>
      <c r="E1773" s="3">
        <v>87.33</v>
      </c>
      <c r="F1773" s="3">
        <f t="shared" si="54"/>
        <v>22.068291000000002</v>
      </c>
      <c r="G1773" s="3">
        <f t="shared" si="55"/>
        <v>109.398291</v>
      </c>
    </row>
    <row r="1774" spans="1:7" x14ac:dyDescent="0.3">
      <c r="A1774" t="s">
        <v>13039</v>
      </c>
      <c r="B1774" t="s">
        <v>3574</v>
      </c>
      <c r="C1774" t="s">
        <v>3575</v>
      </c>
      <c r="D1774" s="1" t="s">
        <v>427</v>
      </c>
      <c r="E1774" s="3">
        <v>137.69</v>
      </c>
      <c r="F1774" s="3">
        <f t="shared" si="54"/>
        <v>34.794263000000001</v>
      </c>
      <c r="G1774" s="3">
        <f t="shared" si="55"/>
        <v>172.484263</v>
      </c>
    </row>
    <row r="1775" spans="1:7" x14ac:dyDescent="0.3">
      <c r="A1775" t="s">
        <v>13039</v>
      </c>
      <c r="B1775" t="s">
        <v>3576</v>
      </c>
      <c r="C1775" t="s">
        <v>3577</v>
      </c>
      <c r="D1775" s="1" t="s">
        <v>427</v>
      </c>
      <c r="E1775" s="3">
        <v>142.15</v>
      </c>
      <c r="F1775" s="3">
        <f t="shared" si="54"/>
        <v>35.921305000000004</v>
      </c>
      <c r="G1775" s="3">
        <f t="shared" si="55"/>
        <v>178.071305</v>
      </c>
    </row>
    <row r="1776" spans="1:7" x14ac:dyDescent="0.3">
      <c r="A1776" t="s">
        <v>13039</v>
      </c>
      <c r="B1776" t="s">
        <v>3578</v>
      </c>
      <c r="C1776" t="s">
        <v>3579</v>
      </c>
      <c r="D1776" s="1" t="s">
        <v>427</v>
      </c>
      <c r="E1776" s="3">
        <v>142.71</v>
      </c>
      <c r="F1776" s="3">
        <f t="shared" si="54"/>
        <v>36.06281700000001</v>
      </c>
      <c r="G1776" s="3">
        <f t="shared" si="55"/>
        <v>178.77281700000003</v>
      </c>
    </row>
    <row r="1777" spans="1:7" x14ac:dyDescent="0.3">
      <c r="A1777" t="s">
        <v>13039</v>
      </c>
      <c r="B1777" t="s">
        <v>3580</v>
      </c>
      <c r="C1777" t="s">
        <v>3581</v>
      </c>
      <c r="D1777" s="1" t="s">
        <v>427</v>
      </c>
      <c r="E1777" s="3">
        <v>143.26</v>
      </c>
      <c r="F1777" s="3">
        <f t="shared" si="54"/>
        <v>36.201802000000001</v>
      </c>
      <c r="G1777" s="3">
        <f t="shared" si="55"/>
        <v>179.46180199999998</v>
      </c>
    </row>
    <row r="1778" spans="1:7" x14ac:dyDescent="0.3">
      <c r="A1778" t="s">
        <v>13039</v>
      </c>
      <c r="B1778" t="s">
        <v>3582</v>
      </c>
      <c r="C1778" t="s">
        <v>3583</v>
      </c>
      <c r="D1778" s="1" t="s">
        <v>427</v>
      </c>
      <c r="E1778" s="3">
        <v>143.82</v>
      </c>
      <c r="F1778" s="3">
        <f t="shared" si="54"/>
        <v>36.343314000000007</v>
      </c>
      <c r="G1778" s="3">
        <f t="shared" si="55"/>
        <v>180.16331400000001</v>
      </c>
    </row>
    <row r="1779" spans="1:7" x14ac:dyDescent="0.3">
      <c r="A1779" t="s">
        <v>13039</v>
      </c>
      <c r="B1779" t="s">
        <v>3584</v>
      </c>
      <c r="C1779" t="s">
        <v>3585</v>
      </c>
      <c r="D1779" s="1" t="s">
        <v>427</v>
      </c>
      <c r="E1779" s="3">
        <v>144.94</v>
      </c>
      <c r="F1779" s="3">
        <f t="shared" si="54"/>
        <v>36.626338000000004</v>
      </c>
      <c r="G1779" s="3">
        <f t="shared" si="55"/>
        <v>181.566338</v>
      </c>
    </row>
    <row r="1780" spans="1:7" x14ac:dyDescent="0.3">
      <c r="A1780" t="s">
        <v>13039</v>
      </c>
      <c r="B1780" t="s">
        <v>3586</v>
      </c>
      <c r="C1780" t="s">
        <v>3587</v>
      </c>
      <c r="D1780" s="1" t="s">
        <v>427</v>
      </c>
      <c r="E1780" s="3">
        <v>146.05000000000001</v>
      </c>
      <c r="F1780" s="3">
        <f t="shared" si="54"/>
        <v>36.906835000000008</v>
      </c>
      <c r="G1780" s="3">
        <f t="shared" si="55"/>
        <v>182.95683500000001</v>
      </c>
    </row>
    <row r="1781" spans="1:7" x14ac:dyDescent="0.3">
      <c r="A1781" t="s">
        <v>13039</v>
      </c>
      <c r="B1781" t="s">
        <v>3588</v>
      </c>
      <c r="C1781" t="s">
        <v>3589</v>
      </c>
      <c r="D1781" s="1" t="s">
        <v>427</v>
      </c>
      <c r="E1781" s="3">
        <v>147.72</v>
      </c>
      <c r="F1781" s="3">
        <f t="shared" si="54"/>
        <v>37.328844000000004</v>
      </c>
      <c r="G1781" s="3">
        <f t="shared" si="55"/>
        <v>185.048844</v>
      </c>
    </row>
    <row r="1782" spans="1:7" x14ac:dyDescent="0.3">
      <c r="A1782" t="s">
        <v>13039</v>
      </c>
      <c r="B1782" t="s">
        <v>3590</v>
      </c>
      <c r="C1782" t="s">
        <v>3591</v>
      </c>
      <c r="D1782" s="1" t="s">
        <v>427</v>
      </c>
      <c r="E1782" s="3">
        <v>139.36000000000001</v>
      </c>
      <c r="F1782" s="3">
        <f t="shared" si="54"/>
        <v>35.216272000000011</v>
      </c>
      <c r="G1782" s="3">
        <f t="shared" si="55"/>
        <v>174.57627200000002</v>
      </c>
    </row>
    <row r="1783" spans="1:7" x14ac:dyDescent="0.3">
      <c r="A1783" t="s">
        <v>13039</v>
      </c>
      <c r="B1783" t="s">
        <v>3592</v>
      </c>
      <c r="C1783" t="s">
        <v>3593</v>
      </c>
      <c r="D1783" s="1" t="s">
        <v>427</v>
      </c>
      <c r="E1783" s="3">
        <v>148.84</v>
      </c>
      <c r="F1783" s="3">
        <f t="shared" si="54"/>
        <v>37.611868000000008</v>
      </c>
      <c r="G1783" s="3">
        <f t="shared" si="55"/>
        <v>186.45186800000002</v>
      </c>
    </row>
    <row r="1784" spans="1:7" x14ac:dyDescent="0.3">
      <c r="A1784" t="s">
        <v>13039</v>
      </c>
      <c r="B1784" t="s">
        <v>3594</v>
      </c>
      <c r="C1784" t="s">
        <v>3595</v>
      </c>
      <c r="D1784" s="1" t="s">
        <v>427</v>
      </c>
      <c r="E1784" s="3">
        <v>139.91999999999999</v>
      </c>
      <c r="F1784" s="3">
        <f t="shared" si="54"/>
        <v>35.357784000000002</v>
      </c>
      <c r="G1784" s="3">
        <f t="shared" si="55"/>
        <v>175.277784</v>
      </c>
    </row>
    <row r="1785" spans="1:7" x14ac:dyDescent="0.3">
      <c r="A1785" t="s">
        <v>13039</v>
      </c>
      <c r="B1785" t="s">
        <v>3596</v>
      </c>
      <c r="C1785" t="s">
        <v>3597</v>
      </c>
      <c r="D1785" s="1" t="s">
        <v>427</v>
      </c>
      <c r="E1785" s="3">
        <v>141.03</v>
      </c>
      <c r="F1785" s="3">
        <f t="shared" si="54"/>
        <v>35.638281000000006</v>
      </c>
      <c r="G1785" s="3">
        <f t="shared" si="55"/>
        <v>176.66828100000001</v>
      </c>
    </row>
    <row r="1786" spans="1:7" x14ac:dyDescent="0.3">
      <c r="A1786" t="s">
        <v>13039</v>
      </c>
      <c r="B1786" t="s">
        <v>3598</v>
      </c>
      <c r="C1786" t="s">
        <v>3599</v>
      </c>
      <c r="D1786" s="1" t="s">
        <v>427</v>
      </c>
      <c r="E1786" s="3">
        <v>141.59</v>
      </c>
      <c r="F1786" s="3">
        <f t="shared" si="54"/>
        <v>35.779793000000005</v>
      </c>
      <c r="G1786" s="3">
        <f t="shared" si="55"/>
        <v>177.36979300000002</v>
      </c>
    </row>
    <row r="1787" spans="1:7" x14ac:dyDescent="0.3">
      <c r="A1787" t="s">
        <v>13039</v>
      </c>
      <c r="B1787" t="s">
        <v>3600</v>
      </c>
      <c r="C1787" t="s">
        <v>3601</v>
      </c>
      <c r="D1787" s="1" t="s">
        <v>427</v>
      </c>
      <c r="E1787" s="3">
        <v>125.75</v>
      </c>
      <c r="F1787" s="3">
        <f t="shared" si="54"/>
        <v>31.777025000000005</v>
      </c>
      <c r="G1787" s="3">
        <f t="shared" si="55"/>
        <v>157.52702500000001</v>
      </c>
    </row>
    <row r="1788" spans="1:7" x14ac:dyDescent="0.3">
      <c r="A1788" t="s">
        <v>13039</v>
      </c>
      <c r="B1788" t="s">
        <v>3602</v>
      </c>
      <c r="C1788" t="s">
        <v>3603</v>
      </c>
      <c r="D1788" s="1" t="s">
        <v>427</v>
      </c>
      <c r="E1788" s="3">
        <v>139.82</v>
      </c>
      <c r="F1788" s="3">
        <f t="shared" si="54"/>
        <v>35.332514000000003</v>
      </c>
      <c r="G1788" s="3">
        <f t="shared" si="55"/>
        <v>175.152514</v>
      </c>
    </row>
    <row r="1789" spans="1:7" x14ac:dyDescent="0.3">
      <c r="A1789" t="s">
        <v>13039</v>
      </c>
      <c r="B1789" t="s">
        <v>3604</v>
      </c>
      <c r="C1789" t="s">
        <v>3605</v>
      </c>
      <c r="D1789" s="1" t="s">
        <v>427</v>
      </c>
      <c r="E1789" s="3">
        <v>140.81</v>
      </c>
      <c r="F1789" s="3">
        <f t="shared" si="54"/>
        <v>35.582687000000007</v>
      </c>
      <c r="G1789" s="3">
        <f t="shared" si="55"/>
        <v>176.39268700000002</v>
      </c>
    </row>
    <row r="1790" spans="1:7" x14ac:dyDescent="0.3">
      <c r="A1790" t="s">
        <v>13039</v>
      </c>
      <c r="B1790" t="s">
        <v>3606</v>
      </c>
      <c r="C1790" t="s">
        <v>3607</v>
      </c>
      <c r="D1790" s="1" t="s">
        <v>427</v>
      </c>
      <c r="E1790" s="3">
        <v>140.91</v>
      </c>
      <c r="F1790" s="3">
        <f t="shared" si="54"/>
        <v>35.607957000000006</v>
      </c>
      <c r="G1790" s="3">
        <f t="shared" si="55"/>
        <v>176.517957</v>
      </c>
    </row>
    <row r="1791" spans="1:7" x14ac:dyDescent="0.3">
      <c r="A1791" t="s">
        <v>13039</v>
      </c>
      <c r="B1791" t="s">
        <v>3608</v>
      </c>
      <c r="C1791" t="s">
        <v>3609</v>
      </c>
      <c r="D1791" s="1" t="s">
        <v>427</v>
      </c>
      <c r="E1791" s="3">
        <v>141.11000000000001</v>
      </c>
      <c r="F1791" s="3">
        <f t="shared" si="54"/>
        <v>35.658497000000011</v>
      </c>
      <c r="G1791" s="3">
        <f t="shared" si="55"/>
        <v>176.76849700000002</v>
      </c>
    </row>
    <row r="1792" spans="1:7" x14ac:dyDescent="0.3">
      <c r="A1792" t="s">
        <v>13039</v>
      </c>
      <c r="B1792" t="s">
        <v>3610</v>
      </c>
      <c r="C1792" t="s">
        <v>3611</v>
      </c>
      <c r="D1792" s="1" t="s">
        <v>427</v>
      </c>
      <c r="E1792" s="3">
        <v>141.21</v>
      </c>
      <c r="F1792" s="3">
        <f t="shared" si="54"/>
        <v>35.68376700000001</v>
      </c>
      <c r="G1792" s="3">
        <f t="shared" si="55"/>
        <v>176.89376700000003</v>
      </c>
    </row>
    <row r="1793" spans="1:7" x14ac:dyDescent="0.3">
      <c r="A1793" t="s">
        <v>13039</v>
      </c>
      <c r="B1793" t="s">
        <v>3612</v>
      </c>
      <c r="C1793" t="s">
        <v>3613</v>
      </c>
      <c r="D1793" s="1" t="s">
        <v>427</v>
      </c>
      <c r="E1793" s="3">
        <v>141.41</v>
      </c>
      <c r="F1793" s="3">
        <f t="shared" si="54"/>
        <v>35.734307000000001</v>
      </c>
      <c r="G1793" s="3">
        <f t="shared" si="55"/>
        <v>177.144307</v>
      </c>
    </row>
    <row r="1794" spans="1:7" x14ac:dyDescent="0.3">
      <c r="A1794" t="s">
        <v>13039</v>
      </c>
      <c r="B1794" t="s">
        <v>3614</v>
      </c>
      <c r="C1794" t="s">
        <v>3615</v>
      </c>
      <c r="D1794" s="1" t="s">
        <v>427</v>
      </c>
      <c r="E1794" s="3">
        <v>141.61000000000001</v>
      </c>
      <c r="F1794" s="3">
        <f t="shared" si="54"/>
        <v>35.784847000000006</v>
      </c>
      <c r="G1794" s="3">
        <f t="shared" si="55"/>
        <v>177.39484700000003</v>
      </c>
    </row>
    <row r="1795" spans="1:7" x14ac:dyDescent="0.3">
      <c r="A1795" t="s">
        <v>13039</v>
      </c>
      <c r="B1795" t="s">
        <v>3616</v>
      </c>
      <c r="C1795" t="s">
        <v>3617</v>
      </c>
      <c r="D1795" s="1" t="s">
        <v>427</v>
      </c>
      <c r="E1795" s="3">
        <v>142.01</v>
      </c>
      <c r="F1795" s="3">
        <f t="shared" si="54"/>
        <v>35.885927000000002</v>
      </c>
      <c r="G1795" s="3">
        <f t="shared" si="55"/>
        <v>177.895927</v>
      </c>
    </row>
    <row r="1796" spans="1:7" x14ac:dyDescent="0.3">
      <c r="A1796" t="s">
        <v>13039</v>
      </c>
      <c r="B1796" t="s">
        <v>3618</v>
      </c>
      <c r="C1796" t="s">
        <v>3619</v>
      </c>
      <c r="D1796" s="1" t="s">
        <v>427</v>
      </c>
      <c r="E1796" s="3">
        <v>140.12</v>
      </c>
      <c r="F1796" s="3">
        <f t="shared" si="54"/>
        <v>35.408324000000007</v>
      </c>
      <c r="G1796" s="3">
        <f t="shared" si="55"/>
        <v>175.528324</v>
      </c>
    </row>
    <row r="1797" spans="1:7" x14ac:dyDescent="0.3">
      <c r="A1797" t="s">
        <v>13039</v>
      </c>
      <c r="B1797" t="s">
        <v>3620</v>
      </c>
      <c r="C1797" t="s">
        <v>3621</v>
      </c>
      <c r="D1797" s="1" t="s">
        <v>427</v>
      </c>
      <c r="E1797" s="3">
        <v>142.30000000000001</v>
      </c>
      <c r="F1797" s="3">
        <f t="shared" si="54"/>
        <v>35.959210000000006</v>
      </c>
      <c r="G1797" s="3">
        <f t="shared" si="55"/>
        <v>178.25921000000002</v>
      </c>
    </row>
    <row r="1798" spans="1:7" x14ac:dyDescent="0.3">
      <c r="A1798" t="s">
        <v>13039</v>
      </c>
      <c r="B1798" t="s">
        <v>3622</v>
      </c>
      <c r="C1798" t="s">
        <v>3623</v>
      </c>
      <c r="D1798" s="1" t="s">
        <v>427</v>
      </c>
      <c r="E1798" s="3">
        <v>140.32</v>
      </c>
      <c r="F1798" s="3">
        <f t="shared" si="54"/>
        <v>35.458864000000005</v>
      </c>
      <c r="G1798" s="3">
        <f t="shared" si="55"/>
        <v>175.778864</v>
      </c>
    </row>
    <row r="1799" spans="1:7" x14ac:dyDescent="0.3">
      <c r="A1799" t="s">
        <v>13039</v>
      </c>
      <c r="B1799" t="s">
        <v>3624</v>
      </c>
      <c r="C1799" t="s">
        <v>3625</v>
      </c>
      <c r="D1799" s="1" t="s">
        <v>427</v>
      </c>
      <c r="E1799" s="3">
        <v>140.52000000000001</v>
      </c>
      <c r="F1799" s="3">
        <f t="shared" ref="F1799:F1862" si="56">+E1799*$F$4</f>
        <v>35.509404000000011</v>
      </c>
      <c r="G1799" s="3">
        <f t="shared" ref="G1799:G1862" si="57">+E1799+F1799</f>
        <v>176.02940400000003</v>
      </c>
    </row>
    <row r="1800" spans="1:7" x14ac:dyDescent="0.3">
      <c r="A1800" t="s">
        <v>13039</v>
      </c>
      <c r="B1800" t="s">
        <v>3626</v>
      </c>
      <c r="C1800" t="s">
        <v>3627</v>
      </c>
      <c r="D1800" s="1" t="s">
        <v>427</v>
      </c>
      <c r="E1800" s="3">
        <v>140.62</v>
      </c>
      <c r="F1800" s="3">
        <f t="shared" si="56"/>
        <v>35.53467400000001</v>
      </c>
      <c r="G1800" s="3">
        <f t="shared" si="57"/>
        <v>176.154674</v>
      </c>
    </row>
    <row r="1801" spans="1:7" x14ac:dyDescent="0.3">
      <c r="A1801" t="s">
        <v>13039</v>
      </c>
      <c r="B1801" t="s">
        <v>3628</v>
      </c>
      <c r="C1801" t="s">
        <v>3629</v>
      </c>
      <c r="D1801" s="1" t="s">
        <v>427</v>
      </c>
      <c r="E1801" s="3">
        <v>93.6</v>
      </c>
      <c r="F1801" s="3">
        <f t="shared" si="56"/>
        <v>23.652720000000002</v>
      </c>
      <c r="G1801" s="3">
        <f t="shared" si="57"/>
        <v>117.25272</v>
      </c>
    </row>
    <row r="1802" spans="1:7" x14ac:dyDescent="0.3">
      <c r="A1802" t="s">
        <v>13039</v>
      </c>
      <c r="B1802" t="s">
        <v>3630</v>
      </c>
      <c r="C1802" t="s">
        <v>3631</v>
      </c>
      <c r="D1802" s="1" t="s">
        <v>427</v>
      </c>
      <c r="E1802" s="3">
        <v>93.6</v>
      </c>
      <c r="F1802" s="3">
        <f t="shared" si="56"/>
        <v>23.652720000000002</v>
      </c>
      <c r="G1802" s="3">
        <f t="shared" si="57"/>
        <v>117.25272</v>
      </c>
    </row>
    <row r="1803" spans="1:7" x14ac:dyDescent="0.3">
      <c r="A1803" t="s">
        <v>13039</v>
      </c>
      <c r="B1803" t="s">
        <v>3632</v>
      </c>
      <c r="C1803" t="s">
        <v>3633</v>
      </c>
      <c r="D1803" s="1" t="s">
        <v>427</v>
      </c>
      <c r="E1803" s="3">
        <v>128.76</v>
      </c>
      <c r="F1803" s="3">
        <f t="shared" si="56"/>
        <v>32.537652000000001</v>
      </c>
      <c r="G1803" s="3">
        <f t="shared" si="57"/>
        <v>161.297652</v>
      </c>
    </row>
    <row r="1804" spans="1:7" x14ac:dyDescent="0.3">
      <c r="A1804" t="s">
        <v>13039</v>
      </c>
      <c r="B1804" t="s">
        <v>3634</v>
      </c>
      <c r="C1804" t="s">
        <v>3635</v>
      </c>
      <c r="D1804" s="1" t="s">
        <v>427</v>
      </c>
      <c r="E1804" s="3">
        <v>101.17</v>
      </c>
      <c r="F1804" s="3">
        <f t="shared" si="56"/>
        <v>25.565659000000004</v>
      </c>
      <c r="G1804" s="3">
        <f t="shared" si="57"/>
        <v>126.735659</v>
      </c>
    </row>
    <row r="1805" spans="1:7" x14ac:dyDescent="0.3">
      <c r="A1805" t="s">
        <v>13039</v>
      </c>
      <c r="B1805" t="s">
        <v>3636</v>
      </c>
      <c r="C1805" t="s">
        <v>3637</v>
      </c>
      <c r="D1805" s="1" t="s">
        <v>427</v>
      </c>
      <c r="E1805" s="3">
        <v>211.6</v>
      </c>
      <c r="F1805" s="3">
        <f t="shared" si="56"/>
        <v>53.471320000000006</v>
      </c>
      <c r="G1805" s="3">
        <f t="shared" si="57"/>
        <v>265.07132000000001</v>
      </c>
    </row>
    <row r="1806" spans="1:7" x14ac:dyDescent="0.3">
      <c r="A1806" t="s">
        <v>13039</v>
      </c>
      <c r="B1806" t="s">
        <v>3638</v>
      </c>
      <c r="C1806" t="s">
        <v>3639</v>
      </c>
      <c r="D1806" s="1" t="s">
        <v>427</v>
      </c>
      <c r="E1806" s="3">
        <v>130.6</v>
      </c>
      <c r="F1806" s="3">
        <f t="shared" si="56"/>
        <v>33.00262</v>
      </c>
      <c r="G1806" s="3">
        <f t="shared" si="57"/>
        <v>163.60262</v>
      </c>
    </row>
    <row r="1807" spans="1:7" x14ac:dyDescent="0.3">
      <c r="A1807" t="s">
        <v>13039</v>
      </c>
      <c r="B1807" t="s">
        <v>3640</v>
      </c>
      <c r="C1807" t="s">
        <v>3641</v>
      </c>
      <c r="D1807" s="1" t="s">
        <v>427</v>
      </c>
      <c r="E1807" s="3">
        <v>102.4</v>
      </c>
      <c r="F1807" s="3">
        <f t="shared" si="56"/>
        <v>25.876480000000004</v>
      </c>
      <c r="G1807" s="3">
        <f t="shared" si="57"/>
        <v>128.27648000000002</v>
      </c>
    </row>
    <row r="1808" spans="1:7" x14ac:dyDescent="0.3">
      <c r="A1808" t="s">
        <v>13039</v>
      </c>
      <c r="B1808" t="s">
        <v>3642</v>
      </c>
      <c r="C1808" t="s">
        <v>3643</v>
      </c>
      <c r="D1808" s="1" t="s">
        <v>427</v>
      </c>
      <c r="E1808" s="3">
        <v>215.28</v>
      </c>
      <c r="F1808" s="3">
        <f t="shared" si="56"/>
        <v>54.401256000000011</v>
      </c>
      <c r="G1808" s="3">
        <f t="shared" si="57"/>
        <v>269.68125600000002</v>
      </c>
    </row>
    <row r="1809" spans="1:7" x14ac:dyDescent="0.3">
      <c r="A1809" t="s">
        <v>13039</v>
      </c>
      <c r="B1809" t="s">
        <v>3644</v>
      </c>
      <c r="C1809" t="s">
        <v>3645</v>
      </c>
      <c r="D1809" s="1" t="s">
        <v>427</v>
      </c>
      <c r="E1809" s="3">
        <v>75.55</v>
      </c>
      <c r="F1809" s="3">
        <f t="shared" si="56"/>
        <v>19.091485000000002</v>
      </c>
      <c r="G1809" s="3">
        <f t="shared" si="57"/>
        <v>94.641485000000003</v>
      </c>
    </row>
    <row r="1810" spans="1:7" x14ac:dyDescent="0.3">
      <c r="A1810" t="s">
        <v>13039</v>
      </c>
      <c r="B1810" t="s">
        <v>3646</v>
      </c>
      <c r="C1810" t="s">
        <v>3647</v>
      </c>
      <c r="D1810" s="1" t="s">
        <v>427</v>
      </c>
      <c r="E1810" s="3">
        <v>53.2</v>
      </c>
      <c r="F1810" s="3">
        <f t="shared" si="56"/>
        <v>13.443640000000002</v>
      </c>
      <c r="G1810" s="3">
        <f t="shared" si="57"/>
        <v>66.643640000000005</v>
      </c>
    </row>
    <row r="1811" spans="1:7" x14ac:dyDescent="0.3">
      <c r="A1811" t="s">
        <v>13039</v>
      </c>
      <c r="B1811" t="s">
        <v>3648</v>
      </c>
      <c r="C1811" t="s">
        <v>3649</v>
      </c>
      <c r="D1811" s="1" t="s">
        <v>3650</v>
      </c>
      <c r="E1811" s="3">
        <v>19.63</v>
      </c>
      <c r="F1811" s="3">
        <f t="shared" si="56"/>
        <v>4.9605010000000007</v>
      </c>
      <c r="G1811" s="3">
        <f t="shared" si="57"/>
        <v>24.590501</v>
      </c>
    </row>
    <row r="1812" spans="1:7" x14ac:dyDescent="0.3">
      <c r="A1812" t="s">
        <v>13039</v>
      </c>
      <c r="B1812" t="s">
        <v>3651</v>
      </c>
      <c r="C1812" t="s">
        <v>3652</v>
      </c>
      <c r="D1812" s="1" t="s">
        <v>3650</v>
      </c>
      <c r="E1812" s="3">
        <v>26.18</v>
      </c>
      <c r="F1812" s="3">
        <f t="shared" si="56"/>
        <v>6.6156860000000011</v>
      </c>
      <c r="G1812" s="3">
        <f t="shared" si="57"/>
        <v>32.795686000000003</v>
      </c>
    </row>
    <row r="1813" spans="1:7" x14ac:dyDescent="0.3">
      <c r="A1813" t="s">
        <v>13039</v>
      </c>
      <c r="B1813" t="s">
        <v>3653</v>
      </c>
      <c r="C1813" t="s">
        <v>3654</v>
      </c>
      <c r="D1813" s="1" t="s">
        <v>3650</v>
      </c>
      <c r="E1813" s="3">
        <v>115.87</v>
      </c>
      <c r="F1813" s="3">
        <f t="shared" si="56"/>
        <v>29.280349000000005</v>
      </c>
      <c r="G1813" s="3">
        <f t="shared" si="57"/>
        <v>145.15034900000001</v>
      </c>
    </row>
    <row r="1814" spans="1:7" x14ac:dyDescent="0.3">
      <c r="A1814" t="s">
        <v>13039</v>
      </c>
      <c r="B1814" t="s">
        <v>3655</v>
      </c>
      <c r="C1814" t="s">
        <v>3656</v>
      </c>
      <c r="D1814" s="1" t="s">
        <v>3650</v>
      </c>
      <c r="E1814" s="3">
        <v>52.02</v>
      </c>
      <c r="F1814" s="3">
        <f t="shared" si="56"/>
        <v>13.145454000000003</v>
      </c>
      <c r="G1814" s="3">
        <f t="shared" si="57"/>
        <v>65.165454000000011</v>
      </c>
    </row>
    <row r="1815" spans="1:7" x14ac:dyDescent="0.3">
      <c r="A1815" t="s">
        <v>13039</v>
      </c>
      <c r="B1815" t="s">
        <v>3657</v>
      </c>
      <c r="C1815" t="s">
        <v>3658</v>
      </c>
      <c r="D1815" s="1" t="s">
        <v>3650</v>
      </c>
      <c r="E1815" s="3">
        <v>156.05000000000001</v>
      </c>
      <c r="F1815" s="3">
        <f t="shared" si="56"/>
        <v>39.433835000000009</v>
      </c>
      <c r="G1815" s="3">
        <f t="shared" si="57"/>
        <v>195.48383500000003</v>
      </c>
    </row>
    <row r="1816" spans="1:7" x14ac:dyDescent="0.3">
      <c r="A1816" t="s">
        <v>13039</v>
      </c>
      <c r="B1816" t="s">
        <v>3659</v>
      </c>
      <c r="C1816" t="s">
        <v>3660</v>
      </c>
      <c r="D1816" s="1" t="s">
        <v>3650</v>
      </c>
      <c r="E1816" s="3">
        <v>78.02</v>
      </c>
      <c r="F1816" s="3">
        <f t="shared" si="56"/>
        <v>19.715654000000001</v>
      </c>
      <c r="G1816" s="3">
        <f t="shared" si="57"/>
        <v>97.735653999999997</v>
      </c>
    </row>
    <row r="1817" spans="1:7" x14ac:dyDescent="0.3">
      <c r="A1817" t="s">
        <v>13039</v>
      </c>
      <c r="B1817" t="s">
        <v>3661</v>
      </c>
      <c r="C1817" t="s">
        <v>3662</v>
      </c>
      <c r="D1817" s="1" t="s">
        <v>427</v>
      </c>
      <c r="E1817" s="3">
        <v>6.57</v>
      </c>
      <c r="F1817" s="3">
        <f t="shared" si="56"/>
        <v>1.6602390000000002</v>
      </c>
      <c r="G1817" s="3">
        <f t="shared" si="57"/>
        <v>8.230239000000001</v>
      </c>
    </row>
    <row r="1818" spans="1:7" x14ac:dyDescent="0.3">
      <c r="A1818" t="s">
        <v>13039</v>
      </c>
      <c r="B1818" t="s">
        <v>3663</v>
      </c>
      <c r="C1818" t="s">
        <v>3664</v>
      </c>
      <c r="D1818" s="1" t="s">
        <v>427</v>
      </c>
      <c r="E1818" s="3">
        <v>6.79</v>
      </c>
      <c r="F1818" s="3">
        <f t="shared" si="56"/>
        <v>1.7158330000000002</v>
      </c>
      <c r="G1818" s="3">
        <f t="shared" si="57"/>
        <v>8.5058330000000009</v>
      </c>
    </row>
    <row r="1819" spans="1:7" x14ac:dyDescent="0.3">
      <c r="A1819" t="s">
        <v>13039</v>
      </c>
      <c r="B1819" t="s">
        <v>3665</v>
      </c>
      <c r="C1819" t="s">
        <v>3666</v>
      </c>
      <c r="D1819" s="1" t="s">
        <v>427</v>
      </c>
      <c r="E1819" s="3">
        <v>7.4</v>
      </c>
      <c r="F1819" s="3">
        <f t="shared" si="56"/>
        <v>1.8699800000000004</v>
      </c>
      <c r="G1819" s="3">
        <f t="shared" si="57"/>
        <v>9.2699800000000003</v>
      </c>
    </row>
    <row r="1820" spans="1:7" x14ac:dyDescent="0.3">
      <c r="A1820" t="s">
        <v>13039</v>
      </c>
      <c r="B1820" t="s">
        <v>3667</v>
      </c>
      <c r="C1820" t="s">
        <v>3668</v>
      </c>
      <c r="D1820" s="1" t="s">
        <v>427</v>
      </c>
      <c r="E1820" s="3">
        <v>7.67</v>
      </c>
      <c r="F1820" s="3">
        <f t="shared" si="56"/>
        <v>1.9382090000000003</v>
      </c>
      <c r="G1820" s="3">
        <f t="shared" si="57"/>
        <v>9.6082090000000004</v>
      </c>
    </row>
    <row r="1821" spans="1:7" x14ac:dyDescent="0.3">
      <c r="A1821" t="s">
        <v>13039</v>
      </c>
      <c r="B1821" t="s">
        <v>3669</v>
      </c>
      <c r="C1821" t="s">
        <v>3670</v>
      </c>
      <c r="D1821" s="1" t="s">
        <v>427</v>
      </c>
      <c r="E1821" s="3">
        <v>8.0399999999999991</v>
      </c>
      <c r="F1821" s="3">
        <f t="shared" si="56"/>
        <v>2.0317080000000001</v>
      </c>
      <c r="G1821" s="3">
        <f t="shared" si="57"/>
        <v>10.071707999999999</v>
      </c>
    </row>
    <row r="1822" spans="1:7" x14ac:dyDescent="0.3">
      <c r="A1822" t="s">
        <v>13039</v>
      </c>
      <c r="B1822" t="s">
        <v>3671</v>
      </c>
      <c r="C1822" t="s">
        <v>3672</v>
      </c>
      <c r="D1822" s="1" t="s">
        <v>427</v>
      </c>
      <c r="E1822" s="3">
        <v>40.06</v>
      </c>
      <c r="F1822" s="3">
        <f t="shared" si="56"/>
        <v>10.123162000000002</v>
      </c>
      <c r="G1822" s="3">
        <f t="shared" si="57"/>
        <v>50.183162000000003</v>
      </c>
    </row>
    <row r="1823" spans="1:7" x14ac:dyDescent="0.3">
      <c r="A1823" t="s">
        <v>13039</v>
      </c>
      <c r="B1823" t="s">
        <v>3673</v>
      </c>
      <c r="C1823" t="s">
        <v>3674</v>
      </c>
      <c r="D1823" s="1" t="s">
        <v>427</v>
      </c>
      <c r="E1823" s="3">
        <v>41.42</v>
      </c>
      <c r="F1823" s="3">
        <f t="shared" si="56"/>
        <v>10.466834000000002</v>
      </c>
      <c r="G1823" s="3">
        <f t="shared" si="57"/>
        <v>51.886834000000007</v>
      </c>
    </row>
    <row r="1824" spans="1:7" x14ac:dyDescent="0.3">
      <c r="A1824" t="s">
        <v>13039</v>
      </c>
      <c r="B1824" t="s">
        <v>3675</v>
      </c>
      <c r="C1824" t="s">
        <v>3676</v>
      </c>
      <c r="D1824" s="1" t="s">
        <v>427</v>
      </c>
      <c r="E1824" s="3">
        <v>43.55</v>
      </c>
      <c r="F1824" s="3">
        <f t="shared" si="56"/>
        <v>11.005085000000001</v>
      </c>
      <c r="G1824" s="3">
        <f t="shared" si="57"/>
        <v>54.555084999999998</v>
      </c>
    </row>
    <row r="1825" spans="1:7" x14ac:dyDescent="0.3">
      <c r="A1825" t="s">
        <v>13039</v>
      </c>
      <c r="B1825" t="s">
        <v>3677</v>
      </c>
      <c r="C1825" t="s">
        <v>3678</v>
      </c>
      <c r="D1825" s="1" t="s">
        <v>427</v>
      </c>
      <c r="E1825" s="3">
        <v>45.89</v>
      </c>
      <c r="F1825" s="3">
        <f t="shared" si="56"/>
        <v>11.596403000000002</v>
      </c>
      <c r="G1825" s="3">
        <f t="shared" si="57"/>
        <v>57.486403000000003</v>
      </c>
    </row>
    <row r="1826" spans="1:7" x14ac:dyDescent="0.3">
      <c r="A1826" t="s">
        <v>13039</v>
      </c>
      <c r="B1826" t="s">
        <v>3679</v>
      </c>
      <c r="C1826" t="s">
        <v>3680</v>
      </c>
      <c r="D1826" s="1" t="s">
        <v>427</v>
      </c>
      <c r="E1826" s="3">
        <v>48.53</v>
      </c>
      <c r="F1826" s="3">
        <f t="shared" si="56"/>
        <v>12.263531000000002</v>
      </c>
      <c r="G1826" s="3">
        <f t="shared" si="57"/>
        <v>60.793531000000002</v>
      </c>
    </row>
    <row r="1827" spans="1:7" x14ac:dyDescent="0.3">
      <c r="A1827" t="s">
        <v>13039</v>
      </c>
      <c r="B1827" t="s">
        <v>3681</v>
      </c>
      <c r="C1827" t="s">
        <v>3682</v>
      </c>
      <c r="D1827" s="1" t="s">
        <v>427</v>
      </c>
      <c r="E1827" s="3">
        <v>49.9</v>
      </c>
      <c r="F1827" s="3">
        <f t="shared" si="56"/>
        <v>12.609730000000001</v>
      </c>
      <c r="G1827" s="3">
        <f t="shared" si="57"/>
        <v>62.509729999999998</v>
      </c>
    </row>
    <row r="1828" spans="1:7" x14ac:dyDescent="0.3">
      <c r="A1828" t="s">
        <v>13039</v>
      </c>
      <c r="B1828" t="s">
        <v>3683</v>
      </c>
      <c r="C1828" t="s">
        <v>3684</v>
      </c>
      <c r="D1828" s="1" t="s">
        <v>427</v>
      </c>
      <c r="E1828" s="3">
        <v>51.33</v>
      </c>
      <c r="F1828" s="3">
        <f t="shared" si="56"/>
        <v>12.971091000000001</v>
      </c>
      <c r="G1828" s="3">
        <f t="shared" si="57"/>
        <v>64.301091</v>
      </c>
    </row>
    <row r="1829" spans="1:7" x14ac:dyDescent="0.3">
      <c r="A1829" t="s">
        <v>13039</v>
      </c>
      <c r="B1829" t="s">
        <v>3685</v>
      </c>
      <c r="C1829" t="s">
        <v>3686</v>
      </c>
      <c r="D1829" s="1" t="s">
        <v>427</v>
      </c>
      <c r="E1829" s="3">
        <v>53.18</v>
      </c>
      <c r="F1829" s="3">
        <f t="shared" si="56"/>
        <v>13.438586000000003</v>
      </c>
      <c r="G1829" s="3">
        <f t="shared" si="57"/>
        <v>66.618586000000008</v>
      </c>
    </row>
    <row r="1830" spans="1:7" x14ac:dyDescent="0.3">
      <c r="A1830" t="s">
        <v>13039</v>
      </c>
      <c r="B1830" t="s">
        <v>3687</v>
      </c>
      <c r="C1830" t="s">
        <v>3688</v>
      </c>
      <c r="D1830" s="1" t="s">
        <v>427</v>
      </c>
      <c r="E1830" s="3">
        <v>54.8</v>
      </c>
      <c r="F1830" s="3">
        <f t="shared" si="56"/>
        <v>13.84796</v>
      </c>
      <c r="G1830" s="3">
        <f t="shared" si="57"/>
        <v>68.647959999999998</v>
      </c>
    </row>
    <row r="1831" spans="1:7" x14ac:dyDescent="0.3">
      <c r="A1831" t="s">
        <v>13039</v>
      </c>
      <c r="B1831" t="s">
        <v>3689</v>
      </c>
      <c r="C1831" t="s">
        <v>3690</v>
      </c>
      <c r="D1831" s="1" t="s">
        <v>427</v>
      </c>
      <c r="E1831" s="3">
        <v>56.48</v>
      </c>
      <c r="F1831" s="3">
        <f t="shared" si="56"/>
        <v>14.272496000000002</v>
      </c>
      <c r="G1831" s="3">
        <f t="shared" si="57"/>
        <v>70.752495999999994</v>
      </c>
    </row>
    <row r="1832" spans="1:7" x14ac:dyDescent="0.3">
      <c r="A1832" t="s">
        <v>13039</v>
      </c>
      <c r="B1832" t="s">
        <v>3691</v>
      </c>
      <c r="C1832" t="s">
        <v>3692</v>
      </c>
      <c r="D1832" s="1" t="s">
        <v>427</v>
      </c>
      <c r="E1832" s="3">
        <v>8.32</v>
      </c>
      <c r="F1832" s="3">
        <f t="shared" si="56"/>
        <v>2.1024640000000003</v>
      </c>
      <c r="G1832" s="3">
        <f t="shared" si="57"/>
        <v>10.422464000000002</v>
      </c>
    </row>
    <row r="1833" spans="1:7" x14ac:dyDescent="0.3">
      <c r="A1833" t="s">
        <v>13039</v>
      </c>
      <c r="B1833" t="s">
        <v>3693</v>
      </c>
      <c r="C1833" t="s">
        <v>3694</v>
      </c>
      <c r="D1833" s="1" t="s">
        <v>427</v>
      </c>
      <c r="E1833" s="3">
        <v>8.67</v>
      </c>
      <c r="F1833" s="3">
        <f t="shared" si="56"/>
        <v>2.1909090000000004</v>
      </c>
      <c r="G1833" s="3">
        <f t="shared" si="57"/>
        <v>10.860908999999999</v>
      </c>
    </row>
    <row r="1834" spans="1:7" x14ac:dyDescent="0.3">
      <c r="A1834" t="s">
        <v>13039</v>
      </c>
      <c r="B1834" t="s">
        <v>3695</v>
      </c>
      <c r="C1834" t="s">
        <v>3696</v>
      </c>
      <c r="D1834" s="1" t="s">
        <v>427</v>
      </c>
      <c r="E1834" s="3">
        <v>9.24</v>
      </c>
      <c r="F1834" s="3">
        <f t="shared" si="56"/>
        <v>2.3349480000000002</v>
      </c>
      <c r="G1834" s="3">
        <f t="shared" si="57"/>
        <v>11.574948000000001</v>
      </c>
    </row>
    <row r="1835" spans="1:7" x14ac:dyDescent="0.3">
      <c r="A1835" t="s">
        <v>13039</v>
      </c>
      <c r="B1835" t="s">
        <v>3697</v>
      </c>
      <c r="C1835" t="s">
        <v>3698</v>
      </c>
      <c r="D1835" s="1" t="s">
        <v>427</v>
      </c>
      <c r="E1835" s="3">
        <v>9.6300000000000008</v>
      </c>
      <c r="F1835" s="3">
        <f t="shared" si="56"/>
        <v>2.4335010000000006</v>
      </c>
      <c r="G1835" s="3">
        <f t="shared" si="57"/>
        <v>12.063501000000002</v>
      </c>
    </row>
    <row r="1836" spans="1:7" x14ac:dyDescent="0.3">
      <c r="A1836" t="s">
        <v>13039</v>
      </c>
      <c r="B1836" t="s">
        <v>3699</v>
      </c>
      <c r="C1836" t="s">
        <v>3700</v>
      </c>
      <c r="D1836" s="1" t="s">
        <v>427</v>
      </c>
      <c r="E1836" s="3">
        <v>9.9499999999999993</v>
      </c>
      <c r="F1836" s="3">
        <f t="shared" si="56"/>
        <v>2.5143650000000002</v>
      </c>
      <c r="G1836" s="3">
        <f t="shared" si="57"/>
        <v>12.464364999999999</v>
      </c>
    </row>
    <row r="1837" spans="1:7" x14ac:dyDescent="0.3">
      <c r="A1837" t="s">
        <v>13039</v>
      </c>
      <c r="B1837" t="s">
        <v>3701</v>
      </c>
      <c r="C1837" t="s">
        <v>3702</v>
      </c>
      <c r="D1837" s="1" t="s">
        <v>427</v>
      </c>
      <c r="E1837" s="3">
        <v>10.37</v>
      </c>
      <c r="F1837" s="3">
        <f t="shared" si="56"/>
        <v>2.6204990000000001</v>
      </c>
      <c r="G1837" s="3">
        <f t="shared" si="57"/>
        <v>12.990499</v>
      </c>
    </row>
    <row r="1838" spans="1:7" x14ac:dyDescent="0.3">
      <c r="A1838" t="s">
        <v>13039</v>
      </c>
      <c r="B1838" t="s">
        <v>3703</v>
      </c>
      <c r="C1838" t="s">
        <v>3704</v>
      </c>
      <c r="D1838" s="1" t="s">
        <v>427</v>
      </c>
      <c r="E1838" s="3">
        <v>10.8</v>
      </c>
      <c r="F1838" s="3">
        <f t="shared" si="56"/>
        <v>2.7291600000000007</v>
      </c>
      <c r="G1838" s="3">
        <f t="shared" si="57"/>
        <v>13.529160000000001</v>
      </c>
    </row>
    <row r="1839" spans="1:7" x14ac:dyDescent="0.3">
      <c r="A1839" t="s">
        <v>13039</v>
      </c>
      <c r="B1839" t="s">
        <v>3705</v>
      </c>
      <c r="C1839" t="s">
        <v>3706</v>
      </c>
      <c r="D1839" s="1" t="s">
        <v>427</v>
      </c>
      <c r="E1839" s="3">
        <v>11.45</v>
      </c>
      <c r="F1839" s="3">
        <f t="shared" si="56"/>
        <v>2.8934150000000001</v>
      </c>
      <c r="G1839" s="3">
        <f t="shared" si="57"/>
        <v>14.343415</v>
      </c>
    </row>
    <row r="1840" spans="1:7" x14ac:dyDescent="0.3">
      <c r="A1840" t="s">
        <v>13039</v>
      </c>
      <c r="B1840" t="s">
        <v>3707</v>
      </c>
      <c r="C1840" t="s">
        <v>3708</v>
      </c>
      <c r="D1840" s="1" t="s">
        <v>427</v>
      </c>
      <c r="E1840" s="3">
        <v>11.85</v>
      </c>
      <c r="F1840" s="3">
        <f t="shared" si="56"/>
        <v>2.9944950000000001</v>
      </c>
      <c r="G1840" s="3">
        <f t="shared" si="57"/>
        <v>14.844495</v>
      </c>
    </row>
    <row r="1841" spans="1:7" x14ac:dyDescent="0.3">
      <c r="A1841" t="s">
        <v>13039</v>
      </c>
      <c r="B1841" t="s">
        <v>3709</v>
      </c>
      <c r="C1841" t="s">
        <v>3710</v>
      </c>
      <c r="D1841" s="1" t="s">
        <v>427</v>
      </c>
      <c r="E1841" s="3">
        <v>12.26</v>
      </c>
      <c r="F1841" s="3">
        <f t="shared" si="56"/>
        <v>3.0981020000000004</v>
      </c>
      <c r="G1841" s="3">
        <f t="shared" si="57"/>
        <v>15.358102000000001</v>
      </c>
    </row>
    <row r="1842" spans="1:7" x14ac:dyDescent="0.3">
      <c r="A1842" t="s">
        <v>13039</v>
      </c>
      <c r="B1842" t="s">
        <v>3711</v>
      </c>
      <c r="C1842" t="s">
        <v>3712</v>
      </c>
      <c r="D1842" s="1" t="s">
        <v>427</v>
      </c>
      <c r="E1842" s="3">
        <v>12.67</v>
      </c>
      <c r="F1842" s="3">
        <f t="shared" si="56"/>
        <v>3.2017090000000006</v>
      </c>
      <c r="G1842" s="3">
        <f t="shared" si="57"/>
        <v>15.871709000000001</v>
      </c>
    </row>
    <row r="1843" spans="1:7" x14ac:dyDescent="0.3">
      <c r="A1843" t="s">
        <v>13039</v>
      </c>
      <c r="B1843" t="s">
        <v>3713</v>
      </c>
      <c r="C1843" t="s">
        <v>3714</v>
      </c>
      <c r="D1843" s="1" t="s">
        <v>427</v>
      </c>
      <c r="E1843" s="3">
        <v>13.03</v>
      </c>
      <c r="F1843" s="3">
        <f t="shared" si="56"/>
        <v>3.2926810000000004</v>
      </c>
      <c r="G1843" s="3">
        <f t="shared" si="57"/>
        <v>16.322680999999999</v>
      </c>
    </row>
    <row r="1844" spans="1:7" x14ac:dyDescent="0.3">
      <c r="A1844" t="s">
        <v>13039</v>
      </c>
      <c r="B1844" t="s">
        <v>3715</v>
      </c>
      <c r="C1844" t="s">
        <v>3716</v>
      </c>
      <c r="D1844" s="1" t="s">
        <v>427</v>
      </c>
      <c r="E1844" s="3">
        <v>13.74</v>
      </c>
      <c r="F1844" s="3">
        <f t="shared" si="56"/>
        <v>3.4720980000000004</v>
      </c>
      <c r="G1844" s="3">
        <f t="shared" si="57"/>
        <v>17.212098000000001</v>
      </c>
    </row>
    <row r="1845" spans="1:7" x14ac:dyDescent="0.3">
      <c r="A1845" t="s">
        <v>13039</v>
      </c>
      <c r="B1845" t="s">
        <v>3717</v>
      </c>
      <c r="C1845" t="s">
        <v>3718</v>
      </c>
      <c r="D1845" s="1" t="s">
        <v>427</v>
      </c>
      <c r="E1845" s="3">
        <v>14.17</v>
      </c>
      <c r="F1845" s="3">
        <f t="shared" si="56"/>
        <v>3.5807590000000005</v>
      </c>
      <c r="G1845" s="3">
        <f t="shared" si="57"/>
        <v>17.750759000000002</v>
      </c>
    </row>
    <row r="1846" spans="1:7" x14ac:dyDescent="0.3">
      <c r="A1846" t="s">
        <v>13039</v>
      </c>
      <c r="B1846" t="s">
        <v>3719</v>
      </c>
      <c r="C1846" t="s">
        <v>3720</v>
      </c>
      <c r="D1846" s="1" t="s">
        <v>427</v>
      </c>
      <c r="E1846" s="3">
        <v>14.6</v>
      </c>
      <c r="F1846" s="3">
        <f t="shared" si="56"/>
        <v>3.6894200000000006</v>
      </c>
      <c r="G1846" s="3">
        <f t="shared" si="57"/>
        <v>18.28942</v>
      </c>
    </row>
    <row r="1847" spans="1:7" x14ac:dyDescent="0.3">
      <c r="A1847" t="s">
        <v>13039</v>
      </c>
      <c r="B1847" t="s">
        <v>3721</v>
      </c>
      <c r="C1847" t="s">
        <v>3722</v>
      </c>
      <c r="D1847" s="1" t="s">
        <v>427</v>
      </c>
      <c r="E1847" s="3">
        <v>15.04</v>
      </c>
      <c r="F1847" s="3">
        <f t="shared" si="56"/>
        <v>3.8006080000000004</v>
      </c>
      <c r="G1847" s="3">
        <f t="shared" si="57"/>
        <v>18.840608</v>
      </c>
    </row>
    <row r="1848" spans="1:7" x14ac:dyDescent="0.3">
      <c r="A1848" t="s">
        <v>13039</v>
      </c>
      <c r="B1848" t="s">
        <v>3723</v>
      </c>
      <c r="C1848" t="s">
        <v>3724</v>
      </c>
      <c r="D1848" s="1" t="s">
        <v>427</v>
      </c>
      <c r="E1848" s="3">
        <v>15.49</v>
      </c>
      <c r="F1848" s="3">
        <f t="shared" si="56"/>
        <v>3.9143230000000004</v>
      </c>
      <c r="G1848" s="3">
        <f t="shared" si="57"/>
        <v>19.404323000000002</v>
      </c>
    </row>
    <row r="1849" spans="1:7" x14ac:dyDescent="0.3">
      <c r="A1849" t="s">
        <v>13039</v>
      </c>
      <c r="B1849" t="s">
        <v>3725</v>
      </c>
      <c r="C1849" t="s">
        <v>3726</v>
      </c>
      <c r="D1849" s="1" t="s">
        <v>427</v>
      </c>
      <c r="E1849" s="3">
        <v>16.23</v>
      </c>
      <c r="F1849" s="3">
        <f t="shared" si="56"/>
        <v>4.1013210000000004</v>
      </c>
      <c r="G1849" s="3">
        <f t="shared" si="57"/>
        <v>20.331321000000003</v>
      </c>
    </row>
    <row r="1850" spans="1:7" x14ac:dyDescent="0.3">
      <c r="A1850" t="s">
        <v>13039</v>
      </c>
      <c r="B1850" t="s">
        <v>3727</v>
      </c>
      <c r="C1850" t="s">
        <v>3728</v>
      </c>
      <c r="D1850" s="1" t="s">
        <v>427</v>
      </c>
      <c r="E1850" s="3">
        <v>16.68</v>
      </c>
      <c r="F1850" s="3">
        <f t="shared" si="56"/>
        <v>4.2150360000000004</v>
      </c>
      <c r="G1850" s="3">
        <f t="shared" si="57"/>
        <v>20.895036000000001</v>
      </c>
    </row>
    <row r="1851" spans="1:7" x14ac:dyDescent="0.3">
      <c r="A1851" t="s">
        <v>13039</v>
      </c>
      <c r="B1851" t="s">
        <v>3729</v>
      </c>
      <c r="C1851" t="s">
        <v>3730</v>
      </c>
      <c r="D1851" s="1" t="s">
        <v>427</v>
      </c>
      <c r="E1851" s="3">
        <v>17.14</v>
      </c>
      <c r="F1851" s="3">
        <f t="shared" si="56"/>
        <v>4.3312780000000011</v>
      </c>
      <c r="G1851" s="3">
        <f t="shared" si="57"/>
        <v>21.471278000000002</v>
      </c>
    </row>
    <row r="1852" spans="1:7" x14ac:dyDescent="0.3">
      <c r="A1852" t="s">
        <v>13039</v>
      </c>
      <c r="B1852" t="s">
        <v>3731</v>
      </c>
      <c r="C1852" t="s">
        <v>3732</v>
      </c>
      <c r="D1852" s="1" t="s">
        <v>427</v>
      </c>
      <c r="E1852" s="3">
        <v>5.84</v>
      </c>
      <c r="F1852" s="3">
        <f t="shared" si="56"/>
        <v>1.4757680000000002</v>
      </c>
      <c r="G1852" s="3">
        <f t="shared" si="57"/>
        <v>7.3157680000000003</v>
      </c>
    </row>
    <row r="1853" spans="1:7" x14ac:dyDescent="0.3">
      <c r="A1853" t="s">
        <v>13039</v>
      </c>
      <c r="B1853" t="s">
        <v>3733</v>
      </c>
      <c r="C1853" t="s">
        <v>3734</v>
      </c>
      <c r="D1853" s="1" t="s">
        <v>427</v>
      </c>
      <c r="E1853" s="3">
        <v>17.61</v>
      </c>
      <c r="F1853" s="3">
        <f t="shared" si="56"/>
        <v>4.4500470000000005</v>
      </c>
      <c r="G1853" s="3">
        <f t="shared" si="57"/>
        <v>22.060047000000001</v>
      </c>
    </row>
    <row r="1854" spans="1:7" x14ac:dyDescent="0.3">
      <c r="A1854" t="s">
        <v>13039</v>
      </c>
      <c r="B1854" t="s">
        <v>3735</v>
      </c>
      <c r="C1854" t="s">
        <v>3736</v>
      </c>
      <c r="D1854" s="1" t="s">
        <v>427</v>
      </c>
      <c r="E1854" s="3">
        <v>18.18</v>
      </c>
      <c r="F1854" s="3">
        <f t="shared" si="56"/>
        <v>4.5940860000000008</v>
      </c>
      <c r="G1854" s="3">
        <f t="shared" si="57"/>
        <v>22.774086</v>
      </c>
    </row>
    <row r="1855" spans="1:7" x14ac:dyDescent="0.3">
      <c r="A1855" t="s">
        <v>13039</v>
      </c>
      <c r="B1855" t="s">
        <v>3737</v>
      </c>
      <c r="C1855" t="s">
        <v>3738</v>
      </c>
      <c r="D1855" s="1" t="s">
        <v>427</v>
      </c>
      <c r="E1855" s="3">
        <v>18.98</v>
      </c>
      <c r="F1855" s="3">
        <f t="shared" si="56"/>
        <v>4.7962460000000009</v>
      </c>
      <c r="G1855" s="3">
        <f t="shared" si="57"/>
        <v>23.776246</v>
      </c>
    </row>
    <row r="1856" spans="1:7" x14ac:dyDescent="0.3">
      <c r="A1856" t="s">
        <v>13039</v>
      </c>
      <c r="B1856" t="s">
        <v>3739</v>
      </c>
      <c r="C1856" t="s">
        <v>3740</v>
      </c>
      <c r="D1856" s="1" t="s">
        <v>427</v>
      </c>
      <c r="E1856" s="3">
        <v>19.5</v>
      </c>
      <c r="F1856" s="3">
        <f t="shared" si="56"/>
        <v>4.9276500000000008</v>
      </c>
      <c r="G1856" s="3">
        <f t="shared" si="57"/>
        <v>24.42765</v>
      </c>
    </row>
    <row r="1857" spans="1:7" x14ac:dyDescent="0.3">
      <c r="A1857" t="s">
        <v>13039</v>
      </c>
      <c r="B1857" t="s">
        <v>3741</v>
      </c>
      <c r="C1857" t="s">
        <v>3742</v>
      </c>
      <c r="D1857" s="1" t="s">
        <v>427</v>
      </c>
      <c r="E1857" s="3">
        <v>20.12</v>
      </c>
      <c r="F1857" s="3">
        <f t="shared" si="56"/>
        <v>5.0843240000000014</v>
      </c>
      <c r="G1857" s="3">
        <f t="shared" si="57"/>
        <v>25.204324000000003</v>
      </c>
    </row>
    <row r="1858" spans="1:7" x14ac:dyDescent="0.3">
      <c r="A1858" t="s">
        <v>13039</v>
      </c>
      <c r="B1858" t="s">
        <v>3743</v>
      </c>
      <c r="C1858" t="s">
        <v>3744</v>
      </c>
      <c r="D1858" s="1" t="s">
        <v>427</v>
      </c>
      <c r="E1858" s="3">
        <v>20.71</v>
      </c>
      <c r="F1858" s="3">
        <f t="shared" si="56"/>
        <v>5.2334170000000011</v>
      </c>
      <c r="G1858" s="3">
        <f t="shared" si="57"/>
        <v>25.943417000000004</v>
      </c>
    </row>
    <row r="1859" spans="1:7" x14ac:dyDescent="0.3">
      <c r="A1859" t="s">
        <v>13039</v>
      </c>
      <c r="B1859" t="s">
        <v>3745</v>
      </c>
      <c r="C1859" t="s">
        <v>3746</v>
      </c>
      <c r="D1859" s="1" t="s">
        <v>427</v>
      </c>
      <c r="E1859" s="3">
        <v>21.41</v>
      </c>
      <c r="F1859" s="3">
        <f t="shared" si="56"/>
        <v>5.4103070000000004</v>
      </c>
      <c r="G1859" s="3">
        <f t="shared" si="57"/>
        <v>26.820307</v>
      </c>
    </row>
    <row r="1860" spans="1:7" x14ac:dyDescent="0.3">
      <c r="A1860" t="s">
        <v>13039</v>
      </c>
      <c r="B1860" t="s">
        <v>3747</v>
      </c>
      <c r="C1860" t="s">
        <v>3748</v>
      </c>
      <c r="D1860" s="1" t="s">
        <v>427</v>
      </c>
      <c r="E1860" s="3">
        <v>22.43</v>
      </c>
      <c r="F1860" s="3">
        <f t="shared" si="56"/>
        <v>5.6680610000000007</v>
      </c>
      <c r="G1860" s="3">
        <f t="shared" si="57"/>
        <v>28.098061000000001</v>
      </c>
    </row>
    <row r="1861" spans="1:7" x14ac:dyDescent="0.3">
      <c r="A1861" t="s">
        <v>13039</v>
      </c>
      <c r="B1861" t="s">
        <v>3749</v>
      </c>
      <c r="C1861" t="s">
        <v>3750</v>
      </c>
      <c r="D1861" s="1" t="s">
        <v>427</v>
      </c>
      <c r="E1861" s="3">
        <v>23.19</v>
      </c>
      <c r="F1861" s="3">
        <f t="shared" si="56"/>
        <v>5.860113000000001</v>
      </c>
      <c r="G1861" s="3">
        <f t="shared" si="57"/>
        <v>29.050113000000003</v>
      </c>
    </row>
    <row r="1862" spans="1:7" x14ac:dyDescent="0.3">
      <c r="A1862" t="s">
        <v>13039</v>
      </c>
      <c r="B1862" t="s">
        <v>3751</v>
      </c>
      <c r="C1862" t="s">
        <v>3752</v>
      </c>
      <c r="D1862" s="1" t="s">
        <v>427</v>
      </c>
      <c r="E1862" s="3">
        <v>24.24</v>
      </c>
      <c r="F1862" s="3">
        <f t="shared" si="56"/>
        <v>6.1254480000000004</v>
      </c>
      <c r="G1862" s="3">
        <f t="shared" si="57"/>
        <v>30.365448000000001</v>
      </c>
    </row>
    <row r="1863" spans="1:7" x14ac:dyDescent="0.3">
      <c r="A1863" t="s">
        <v>13039</v>
      </c>
      <c r="B1863" t="s">
        <v>3753</v>
      </c>
      <c r="C1863" t="s">
        <v>3754</v>
      </c>
      <c r="D1863" s="1" t="s">
        <v>427</v>
      </c>
      <c r="E1863" s="3">
        <v>6.05</v>
      </c>
      <c r="F1863" s="3">
        <f t="shared" ref="F1863:F1926" si="58">+E1863*$F$4</f>
        <v>1.5288350000000002</v>
      </c>
      <c r="G1863" s="3">
        <f t="shared" ref="G1863:G1926" si="59">+E1863+F1863</f>
        <v>7.5788349999999998</v>
      </c>
    </row>
    <row r="1864" spans="1:7" x14ac:dyDescent="0.3">
      <c r="A1864" t="s">
        <v>13039</v>
      </c>
      <c r="B1864" t="s">
        <v>3755</v>
      </c>
      <c r="C1864" t="s">
        <v>3756</v>
      </c>
      <c r="D1864" s="1" t="s">
        <v>427</v>
      </c>
      <c r="E1864" s="3">
        <v>25.29</v>
      </c>
      <c r="F1864" s="3">
        <f t="shared" si="58"/>
        <v>6.3907830000000008</v>
      </c>
      <c r="G1864" s="3">
        <f t="shared" si="59"/>
        <v>31.680782999999998</v>
      </c>
    </row>
    <row r="1865" spans="1:7" x14ac:dyDescent="0.3">
      <c r="A1865" t="s">
        <v>13039</v>
      </c>
      <c r="B1865" t="s">
        <v>3757</v>
      </c>
      <c r="C1865" t="s">
        <v>3758</v>
      </c>
      <c r="D1865" s="1" t="s">
        <v>427</v>
      </c>
      <c r="E1865" s="3">
        <v>26.59</v>
      </c>
      <c r="F1865" s="3">
        <f t="shared" si="58"/>
        <v>6.7192930000000013</v>
      </c>
      <c r="G1865" s="3">
        <f t="shared" si="59"/>
        <v>33.309293000000004</v>
      </c>
    </row>
    <row r="1866" spans="1:7" x14ac:dyDescent="0.3">
      <c r="A1866" t="s">
        <v>13039</v>
      </c>
      <c r="B1866" t="s">
        <v>3759</v>
      </c>
      <c r="C1866" t="s">
        <v>3760</v>
      </c>
      <c r="D1866" s="1" t="s">
        <v>427</v>
      </c>
      <c r="E1866" s="3">
        <v>28.06</v>
      </c>
      <c r="F1866" s="3">
        <f t="shared" si="58"/>
        <v>7.0907620000000007</v>
      </c>
      <c r="G1866" s="3">
        <f t="shared" si="59"/>
        <v>35.150762</v>
      </c>
    </row>
    <row r="1867" spans="1:7" x14ac:dyDescent="0.3">
      <c r="A1867" t="s">
        <v>13039</v>
      </c>
      <c r="B1867" t="s">
        <v>3761</v>
      </c>
      <c r="C1867" t="s">
        <v>3762</v>
      </c>
      <c r="D1867" s="1" t="s">
        <v>427</v>
      </c>
      <c r="E1867" s="3">
        <v>29.32</v>
      </c>
      <c r="F1867" s="3">
        <f t="shared" si="58"/>
        <v>7.4091640000000014</v>
      </c>
      <c r="G1867" s="3">
        <f t="shared" si="59"/>
        <v>36.729164000000004</v>
      </c>
    </row>
    <row r="1868" spans="1:7" x14ac:dyDescent="0.3">
      <c r="A1868" t="s">
        <v>13039</v>
      </c>
      <c r="B1868" t="s">
        <v>3763</v>
      </c>
      <c r="C1868" t="s">
        <v>3764</v>
      </c>
      <c r="D1868" s="1" t="s">
        <v>427</v>
      </c>
      <c r="E1868" s="3">
        <v>30.7</v>
      </c>
      <c r="F1868" s="3">
        <f t="shared" si="58"/>
        <v>7.7578900000000006</v>
      </c>
      <c r="G1868" s="3">
        <f t="shared" si="59"/>
        <v>38.457889999999999</v>
      </c>
    </row>
    <row r="1869" spans="1:7" x14ac:dyDescent="0.3">
      <c r="A1869" t="s">
        <v>13039</v>
      </c>
      <c r="B1869" t="s">
        <v>3765</v>
      </c>
      <c r="C1869" t="s">
        <v>3766</v>
      </c>
      <c r="D1869" s="1" t="s">
        <v>427</v>
      </c>
      <c r="E1869" s="3">
        <v>32.119999999999997</v>
      </c>
      <c r="F1869" s="3">
        <f t="shared" si="58"/>
        <v>8.1167240000000014</v>
      </c>
      <c r="G1869" s="3">
        <f t="shared" si="59"/>
        <v>40.236723999999995</v>
      </c>
    </row>
    <row r="1870" spans="1:7" x14ac:dyDescent="0.3">
      <c r="A1870" t="s">
        <v>13039</v>
      </c>
      <c r="B1870" t="s">
        <v>3767</v>
      </c>
      <c r="C1870" t="s">
        <v>3768</v>
      </c>
      <c r="D1870" s="1" t="s">
        <v>427</v>
      </c>
      <c r="E1870" s="3">
        <v>33.64</v>
      </c>
      <c r="F1870" s="3">
        <f t="shared" si="58"/>
        <v>8.500828000000002</v>
      </c>
      <c r="G1870" s="3">
        <f t="shared" si="59"/>
        <v>42.140827999999999</v>
      </c>
    </row>
    <row r="1871" spans="1:7" x14ac:dyDescent="0.3">
      <c r="A1871" t="s">
        <v>13039</v>
      </c>
      <c r="B1871" t="s">
        <v>3769</v>
      </c>
      <c r="C1871" t="s">
        <v>3770</v>
      </c>
      <c r="D1871" s="1" t="s">
        <v>427</v>
      </c>
      <c r="E1871" s="3">
        <v>35.42</v>
      </c>
      <c r="F1871" s="3">
        <f t="shared" si="58"/>
        <v>8.9506340000000009</v>
      </c>
      <c r="G1871" s="3">
        <f t="shared" si="59"/>
        <v>44.370634000000003</v>
      </c>
    </row>
    <row r="1872" spans="1:7" x14ac:dyDescent="0.3">
      <c r="A1872" t="s">
        <v>13039</v>
      </c>
      <c r="B1872" t="s">
        <v>3771</v>
      </c>
      <c r="C1872" t="s">
        <v>3772</v>
      </c>
      <c r="D1872" s="1" t="s">
        <v>427</v>
      </c>
      <c r="E1872" s="3">
        <v>36.82</v>
      </c>
      <c r="F1872" s="3">
        <f t="shared" si="58"/>
        <v>9.3044140000000013</v>
      </c>
      <c r="G1872" s="3">
        <f t="shared" si="59"/>
        <v>46.124414000000002</v>
      </c>
    </row>
    <row r="1873" spans="1:7" x14ac:dyDescent="0.3">
      <c r="A1873" t="s">
        <v>13039</v>
      </c>
      <c r="B1873" t="s">
        <v>3773</v>
      </c>
      <c r="C1873" t="s">
        <v>3774</v>
      </c>
      <c r="D1873" s="1" t="s">
        <v>427</v>
      </c>
      <c r="E1873" s="3">
        <v>38.21</v>
      </c>
      <c r="F1873" s="3">
        <f t="shared" si="58"/>
        <v>9.6556670000000011</v>
      </c>
      <c r="G1873" s="3">
        <f t="shared" si="59"/>
        <v>47.865667000000002</v>
      </c>
    </row>
    <row r="1874" spans="1:7" x14ac:dyDescent="0.3">
      <c r="A1874" t="s">
        <v>13039</v>
      </c>
      <c r="B1874" t="s">
        <v>3775</v>
      </c>
      <c r="C1874" t="s">
        <v>3776</v>
      </c>
      <c r="D1874" s="1" t="s">
        <v>427</v>
      </c>
      <c r="E1874" s="3">
        <v>6.27</v>
      </c>
      <c r="F1874" s="3">
        <f t="shared" si="58"/>
        <v>1.5844290000000001</v>
      </c>
      <c r="G1874" s="3">
        <f t="shared" si="59"/>
        <v>7.8544289999999997</v>
      </c>
    </row>
    <row r="1875" spans="1:7" x14ac:dyDescent="0.3">
      <c r="A1875" t="s">
        <v>13039</v>
      </c>
      <c r="B1875" t="s">
        <v>3777</v>
      </c>
      <c r="C1875" t="s">
        <v>3778</v>
      </c>
      <c r="D1875" s="1" t="s">
        <v>427</v>
      </c>
      <c r="E1875" s="3">
        <v>5.79</v>
      </c>
      <c r="F1875" s="3">
        <f t="shared" si="58"/>
        <v>1.4631330000000002</v>
      </c>
      <c r="G1875" s="3">
        <f t="shared" si="59"/>
        <v>7.2531330000000001</v>
      </c>
    </row>
    <row r="1876" spans="1:7" x14ac:dyDescent="0.3">
      <c r="A1876" t="s">
        <v>13039</v>
      </c>
      <c r="B1876" t="s">
        <v>3779</v>
      </c>
      <c r="C1876" t="s">
        <v>3780</v>
      </c>
      <c r="D1876" s="1" t="s">
        <v>427</v>
      </c>
      <c r="E1876" s="3">
        <v>8.57</v>
      </c>
      <c r="F1876" s="3">
        <f t="shared" si="58"/>
        <v>2.1656390000000005</v>
      </c>
      <c r="G1876" s="3">
        <f t="shared" si="59"/>
        <v>10.735639000000001</v>
      </c>
    </row>
    <row r="1877" spans="1:7" x14ac:dyDescent="0.3">
      <c r="A1877" t="s">
        <v>13039</v>
      </c>
      <c r="B1877" t="s">
        <v>3781</v>
      </c>
      <c r="C1877" t="s">
        <v>3782</v>
      </c>
      <c r="D1877" s="1" t="s">
        <v>427</v>
      </c>
      <c r="E1877" s="3">
        <v>9.17</v>
      </c>
      <c r="F1877" s="3">
        <f t="shared" si="58"/>
        <v>2.3172590000000004</v>
      </c>
      <c r="G1877" s="3">
        <f t="shared" si="59"/>
        <v>11.487259</v>
      </c>
    </row>
    <row r="1878" spans="1:7" x14ac:dyDescent="0.3">
      <c r="A1878" t="s">
        <v>13039</v>
      </c>
      <c r="B1878" t="s">
        <v>3783</v>
      </c>
      <c r="C1878" t="s">
        <v>3784</v>
      </c>
      <c r="D1878" s="1" t="s">
        <v>427</v>
      </c>
      <c r="E1878" s="3">
        <v>9.7899999999999991</v>
      </c>
      <c r="F1878" s="3">
        <f t="shared" si="58"/>
        <v>2.4739330000000002</v>
      </c>
      <c r="G1878" s="3">
        <f t="shared" si="59"/>
        <v>12.263933</v>
      </c>
    </row>
    <row r="1879" spans="1:7" x14ac:dyDescent="0.3">
      <c r="A1879" t="s">
        <v>13039</v>
      </c>
      <c r="B1879" t="s">
        <v>3785</v>
      </c>
      <c r="C1879" t="s">
        <v>3786</v>
      </c>
      <c r="D1879" s="1" t="s">
        <v>427</v>
      </c>
      <c r="E1879" s="3">
        <v>10.24</v>
      </c>
      <c r="F1879" s="3">
        <f t="shared" si="58"/>
        <v>2.5876480000000006</v>
      </c>
      <c r="G1879" s="3">
        <f t="shared" si="59"/>
        <v>12.827648</v>
      </c>
    </row>
    <row r="1880" spans="1:7" x14ac:dyDescent="0.3">
      <c r="A1880" t="s">
        <v>13039</v>
      </c>
      <c r="B1880" t="s">
        <v>3787</v>
      </c>
      <c r="C1880" t="s">
        <v>3788</v>
      </c>
      <c r="D1880" s="1" t="s">
        <v>427</v>
      </c>
      <c r="E1880" s="3">
        <v>10.71</v>
      </c>
      <c r="F1880" s="3">
        <f t="shared" si="58"/>
        <v>2.7064170000000005</v>
      </c>
      <c r="G1880" s="3">
        <f t="shared" si="59"/>
        <v>13.416417000000001</v>
      </c>
    </row>
    <row r="1881" spans="1:7" x14ac:dyDescent="0.3">
      <c r="A1881" t="s">
        <v>13039</v>
      </c>
      <c r="B1881" t="s">
        <v>3789</v>
      </c>
      <c r="C1881" t="s">
        <v>3790</v>
      </c>
      <c r="D1881" s="1" t="s">
        <v>427</v>
      </c>
      <c r="E1881" s="3">
        <v>11.26</v>
      </c>
      <c r="F1881" s="3">
        <f t="shared" si="58"/>
        <v>2.8454020000000004</v>
      </c>
      <c r="G1881" s="3">
        <f t="shared" si="59"/>
        <v>14.105402</v>
      </c>
    </row>
    <row r="1882" spans="1:7" x14ac:dyDescent="0.3">
      <c r="A1882" t="s">
        <v>13039</v>
      </c>
      <c r="B1882" t="s">
        <v>3791</v>
      </c>
      <c r="C1882" t="s">
        <v>3792</v>
      </c>
      <c r="D1882" s="1" t="s">
        <v>427</v>
      </c>
      <c r="E1882" s="3">
        <v>11.78</v>
      </c>
      <c r="F1882" s="3">
        <f t="shared" si="58"/>
        <v>2.9768060000000003</v>
      </c>
      <c r="G1882" s="3">
        <f t="shared" si="59"/>
        <v>14.756805999999999</v>
      </c>
    </row>
    <row r="1883" spans="1:7" x14ac:dyDescent="0.3">
      <c r="A1883" t="s">
        <v>13039</v>
      </c>
      <c r="B1883" t="s">
        <v>3793</v>
      </c>
      <c r="C1883" t="s">
        <v>3794</v>
      </c>
      <c r="D1883" s="1" t="s">
        <v>427</v>
      </c>
      <c r="E1883" s="3">
        <v>12.44</v>
      </c>
      <c r="F1883" s="3">
        <f t="shared" si="58"/>
        <v>3.1435880000000003</v>
      </c>
      <c r="G1883" s="3">
        <f t="shared" si="59"/>
        <v>15.583587999999999</v>
      </c>
    </row>
    <row r="1884" spans="1:7" x14ac:dyDescent="0.3">
      <c r="A1884" t="s">
        <v>13039</v>
      </c>
      <c r="B1884" t="s">
        <v>3795</v>
      </c>
      <c r="C1884" t="s">
        <v>3796</v>
      </c>
      <c r="D1884" s="1" t="s">
        <v>427</v>
      </c>
      <c r="E1884" s="3">
        <v>13.06</v>
      </c>
      <c r="F1884" s="3">
        <f t="shared" si="58"/>
        <v>3.3002620000000005</v>
      </c>
      <c r="G1884" s="3">
        <f t="shared" si="59"/>
        <v>16.360262000000002</v>
      </c>
    </row>
    <row r="1885" spans="1:7" x14ac:dyDescent="0.3">
      <c r="A1885" t="s">
        <v>13039</v>
      </c>
      <c r="B1885" t="s">
        <v>3797</v>
      </c>
      <c r="C1885" t="s">
        <v>3798</v>
      </c>
      <c r="D1885" s="1" t="s">
        <v>427</v>
      </c>
      <c r="E1885" s="3">
        <v>13.6</v>
      </c>
      <c r="F1885" s="3">
        <f t="shared" si="58"/>
        <v>3.4367200000000002</v>
      </c>
      <c r="G1885" s="3">
        <f t="shared" si="59"/>
        <v>17.036719999999999</v>
      </c>
    </row>
    <row r="1886" spans="1:7" x14ac:dyDescent="0.3">
      <c r="A1886" t="s">
        <v>13039</v>
      </c>
      <c r="B1886" t="s">
        <v>3799</v>
      </c>
      <c r="C1886" t="s">
        <v>3800</v>
      </c>
      <c r="D1886" s="1" t="s">
        <v>427</v>
      </c>
      <c r="E1886" s="3">
        <v>14.22</v>
      </c>
      <c r="F1886" s="3">
        <f t="shared" si="58"/>
        <v>3.5933940000000009</v>
      </c>
      <c r="G1886" s="3">
        <f t="shared" si="59"/>
        <v>17.813394000000002</v>
      </c>
    </row>
    <row r="1887" spans="1:7" x14ac:dyDescent="0.3">
      <c r="A1887" t="s">
        <v>13039</v>
      </c>
      <c r="B1887" t="s">
        <v>3801</v>
      </c>
      <c r="C1887" t="s">
        <v>3802</v>
      </c>
      <c r="D1887" s="1" t="s">
        <v>427</v>
      </c>
      <c r="E1887" s="3">
        <v>14.86</v>
      </c>
      <c r="F1887" s="3">
        <f t="shared" si="58"/>
        <v>3.7551220000000005</v>
      </c>
      <c r="G1887" s="3">
        <f t="shared" si="59"/>
        <v>18.615122</v>
      </c>
    </row>
    <row r="1888" spans="1:7" x14ac:dyDescent="0.3">
      <c r="A1888" t="s">
        <v>13039</v>
      </c>
      <c r="B1888" t="s">
        <v>3803</v>
      </c>
      <c r="C1888" t="s">
        <v>3804</v>
      </c>
      <c r="D1888" s="1" t="s">
        <v>427</v>
      </c>
      <c r="E1888" s="3">
        <v>15.64</v>
      </c>
      <c r="F1888" s="3">
        <f t="shared" si="58"/>
        <v>3.9522280000000007</v>
      </c>
      <c r="G1888" s="3">
        <f t="shared" si="59"/>
        <v>19.592228000000002</v>
      </c>
    </row>
    <row r="1889" spans="1:7" x14ac:dyDescent="0.3">
      <c r="A1889" t="s">
        <v>13039</v>
      </c>
      <c r="B1889" t="s">
        <v>3805</v>
      </c>
      <c r="C1889" t="s">
        <v>3806</v>
      </c>
      <c r="D1889" s="1" t="s">
        <v>427</v>
      </c>
      <c r="E1889" s="3">
        <v>16.3</v>
      </c>
      <c r="F1889" s="3">
        <f t="shared" si="58"/>
        <v>4.1190100000000012</v>
      </c>
      <c r="G1889" s="3">
        <f t="shared" si="59"/>
        <v>20.41901</v>
      </c>
    </row>
    <row r="1890" spans="1:7" x14ac:dyDescent="0.3">
      <c r="A1890" t="s">
        <v>13039</v>
      </c>
      <c r="B1890" t="s">
        <v>3807</v>
      </c>
      <c r="C1890" t="s">
        <v>3808</v>
      </c>
      <c r="D1890" s="1" t="s">
        <v>427</v>
      </c>
      <c r="E1890" s="3">
        <v>17.100000000000001</v>
      </c>
      <c r="F1890" s="3">
        <f t="shared" si="58"/>
        <v>4.3211700000000013</v>
      </c>
      <c r="G1890" s="3">
        <f t="shared" si="59"/>
        <v>21.421170000000004</v>
      </c>
    </row>
    <row r="1891" spans="1:7" x14ac:dyDescent="0.3">
      <c r="A1891" t="s">
        <v>13039</v>
      </c>
      <c r="B1891" t="s">
        <v>3809</v>
      </c>
      <c r="C1891" t="s">
        <v>3810</v>
      </c>
      <c r="D1891" s="1" t="s">
        <v>427</v>
      </c>
      <c r="E1891" s="3">
        <v>7.02</v>
      </c>
      <c r="F1891" s="3">
        <f t="shared" si="58"/>
        <v>1.7739540000000003</v>
      </c>
      <c r="G1891" s="3">
        <f t="shared" si="59"/>
        <v>8.7939539999999994</v>
      </c>
    </row>
    <row r="1892" spans="1:7" x14ac:dyDescent="0.3">
      <c r="A1892" t="s">
        <v>13039</v>
      </c>
      <c r="B1892" t="s">
        <v>3811</v>
      </c>
      <c r="C1892" t="s">
        <v>3812</v>
      </c>
      <c r="D1892" s="1" t="s">
        <v>427</v>
      </c>
      <c r="E1892" s="3">
        <v>7.3</v>
      </c>
      <c r="F1892" s="3">
        <f t="shared" si="58"/>
        <v>1.8447100000000003</v>
      </c>
      <c r="G1892" s="3">
        <f t="shared" si="59"/>
        <v>9.1447099999999999</v>
      </c>
    </row>
    <row r="1893" spans="1:7" x14ac:dyDescent="0.3">
      <c r="A1893" t="s">
        <v>13039</v>
      </c>
      <c r="B1893" t="s">
        <v>3813</v>
      </c>
      <c r="C1893" t="s">
        <v>3814</v>
      </c>
      <c r="D1893" s="1" t="s">
        <v>427</v>
      </c>
      <c r="E1893" s="3">
        <v>7.87</v>
      </c>
      <c r="F1893" s="3">
        <f t="shared" si="58"/>
        <v>1.9887490000000003</v>
      </c>
      <c r="G1893" s="3">
        <f t="shared" si="59"/>
        <v>9.8587489999999995</v>
      </c>
    </row>
    <row r="1894" spans="1:7" x14ac:dyDescent="0.3">
      <c r="A1894" t="s">
        <v>13039</v>
      </c>
      <c r="B1894" t="s">
        <v>3815</v>
      </c>
      <c r="C1894" t="s">
        <v>3816</v>
      </c>
      <c r="D1894" s="1" t="s">
        <v>427</v>
      </c>
      <c r="E1894" s="3">
        <v>6.87</v>
      </c>
      <c r="F1894" s="3">
        <f t="shared" si="58"/>
        <v>1.7360490000000002</v>
      </c>
      <c r="G1894" s="3">
        <f t="shared" si="59"/>
        <v>8.6060490000000005</v>
      </c>
    </row>
    <row r="1895" spans="1:7" x14ac:dyDescent="0.3">
      <c r="A1895" t="s">
        <v>13039</v>
      </c>
      <c r="B1895" t="s">
        <v>3817</v>
      </c>
      <c r="C1895" t="s">
        <v>3818</v>
      </c>
      <c r="D1895" s="1" t="s">
        <v>427</v>
      </c>
      <c r="E1895" s="3">
        <v>6.52</v>
      </c>
      <c r="F1895" s="3">
        <f t="shared" si="58"/>
        <v>1.6476040000000001</v>
      </c>
      <c r="G1895" s="3">
        <f t="shared" si="59"/>
        <v>8.167603999999999</v>
      </c>
    </row>
    <row r="1896" spans="1:7" x14ac:dyDescent="0.3">
      <c r="A1896" t="s">
        <v>13039</v>
      </c>
      <c r="B1896" t="s">
        <v>3819</v>
      </c>
      <c r="C1896" t="s">
        <v>3820</v>
      </c>
      <c r="D1896" s="1" t="s">
        <v>427</v>
      </c>
      <c r="E1896" s="3">
        <v>6.91</v>
      </c>
      <c r="F1896" s="3">
        <f t="shared" si="58"/>
        <v>1.7461570000000002</v>
      </c>
      <c r="G1896" s="3">
        <f t="shared" si="59"/>
        <v>8.6561570000000003</v>
      </c>
    </row>
    <row r="1897" spans="1:7" x14ac:dyDescent="0.3">
      <c r="A1897" t="s">
        <v>13039</v>
      </c>
      <c r="B1897" t="s">
        <v>3821</v>
      </c>
      <c r="C1897" t="s">
        <v>3822</v>
      </c>
      <c r="D1897" s="1" t="s">
        <v>427</v>
      </c>
      <c r="E1897" s="3">
        <v>7.49</v>
      </c>
      <c r="F1897" s="3">
        <f t="shared" si="58"/>
        <v>1.8927230000000004</v>
      </c>
      <c r="G1897" s="3">
        <f t="shared" si="59"/>
        <v>9.3827230000000004</v>
      </c>
    </row>
    <row r="1898" spans="1:7" x14ac:dyDescent="0.3">
      <c r="A1898" t="s">
        <v>13039</v>
      </c>
      <c r="B1898" t="s">
        <v>3823</v>
      </c>
      <c r="C1898" t="s">
        <v>3824</v>
      </c>
      <c r="D1898" s="1" t="s">
        <v>427</v>
      </c>
      <c r="E1898" s="3">
        <v>7.98</v>
      </c>
      <c r="F1898" s="3">
        <f t="shared" si="58"/>
        <v>2.0165460000000004</v>
      </c>
      <c r="G1898" s="3">
        <f t="shared" si="59"/>
        <v>9.9965460000000004</v>
      </c>
    </row>
    <row r="1899" spans="1:7" x14ac:dyDescent="0.3">
      <c r="A1899" t="s">
        <v>13039</v>
      </c>
      <c r="B1899" t="s">
        <v>3825</v>
      </c>
      <c r="C1899" t="s">
        <v>3826</v>
      </c>
      <c r="D1899" s="1" t="s">
        <v>427</v>
      </c>
      <c r="E1899" s="3">
        <v>8.2799999999999994</v>
      </c>
      <c r="F1899" s="3">
        <f t="shared" si="58"/>
        <v>2.0923560000000001</v>
      </c>
      <c r="G1899" s="3">
        <f t="shared" si="59"/>
        <v>10.372356</v>
      </c>
    </row>
    <row r="1900" spans="1:7" x14ac:dyDescent="0.3">
      <c r="A1900" t="s">
        <v>13039</v>
      </c>
      <c r="B1900" t="s">
        <v>3827</v>
      </c>
      <c r="C1900" t="s">
        <v>3828</v>
      </c>
      <c r="D1900" s="1" t="s">
        <v>427</v>
      </c>
      <c r="E1900" s="3">
        <v>8.77</v>
      </c>
      <c r="F1900" s="3">
        <f t="shared" si="58"/>
        <v>2.2161790000000003</v>
      </c>
      <c r="G1900" s="3">
        <f t="shared" si="59"/>
        <v>10.986179</v>
      </c>
    </row>
    <row r="1901" spans="1:7" x14ac:dyDescent="0.3">
      <c r="A1901" t="s">
        <v>13039</v>
      </c>
      <c r="B1901" t="s">
        <v>3829</v>
      </c>
      <c r="C1901" t="s">
        <v>3830</v>
      </c>
      <c r="D1901" s="1" t="s">
        <v>427</v>
      </c>
      <c r="E1901" s="3">
        <v>9.25</v>
      </c>
      <c r="F1901" s="3">
        <f t="shared" si="58"/>
        <v>2.3374750000000004</v>
      </c>
      <c r="G1901" s="3">
        <f t="shared" si="59"/>
        <v>11.587475000000001</v>
      </c>
    </row>
    <row r="1902" spans="1:7" x14ac:dyDescent="0.3">
      <c r="A1902" t="s">
        <v>13039</v>
      </c>
      <c r="B1902" t="s">
        <v>3831</v>
      </c>
      <c r="C1902" t="s">
        <v>3832</v>
      </c>
      <c r="D1902" s="1" t="s">
        <v>427</v>
      </c>
      <c r="E1902" s="3">
        <v>9.8699999999999992</v>
      </c>
      <c r="F1902" s="3">
        <f t="shared" si="58"/>
        <v>2.4941490000000002</v>
      </c>
      <c r="G1902" s="3">
        <f t="shared" si="59"/>
        <v>12.364148999999999</v>
      </c>
    </row>
    <row r="1903" spans="1:7" x14ac:dyDescent="0.3">
      <c r="A1903" t="s">
        <v>13039</v>
      </c>
      <c r="B1903" t="s">
        <v>3833</v>
      </c>
      <c r="C1903" t="s">
        <v>3834</v>
      </c>
      <c r="D1903" s="1" t="s">
        <v>427</v>
      </c>
      <c r="E1903" s="3">
        <v>10.35</v>
      </c>
      <c r="F1903" s="3">
        <f t="shared" si="58"/>
        <v>2.6154450000000002</v>
      </c>
      <c r="G1903" s="3">
        <f t="shared" si="59"/>
        <v>12.965444999999999</v>
      </c>
    </row>
    <row r="1904" spans="1:7" x14ac:dyDescent="0.3">
      <c r="A1904" t="s">
        <v>13039</v>
      </c>
      <c r="B1904" t="s">
        <v>3835</v>
      </c>
      <c r="C1904" t="s">
        <v>3836</v>
      </c>
      <c r="D1904" s="1" t="s">
        <v>427</v>
      </c>
      <c r="E1904" s="3">
        <v>10.84</v>
      </c>
      <c r="F1904" s="3">
        <f t="shared" si="58"/>
        <v>2.7392680000000005</v>
      </c>
      <c r="G1904" s="3">
        <f t="shared" si="59"/>
        <v>13.579268000000001</v>
      </c>
    </row>
    <row r="1905" spans="1:7" x14ac:dyDescent="0.3">
      <c r="A1905" t="s">
        <v>13039</v>
      </c>
      <c r="B1905" t="s">
        <v>3837</v>
      </c>
      <c r="C1905" t="s">
        <v>3838</v>
      </c>
      <c r="D1905" s="1" t="s">
        <v>427</v>
      </c>
      <c r="E1905" s="3">
        <v>11.29</v>
      </c>
      <c r="F1905" s="3">
        <f t="shared" si="58"/>
        <v>2.852983</v>
      </c>
      <c r="G1905" s="3">
        <f t="shared" si="59"/>
        <v>14.142982999999999</v>
      </c>
    </row>
    <row r="1906" spans="1:7" x14ac:dyDescent="0.3">
      <c r="A1906" t="s">
        <v>13039</v>
      </c>
      <c r="B1906" t="s">
        <v>3839</v>
      </c>
      <c r="C1906" t="s">
        <v>3840</v>
      </c>
      <c r="D1906" s="1" t="s">
        <v>427</v>
      </c>
      <c r="E1906" s="3">
        <v>11.81</v>
      </c>
      <c r="F1906" s="3">
        <f t="shared" si="58"/>
        <v>2.9843870000000003</v>
      </c>
      <c r="G1906" s="3">
        <f t="shared" si="59"/>
        <v>14.794387</v>
      </c>
    </row>
    <row r="1907" spans="1:7" x14ac:dyDescent="0.3">
      <c r="A1907" t="s">
        <v>13039</v>
      </c>
      <c r="B1907" t="s">
        <v>3841</v>
      </c>
      <c r="C1907" t="s">
        <v>3842</v>
      </c>
      <c r="D1907" s="1" t="s">
        <v>427</v>
      </c>
      <c r="E1907" s="3">
        <v>12.58</v>
      </c>
      <c r="F1907" s="3">
        <f t="shared" si="58"/>
        <v>3.1789660000000004</v>
      </c>
      <c r="G1907" s="3">
        <f t="shared" si="59"/>
        <v>15.758966000000001</v>
      </c>
    </row>
    <row r="1908" spans="1:7" x14ac:dyDescent="0.3">
      <c r="A1908" t="s">
        <v>13039</v>
      </c>
      <c r="B1908" t="s">
        <v>3843</v>
      </c>
      <c r="C1908" t="s">
        <v>3844</v>
      </c>
      <c r="D1908" s="1" t="s">
        <v>427</v>
      </c>
      <c r="E1908" s="3">
        <v>13.14</v>
      </c>
      <c r="F1908" s="3">
        <f t="shared" si="58"/>
        <v>3.3204780000000005</v>
      </c>
      <c r="G1908" s="3">
        <f t="shared" si="59"/>
        <v>16.460478000000002</v>
      </c>
    </row>
    <row r="1909" spans="1:7" x14ac:dyDescent="0.3">
      <c r="A1909" t="s">
        <v>13039</v>
      </c>
      <c r="B1909" t="s">
        <v>3845</v>
      </c>
      <c r="C1909" t="s">
        <v>3846</v>
      </c>
      <c r="D1909" s="1" t="s">
        <v>427</v>
      </c>
      <c r="E1909" s="3">
        <v>13.73</v>
      </c>
      <c r="F1909" s="3">
        <f t="shared" si="58"/>
        <v>3.4695710000000006</v>
      </c>
      <c r="G1909" s="3">
        <f t="shared" si="59"/>
        <v>17.199571000000002</v>
      </c>
    </row>
    <row r="1910" spans="1:7" x14ac:dyDescent="0.3">
      <c r="A1910" t="s">
        <v>13039</v>
      </c>
      <c r="B1910" t="s">
        <v>3847</v>
      </c>
      <c r="C1910" t="s">
        <v>3848</v>
      </c>
      <c r="D1910" s="1" t="s">
        <v>427</v>
      </c>
      <c r="E1910" s="3">
        <v>14.37</v>
      </c>
      <c r="F1910" s="3">
        <f t="shared" si="58"/>
        <v>3.6312990000000003</v>
      </c>
      <c r="G1910" s="3">
        <f t="shared" si="59"/>
        <v>18.001298999999999</v>
      </c>
    </row>
    <row r="1911" spans="1:7" x14ac:dyDescent="0.3">
      <c r="A1911" t="s">
        <v>13039</v>
      </c>
      <c r="B1911" t="s">
        <v>3849</v>
      </c>
      <c r="C1911" t="s">
        <v>3850</v>
      </c>
      <c r="D1911" s="1" t="s">
        <v>427</v>
      </c>
      <c r="E1911" s="3">
        <v>15.04</v>
      </c>
      <c r="F1911" s="3">
        <f t="shared" si="58"/>
        <v>3.8006080000000004</v>
      </c>
      <c r="G1911" s="3">
        <f t="shared" si="59"/>
        <v>18.840608</v>
      </c>
    </row>
    <row r="1912" spans="1:7" x14ac:dyDescent="0.3">
      <c r="A1912" t="s">
        <v>13039</v>
      </c>
      <c r="B1912" t="s">
        <v>3851</v>
      </c>
      <c r="C1912" t="s">
        <v>3852</v>
      </c>
      <c r="D1912" s="1" t="s">
        <v>427</v>
      </c>
      <c r="E1912" s="3">
        <v>15.93</v>
      </c>
      <c r="F1912" s="3">
        <f t="shared" si="58"/>
        <v>4.0255110000000007</v>
      </c>
      <c r="G1912" s="3">
        <f t="shared" si="59"/>
        <v>19.955511000000001</v>
      </c>
    </row>
    <row r="1913" spans="1:7" x14ac:dyDescent="0.3">
      <c r="A1913" t="s">
        <v>13039</v>
      </c>
      <c r="B1913" t="s">
        <v>3853</v>
      </c>
      <c r="C1913" t="s">
        <v>3854</v>
      </c>
      <c r="D1913" s="1" t="s">
        <v>427</v>
      </c>
      <c r="E1913" s="3">
        <v>16.670000000000002</v>
      </c>
      <c r="F1913" s="3">
        <f t="shared" si="58"/>
        <v>4.2125090000000007</v>
      </c>
      <c r="G1913" s="3">
        <f t="shared" si="59"/>
        <v>20.882509000000002</v>
      </c>
    </row>
    <row r="1914" spans="1:7" x14ac:dyDescent="0.3">
      <c r="A1914" t="s">
        <v>13039</v>
      </c>
      <c r="B1914" t="s">
        <v>3855</v>
      </c>
      <c r="C1914" t="s">
        <v>3856</v>
      </c>
      <c r="D1914" s="1" t="s">
        <v>427</v>
      </c>
      <c r="E1914" s="3">
        <v>17.45</v>
      </c>
      <c r="F1914" s="3">
        <f t="shared" si="58"/>
        <v>4.4096150000000005</v>
      </c>
      <c r="G1914" s="3">
        <f t="shared" si="59"/>
        <v>21.859614999999998</v>
      </c>
    </row>
    <row r="1915" spans="1:7" x14ac:dyDescent="0.3">
      <c r="A1915" t="s">
        <v>13039</v>
      </c>
      <c r="B1915" t="s">
        <v>3857</v>
      </c>
      <c r="C1915" t="s">
        <v>3858</v>
      </c>
      <c r="D1915" s="1" t="s">
        <v>427</v>
      </c>
      <c r="E1915" s="3">
        <v>18.47</v>
      </c>
      <c r="F1915" s="3">
        <f t="shared" si="58"/>
        <v>4.6673690000000008</v>
      </c>
      <c r="G1915" s="3">
        <f t="shared" si="59"/>
        <v>23.137369</v>
      </c>
    </row>
    <row r="1916" spans="1:7" x14ac:dyDescent="0.3">
      <c r="A1916" t="s">
        <v>13039</v>
      </c>
      <c r="B1916" t="s">
        <v>3859</v>
      </c>
      <c r="C1916" t="s">
        <v>3860</v>
      </c>
      <c r="D1916" s="1" t="s">
        <v>427</v>
      </c>
      <c r="E1916" s="3">
        <v>19.5</v>
      </c>
      <c r="F1916" s="3">
        <f t="shared" si="58"/>
        <v>4.9276500000000008</v>
      </c>
      <c r="G1916" s="3">
        <f t="shared" si="59"/>
        <v>24.42765</v>
      </c>
    </row>
    <row r="1917" spans="1:7" x14ac:dyDescent="0.3">
      <c r="A1917" t="s">
        <v>13039</v>
      </c>
      <c r="B1917" t="s">
        <v>3861</v>
      </c>
      <c r="C1917" t="s">
        <v>3862</v>
      </c>
      <c r="D1917" s="1" t="s">
        <v>427</v>
      </c>
      <c r="E1917" s="3">
        <v>20.85</v>
      </c>
      <c r="F1917" s="3">
        <f t="shared" si="58"/>
        <v>5.2687950000000008</v>
      </c>
      <c r="G1917" s="3">
        <f t="shared" si="59"/>
        <v>26.118795000000002</v>
      </c>
    </row>
    <row r="1918" spans="1:7" x14ac:dyDescent="0.3">
      <c r="A1918" t="s">
        <v>13039</v>
      </c>
      <c r="B1918" t="s">
        <v>3863</v>
      </c>
      <c r="C1918" t="s">
        <v>3864</v>
      </c>
      <c r="D1918" s="1" t="s">
        <v>427</v>
      </c>
      <c r="E1918" s="3">
        <v>22.18</v>
      </c>
      <c r="F1918" s="3">
        <f t="shared" si="58"/>
        <v>5.6048860000000005</v>
      </c>
      <c r="G1918" s="3">
        <f t="shared" si="59"/>
        <v>27.784886</v>
      </c>
    </row>
    <row r="1919" spans="1:7" x14ac:dyDescent="0.3">
      <c r="A1919" t="s">
        <v>13039</v>
      </c>
      <c r="B1919" t="s">
        <v>3865</v>
      </c>
      <c r="C1919" t="s">
        <v>3866</v>
      </c>
      <c r="D1919" s="1" t="s">
        <v>427</v>
      </c>
      <c r="E1919" s="3">
        <v>23.63</v>
      </c>
      <c r="F1919" s="3">
        <f t="shared" si="58"/>
        <v>5.9713010000000004</v>
      </c>
      <c r="G1919" s="3">
        <f t="shared" si="59"/>
        <v>29.601300999999999</v>
      </c>
    </row>
    <row r="1920" spans="1:7" x14ac:dyDescent="0.3">
      <c r="A1920" t="s">
        <v>13039</v>
      </c>
      <c r="B1920" t="s">
        <v>3867</v>
      </c>
      <c r="C1920" t="s">
        <v>3868</v>
      </c>
      <c r="D1920" s="1" t="s">
        <v>427</v>
      </c>
      <c r="E1920" s="3">
        <v>5.55</v>
      </c>
      <c r="F1920" s="3">
        <f t="shared" si="58"/>
        <v>1.4024850000000002</v>
      </c>
      <c r="G1920" s="3">
        <f t="shared" si="59"/>
        <v>6.9524850000000002</v>
      </c>
    </row>
    <row r="1921" spans="1:7" x14ac:dyDescent="0.3">
      <c r="A1921" t="s">
        <v>13039</v>
      </c>
      <c r="B1921" t="s">
        <v>3869</v>
      </c>
      <c r="C1921" t="s">
        <v>3870</v>
      </c>
      <c r="D1921" s="1" t="s">
        <v>427</v>
      </c>
      <c r="E1921" s="3">
        <v>25.34</v>
      </c>
      <c r="F1921" s="3">
        <f t="shared" si="58"/>
        <v>6.4034180000000012</v>
      </c>
      <c r="G1921" s="3">
        <f t="shared" si="59"/>
        <v>31.743418000000002</v>
      </c>
    </row>
    <row r="1922" spans="1:7" x14ac:dyDescent="0.3">
      <c r="A1922" t="s">
        <v>13039</v>
      </c>
      <c r="B1922" t="s">
        <v>3871</v>
      </c>
      <c r="C1922" t="s">
        <v>3872</v>
      </c>
      <c r="D1922" s="1" t="s">
        <v>427</v>
      </c>
      <c r="E1922" s="3">
        <v>27.23</v>
      </c>
      <c r="F1922" s="3">
        <f t="shared" si="58"/>
        <v>6.8810210000000014</v>
      </c>
      <c r="G1922" s="3">
        <f t="shared" si="59"/>
        <v>34.111021000000001</v>
      </c>
    </row>
    <row r="1923" spans="1:7" x14ac:dyDescent="0.3">
      <c r="A1923" t="s">
        <v>13039</v>
      </c>
      <c r="B1923" t="s">
        <v>3873</v>
      </c>
      <c r="C1923" t="s">
        <v>3874</v>
      </c>
      <c r="D1923" s="1" t="s">
        <v>427</v>
      </c>
      <c r="E1923" s="3">
        <v>29.64</v>
      </c>
      <c r="F1923" s="3">
        <f t="shared" si="58"/>
        <v>7.4900280000000015</v>
      </c>
      <c r="G1923" s="3">
        <f t="shared" si="59"/>
        <v>37.130028000000003</v>
      </c>
    </row>
    <row r="1924" spans="1:7" x14ac:dyDescent="0.3">
      <c r="A1924" t="s">
        <v>13039</v>
      </c>
      <c r="B1924" t="s">
        <v>3875</v>
      </c>
      <c r="C1924" t="s">
        <v>3876</v>
      </c>
      <c r="D1924" s="1" t="s">
        <v>427</v>
      </c>
      <c r="E1924" s="3">
        <v>32.020000000000003</v>
      </c>
      <c r="F1924" s="3">
        <f t="shared" si="58"/>
        <v>8.0914540000000024</v>
      </c>
      <c r="G1924" s="3">
        <f t="shared" si="59"/>
        <v>40.111454000000009</v>
      </c>
    </row>
    <row r="1925" spans="1:7" x14ac:dyDescent="0.3">
      <c r="A1925" t="s">
        <v>13039</v>
      </c>
      <c r="B1925" t="s">
        <v>3877</v>
      </c>
      <c r="C1925" t="s">
        <v>3878</v>
      </c>
      <c r="D1925" s="1" t="s">
        <v>427</v>
      </c>
      <c r="E1925" s="3">
        <v>34.229999999999997</v>
      </c>
      <c r="F1925" s="3">
        <f t="shared" si="58"/>
        <v>8.6499210000000009</v>
      </c>
      <c r="G1925" s="3">
        <f t="shared" si="59"/>
        <v>42.879920999999996</v>
      </c>
    </row>
    <row r="1926" spans="1:7" x14ac:dyDescent="0.3">
      <c r="A1926" t="s">
        <v>13039</v>
      </c>
      <c r="B1926" t="s">
        <v>3879</v>
      </c>
      <c r="C1926" t="s">
        <v>3880</v>
      </c>
      <c r="D1926" s="1" t="s">
        <v>427</v>
      </c>
      <c r="E1926" s="3">
        <v>36.409999999999997</v>
      </c>
      <c r="F1926" s="3">
        <f t="shared" si="58"/>
        <v>9.2008070000000011</v>
      </c>
      <c r="G1926" s="3">
        <f t="shared" si="59"/>
        <v>45.610806999999994</v>
      </c>
    </row>
    <row r="1927" spans="1:7" x14ac:dyDescent="0.3">
      <c r="A1927" t="s">
        <v>13039</v>
      </c>
      <c r="B1927" t="s">
        <v>3881</v>
      </c>
      <c r="C1927" t="s">
        <v>3882</v>
      </c>
      <c r="D1927" s="1" t="s">
        <v>427</v>
      </c>
      <c r="E1927" s="3">
        <v>38.83</v>
      </c>
      <c r="F1927" s="3">
        <f t="shared" ref="F1927:F1990" si="60">+E1927*$F$4</f>
        <v>9.8123410000000018</v>
      </c>
      <c r="G1927" s="3">
        <f t="shared" ref="G1927:G1990" si="61">+E1927+F1927</f>
        <v>48.642341000000002</v>
      </c>
    </row>
    <row r="1928" spans="1:7" x14ac:dyDescent="0.3">
      <c r="A1928" t="s">
        <v>13039</v>
      </c>
      <c r="B1928" t="s">
        <v>3883</v>
      </c>
      <c r="C1928" t="s">
        <v>3884</v>
      </c>
      <c r="D1928" s="1" t="s">
        <v>427</v>
      </c>
      <c r="E1928" s="3">
        <v>41.7</v>
      </c>
      <c r="F1928" s="3">
        <f t="shared" si="60"/>
        <v>10.537590000000002</v>
      </c>
      <c r="G1928" s="3">
        <f t="shared" si="61"/>
        <v>52.237590000000004</v>
      </c>
    </row>
    <row r="1929" spans="1:7" x14ac:dyDescent="0.3">
      <c r="A1929" t="s">
        <v>13039</v>
      </c>
      <c r="B1929" t="s">
        <v>3885</v>
      </c>
      <c r="C1929" t="s">
        <v>3886</v>
      </c>
      <c r="D1929" s="1" t="s">
        <v>427</v>
      </c>
      <c r="E1929" s="3">
        <v>43.89</v>
      </c>
      <c r="F1929" s="3">
        <f t="shared" si="60"/>
        <v>11.091003000000002</v>
      </c>
      <c r="G1929" s="3">
        <f t="shared" si="61"/>
        <v>54.981003000000001</v>
      </c>
    </row>
    <row r="1930" spans="1:7" x14ac:dyDescent="0.3">
      <c r="A1930" t="s">
        <v>13039</v>
      </c>
      <c r="B1930" t="s">
        <v>3887</v>
      </c>
      <c r="C1930" t="s">
        <v>3888</v>
      </c>
      <c r="D1930" s="1" t="s">
        <v>427</v>
      </c>
      <c r="E1930" s="3">
        <v>5.8</v>
      </c>
      <c r="F1930" s="3">
        <f t="shared" si="60"/>
        <v>1.4656600000000002</v>
      </c>
      <c r="G1930" s="3">
        <f t="shared" si="61"/>
        <v>7.2656600000000005</v>
      </c>
    </row>
    <row r="1931" spans="1:7" x14ac:dyDescent="0.3">
      <c r="A1931" t="s">
        <v>13039</v>
      </c>
      <c r="B1931" t="s">
        <v>3889</v>
      </c>
      <c r="C1931" t="s">
        <v>3890</v>
      </c>
      <c r="D1931" s="1" t="s">
        <v>427</v>
      </c>
      <c r="E1931" s="3">
        <v>6.07</v>
      </c>
      <c r="F1931" s="3">
        <f t="shared" si="60"/>
        <v>1.5338890000000003</v>
      </c>
      <c r="G1931" s="3">
        <f t="shared" si="61"/>
        <v>7.6038890000000006</v>
      </c>
    </row>
    <row r="1932" spans="1:7" x14ac:dyDescent="0.3">
      <c r="A1932" t="s">
        <v>13039</v>
      </c>
      <c r="B1932" t="s">
        <v>3891</v>
      </c>
      <c r="C1932" t="s">
        <v>3892</v>
      </c>
      <c r="D1932" s="1" t="s">
        <v>427</v>
      </c>
      <c r="E1932" s="3">
        <v>5.47</v>
      </c>
      <c r="F1932" s="3">
        <f t="shared" si="60"/>
        <v>1.3822690000000002</v>
      </c>
      <c r="G1932" s="3">
        <f t="shared" si="61"/>
        <v>6.8522689999999997</v>
      </c>
    </row>
    <row r="1933" spans="1:7" x14ac:dyDescent="0.3">
      <c r="A1933" t="s">
        <v>13039</v>
      </c>
      <c r="B1933" t="s">
        <v>3893</v>
      </c>
      <c r="C1933" t="s">
        <v>3894</v>
      </c>
      <c r="D1933" s="1" t="s">
        <v>427</v>
      </c>
      <c r="E1933" s="3">
        <v>6.54</v>
      </c>
      <c r="F1933" s="3">
        <f t="shared" si="60"/>
        <v>1.6526580000000002</v>
      </c>
      <c r="G1933" s="3">
        <f t="shared" si="61"/>
        <v>8.1926579999999998</v>
      </c>
    </row>
    <row r="1934" spans="1:7" x14ac:dyDescent="0.3">
      <c r="A1934" t="s">
        <v>13039</v>
      </c>
      <c r="B1934" t="s">
        <v>3895</v>
      </c>
      <c r="C1934" t="s">
        <v>3896</v>
      </c>
      <c r="D1934" s="1" t="s">
        <v>427</v>
      </c>
      <c r="E1934" s="3">
        <v>6.95</v>
      </c>
      <c r="F1934" s="3">
        <f t="shared" si="60"/>
        <v>1.7562650000000002</v>
      </c>
      <c r="G1934" s="3">
        <f t="shared" si="61"/>
        <v>8.7062650000000001</v>
      </c>
    </row>
    <row r="1935" spans="1:7" x14ac:dyDescent="0.3">
      <c r="A1935" t="s">
        <v>13039</v>
      </c>
      <c r="B1935" t="s">
        <v>3897</v>
      </c>
      <c r="C1935" t="s">
        <v>3898</v>
      </c>
      <c r="D1935" s="1" t="s">
        <v>427</v>
      </c>
      <c r="E1935" s="3">
        <v>7.51</v>
      </c>
      <c r="F1935" s="3">
        <f t="shared" si="60"/>
        <v>1.8977770000000003</v>
      </c>
      <c r="G1935" s="3">
        <f t="shared" si="61"/>
        <v>9.4077769999999994</v>
      </c>
    </row>
    <row r="1936" spans="1:7" x14ac:dyDescent="0.3">
      <c r="A1936" t="s">
        <v>13039</v>
      </c>
      <c r="B1936" t="s">
        <v>3899</v>
      </c>
      <c r="C1936" t="s">
        <v>3900</v>
      </c>
      <c r="D1936" s="1" t="s">
        <v>427</v>
      </c>
      <c r="E1936" s="3">
        <v>7.88</v>
      </c>
      <c r="F1936" s="3">
        <f t="shared" si="60"/>
        <v>1.9912760000000003</v>
      </c>
      <c r="G1936" s="3">
        <f t="shared" si="61"/>
        <v>9.8712759999999999</v>
      </c>
    </row>
    <row r="1937" spans="1:7" x14ac:dyDescent="0.3">
      <c r="A1937" t="s">
        <v>13039</v>
      </c>
      <c r="B1937" t="s">
        <v>3901</v>
      </c>
      <c r="C1937" t="s">
        <v>3902</v>
      </c>
      <c r="D1937" s="1" t="s">
        <v>427</v>
      </c>
      <c r="E1937" s="3">
        <v>8.23</v>
      </c>
      <c r="F1937" s="3">
        <f t="shared" si="60"/>
        <v>2.0797210000000006</v>
      </c>
      <c r="G1937" s="3">
        <f t="shared" si="61"/>
        <v>10.309721000000001</v>
      </c>
    </row>
    <row r="1938" spans="1:7" x14ac:dyDescent="0.3">
      <c r="A1938" t="s">
        <v>13039</v>
      </c>
      <c r="B1938" t="s">
        <v>3903</v>
      </c>
      <c r="C1938" t="s">
        <v>3904</v>
      </c>
      <c r="D1938" s="1" t="s">
        <v>427</v>
      </c>
      <c r="E1938" s="3">
        <v>8.58</v>
      </c>
      <c r="F1938" s="3">
        <f t="shared" si="60"/>
        <v>2.1681660000000003</v>
      </c>
      <c r="G1938" s="3">
        <f t="shared" si="61"/>
        <v>10.748166000000001</v>
      </c>
    </row>
    <row r="1939" spans="1:7" x14ac:dyDescent="0.3">
      <c r="A1939" t="s">
        <v>13039</v>
      </c>
      <c r="B1939" t="s">
        <v>3905</v>
      </c>
      <c r="C1939" t="s">
        <v>3906</v>
      </c>
      <c r="D1939" s="1" t="s">
        <v>427</v>
      </c>
      <c r="E1939" s="3">
        <v>8.8699999999999992</v>
      </c>
      <c r="F1939" s="3">
        <f t="shared" si="60"/>
        <v>2.2414490000000002</v>
      </c>
      <c r="G1939" s="3">
        <f t="shared" si="61"/>
        <v>11.111449</v>
      </c>
    </row>
    <row r="1940" spans="1:7" x14ac:dyDescent="0.3">
      <c r="A1940" t="s">
        <v>13039</v>
      </c>
      <c r="B1940" t="s">
        <v>3907</v>
      </c>
      <c r="C1940" t="s">
        <v>3908</v>
      </c>
      <c r="D1940" s="1" t="s">
        <v>427</v>
      </c>
      <c r="E1940" s="3">
        <v>9.5</v>
      </c>
      <c r="F1940" s="3">
        <f t="shared" si="60"/>
        <v>2.4006500000000002</v>
      </c>
      <c r="G1940" s="3">
        <f t="shared" si="61"/>
        <v>11.900650000000001</v>
      </c>
    </row>
    <row r="1941" spans="1:7" x14ac:dyDescent="0.3">
      <c r="A1941" t="s">
        <v>13039</v>
      </c>
      <c r="B1941" t="s">
        <v>3909</v>
      </c>
      <c r="C1941" t="s">
        <v>3910</v>
      </c>
      <c r="D1941" s="1" t="s">
        <v>427</v>
      </c>
      <c r="E1941" s="3">
        <v>9.82</v>
      </c>
      <c r="F1941" s="3">
        <f t="shared" si="60"/>
        <v>2.4815140000000002</v>
      </c>
      <c r="G1941" s="3">
        <f t="shared" si="61"/>
        <v>12.301514000000001</v>
      </c>
    </row>
    <row r="1942" spans="1:7" x14ac:dyDescent="0.3">
      <c r="A1942" t="s">
        <v>13039</v>
      </c>
      <c r="B1942" t="s">
        <v>3911</v>
      </c>
      <c r="C1942" t="s">
        <v>3912</v>
      </c>
      <c r="D1942" s="1" t="s">
        <v>427</v>
      </c>
      <c r="E1942" s="3">
        <v>10.14</v>
      </c>
      <c r="F1942" s="3">
        <f t="shared" si="60"/>
        <v>2.5623780000000007</v>
      </c>
      <c r="G1942" s="3">
        <f t="shared" si="61"/>
        <v>12.702378000000001</v>
      </c>
    </row>
    <row r="1943" spans="1:7" x14ac:dyDescent="0.3">
      <c r="A1943" t="s">
        <v>13039</v>
      </c>
      <c r="B1943" t="s">
        <v>3913</v>
      </c>
      <c r="C1943" t="s">
        <v>3914</v>
      </c>
      <c r="D1943" s="1" t="s">
        <v>427</v>
      </c>
      <c r="E1943" s="3">
        <v>10.47</v>
      </c>
      <c r="F1943" s="3">
        <f t="shared" si="60"/>
        <v>2.6457690000000005</v>
      </c>
      <c r="G1943" s="3">
        <f t="shared" si="61"/>
        <v>13.115769</v>
      </c>
    </row>
    <row r="1944" spans="1:7" x14ac:dyDescent="0.3">
      <c r="A1944" t="s">
        <v>13039</v>
      </c>
      <c r="B1944" t="s">
        <v>3915</v>
      </c>
      <c r="C1944" t="s">
        <v>3916</v>
      </c>
      <c r="D1944" s="1" t="s">
        <v>427</v>
      </c>
      <c r="E1944" s="3">
        <v>10.81</v>
      </c>
      <c r="F1944" s="3">
        <f t="shared" si="60"/>
        <v>2.7316870000000004</v>
      </c>
      <c r="G1944" s="3">
        <f t="shared" si="61"/>
        <v>13.541687000000001</v>
      </c>
    </row>
    <row r="1945" spans="1:7" x14ac:dyDescent="0.3">
      <c r="A1945" t="s">
        <v>13039</v>
      </c>
      <c r="B1945" t="s">
        <v>3917</v>
      </c>
      <c r="C1945" t="s">
        <v>3918</v>
      </c>
      <c r="D1945" s="1" t="s">
        <v>427</v>
      </c>
      <c r="E1945" s="3">
        <v>11.47</v>
      </c>
      <c r="F1945" s="3">
        <f t="shared" si="60"/>
        <v>2.8984690000000004</v>
      </c>
      <c r="G1945" s="3">
        <f t="shared" si="61"/>
        <v>14.368469000000001</v>
      </c>
    </row>
    <row r="1946" spans="1:7" x14ac:dyDescent="0.3">
      <c r="A1946" t="s">
        <v>13039</v>
      </c>
      <c r="B1946" t="s">
        <v>3919</v>
      </c>
      <c r="C1946" t="s">
        <v>3920</v>
      </c>
      <c r="D1946" s="1" t="s">
        <v>427</v>
      </c>
      <c r="E1946" s="3">
        <v>11.9</v>
      </c>
      <c r="F1946" s="3">
        <f t="shared" si="60"/>
        <v>3.0071300000000005</v>
      </c>
      <c r="G1946" s="3">
        <f t="shared" si="61"/>
        <v>14.90713</v>
      </c>
    </row>
    <row r="1947" spans="1:7" x14ac:dyDescent="0.3">
      <c r="A1947" t="s">
        <v>13039</v>
      </c>
      <c r="B1947" t="s">
        <v>3921</v>
      </c>
      <c r="C1947" t="s">
        <v>3922</v>
      </c>
      <c r="D1947" s="1" t="s">
        <v>427</v>
      </c>
      <c r="E1947" s="3">
        <v>12.34</v>
      </c>
      <c r="F1947" s="3">
        <f t="shared" si="60"/>
        <v>3.1183180000000004</v>
      </c>
      <c r="G1947" s="3">
        <f t="shared" si="61"/>
        <v>15.458318</v>
      </c>
    </row>
    <row r="1948" spans="1:7" x14ac:dyDescent="0.3">
      <c r="A1948" t="s">
        <v>13039</v>
      </c>
      <c r="B1948" t="s">
        <v>3923</v>
      </c>
      <c r="C1948" t="s">
        <v>3924</v>
      </c>
      <c r="D1948" s="1" t="s">
        <v>427</v>
      </c>
      <c r="E1948" s="3">
        <v>12.87</v>
      </c>
      <c r="F1948" s="3">
        <f t="shared" si="60"/>
        <v>3.2522490000000004</v>
      </c>
      <c r="G1948" s="3">
        <f t="shared" si="61"/>
        <v>16.122249</v>
      </c>
    </row>
    <row r="1949" spans="1:7" x14ac:dyDescent="0.3">
      <c r="A1949" t="s">
        <v>13039</v>
      </c>
      <c r="B1949" t="s">
        <v>3925</v>
      </c>
      <c r="C1949" t="s">
        <v>3926</v>
      </c>
      <c r="D1949" s="1" t="s">
        <v>427</v>
      </c>
      <c r="E1949" s="3">
        <v>13.34</v>
      </c>
      <c r="F1949" s="3">
        <f t="shared" si="60"/>
        <v>3.3710180000000003</v>
      </c>
      <c r="G1949" s="3">
        <f t="shared" si="61"/>
        <v>16.711017999999999</v>
      </c>
    </row>
    <row r="1950" spans="1:7" x14ac:dyDescent="0.3">
      <c r="A1950" t="s">
        <v>13039</v>
      </c>
      <c r="B1950" t="s">
        <v>3927</v>
      </c>
      <c r="C1950" t="s">
        <v>3928</v>
      </c>
      <c r="D1950" s="1" t="s">
        <v>427</v>
      </c>
      <c r="E1950" s="3">
        <v>14.09</v>
      </c>
      <c r="F1950" s="3">
        <f t="shared" si="60"/>
        <v>3.5605430000000005</v>
      </c>
      <c r="G1950" s="3">
        <f t="shared" si="61"/>
        <v>17.650542999999999</v>
      </c>
    </row>
    <row r="1951" spans="1:7" x14ac:dyDescent="0.3">
      <c r="A1951" t="s">
        <v>13039</v>
      </c>
      <c r="B1951" t="s">
        <v>3929</v>
      </c>
      <c r="C1951" t="s">
        <v>3930</v>
      </c>
      <c r="D1951" s="1" t="s">
        <v>427</v>
      </c>
      <c r="E1951" s="3">
        <v>14.69</v>
      </c>
      <c r="F1951" s="3">
        <f t="shared" si="60"/>
        <v>3.7121630000000003</v>
      </c>
      <c r="G1951" s="3">
        <f t="shared" si="61"/>
        <v>18.402163000000002</v>
      </c>
    </row>
    <row r="1952" spans="1:7" x14ac:dyDescent="0.3">
      <c r="A1952" t="s">
        <v>13039</v>
      </c>
      <c r="B1952" t="s">
        <v>3931</v>
      </c>
      <c r="C1952" t="s">
        <v>3932</v>
      </c>
      <c r="D1952" s="1" t="s">
        <v>427</v>
      </c>
      <c r="E1952" s="3">
        <v>15.31</v>
      </c>
      <c r="F1952" s="3">
        <f t="shared" si="60"/>
        <v>3.8688370000000005</v>
      </c>
      <c r="G1952" s="3">
        <f t="shared" si="61"/>
        <v>19.178837000000001</v>
      </c>
    </row>
    <row r="1953" spans="1:7" x14ac:dyDescent="0.3">
      <c r="A1953" t="s">
        <v>13039</v>
      </c>
      <c r="B1953" t="s">
        <v>3933</v>
      </c>
      <c r="C1953" t="s">
        <v>3934</v>
      </c>
      <c r="D1953" s="1" t="s">
        <v>427</v>
      </c>
      <c r="E1953" s="3">
        <v>15.97</v>
      </c>
      <c r="F1953" s="3">
        <f t="shared" si="60"/>
        <v>4.0356190000000005</v>
      </c>
      <c r="G1953" s="3">
        <f t="shared" si="61"/>
        <v>20.005619000000003</v>
      </c>
    </row>
    <row r="1954" spans="1:7" x14ac:dyDescent="0.3">
      <c r="A1954" t="s">
        <v>13039</v>
      </c>
      <c r="B1954" t="s">
        <v>3935</v>
      </c>
      <c r="C1954" t="s">
        <v>3936</v>
      </c>
      <c r="D1954" s="1" t="s">
        <v>427</v>
      </c>
      <c r="E1954" s="3">
        <v>16.649999999999999</v>
      </c>
      <c r="F1954" s="3">
        <f t="shared" si="60"/>
        <v>4.2074550000000004</v>
      </c>
      <c r="G1954" s="3">
        <f t="shared" si="61"/>
        <v>20.857454999999998</v>
      </c>
    </row>
    <row r="1955" spans="1:7" x14ac:dyDescent="0.3">
      <c r="A1955" t="s">
        <v>13039</v>
      </c>
      <c r="B1955" t="s">
        <v>3937</v>
      </c>
      <c r="C1955" t="s">
        <v>3938</v>
      </c>
      <c r="D1955" s="1" t="s">
        <v>427</v>
      </c>
      <c r="E1955" s="3">
        <v>17.64</v>
      </c>
      <c r="F1955" s="3">
        <f t="shared" si="60"/>
        <v>4.4576280000000006</v>
      </c>
      <c r="G1955" s="3">
        <f t="shared" si="61"/>
        <v>22.097628</v>
      </c>
    </row>
    <row r="1956" spans="1:7" x14ac:dyDescent="0.3">
      <c r="A1956" t="s">
        <v>13039</v>
      </c>
      <c r="B1956" t="s">
        <v>3939</v>
      </c>
      <c r="C1956" t="s">
        <v>3940</v>
      </c>
      <c r="D1956" s="1" t="s">
        <v>427</v>
      </c>
      <c r="E1956" s="3">
        <v>18.59</v>
      </c>
      <c r="F1956" s="3">
        <f t="shared" si="60"/>
        <v>4.697693000000001</v>
      </c>
      <c r="G1956" s="3">
        <f t="shared" si="61"/>
        <v>23.287693000000001</v>
      </c>
    </row>
    <row r="1957" spans="1:7" x14ac:dyDescent="0.3">
      <c r="A1957" t="s">
        <v>13039</v>
      </c>
      <c r="B1957" t="s">
        <v>3941</v>
      </c>
      <c r="C1957" t="s">
        <v>3942</v>
      </c>
      <c r="D1957" s="1" t="s">
        <v>427</v>
      </c>
      <c r="E1957" s="3">
        <v>19.62</v>
      </c>
      <c r="F1957" s="3">
        <f t="shared" si="60"/>
        <v>4.957974000000001</v>
      </c>
      <c r="G1957" s="3">
        <f t="shared" si="61"/>
        <v>24.577974000000001</v>
      </c>
    </row>
    <row r="1958" spans="1:7" x14ac:dyDescent="0.3">
      <c r="A1958" t="s">
        <v>13039</v>
      </c>
      <c r="B1958" t="s">
        <v>3943</v>
      </c>
      <c r="C1958" t="s">
        <v>3944</v>
      </c>
      <c r="D1958" s="1" t="s">
        <v>427</v>
      </c>
      <c r="E1958" s="3">
        <v>5.32</v>
      </c>
      <c r="F1958" s="3">
        <f t="shared" si="60"/>
        <v>1.3443640000000003</v>
      </c>
      <c r="G1958" s="3">
        <f t="shared" si="61"/>
        <v>6.6643640000000008</v>
      </c>
    </row>
    <row r="1959" spans="1:7" x14ac:dyDescent="0.3">
      <c r="A1959" t="s">
        <v>13039</v>
      </c>
      <c r="B1959" t="s">
        <v>3945</v>
      </c>
      <c r="C1959" t="s">
        <v>3946</v>
      </c>
      <c r="D1959" s="1" t="s">
        <v>427</v>
      </c>
      <c r="E1959" s="3">
        <v>20.91</v>
      </c>
      <c r="F1959" s="3">
        <f t="shared" si="60"/>
        <v>5.2839570000000009</v>
      </c>
      <c r="G1959" s="3">
        <f t="shared" si="61"/>
        <v>26.193957000000001</v>
      </c>
    </row>
    <row r="1960" spans="1:7" x14ac:dyDescent="0.3">
      <c r="A1960" t="s">
        <v>13039</v>
      </c>
      <c r="B1960" t="s">
        <v>3947</v>
      </c>
      <c r="C1960" t="s">
        <v>3948</v>
      </c>
      <c r="D1960" s="1" t="s">
        <v>427</v>
      </c>
      <c r="E1960" s="3">
        <v>22.28</v>
      </c>
      <c r="F1960" s="3">
        <f t="shared" si="60"/>
        <v>5.6301560000000013</v>
      </c>
      <c r="G1960" s="3">
        <f t="shared" si="61"/>
        <v>27.910156000000001</v>
      </c>
    </row>
    <row r="1961" spans="1:7" x14ac:dyDescent="0.3">
      <c r="A1961" t="s">
        <v>13039</v>
      </c>
      <c r="B1961" t="s">
        <v>3949</v>
      </c>
      <c r="C1961" t="s">
        <v>3950</v>
      </c>
      <c r="D1961" s="1" t="s">
        <v>427</v>
      </c>
      <c r="E1961" s="3">
        <v>24.13</v>
      </c>
      <c r="F1961" s="3">
        <f t="shared" si="60"/>
        <v>6.0976510000000008</v>
      </c>
      <c r="G1961" s="3">
        <f t="shared" si="61"/>
        <v>30.227651000000002</v>
      </c>
    </row>
    <row r="1962" spans="1:7" x14ac:dyDescent="0.3">
      <c r="A1962" t="s">
        <v>13039</v>
      </c>
      <c r="B1962" t="s">
        <v>3951</v>
      </c>
      <c r="C1962" t="s">
        <v>3952</v>
      </c>
      <c r="D1962" s="1" t="s">
        <v>427</v>
      </c>
      <c r="E1962" s="3">
        <v>25.48</v>
      </c>
      <c r="F1962" s="3">
        <f t="shared" si="60"/>
        <v>6.4387960000000009</v>
      </c>
      <c r="G1962" s="3">
        <f t="shared" si="61"/>
        <v>31.918796</v>
      </c>
    </row>
    <row r="1963" spans="1:7" x14ac:dyDescent="0.3">
      <c r="A1963" t="s">
        <v>13039</v>
      </c>
      <c r="B1963" t="s">
        <v>3953</v>
      </c>
      <c r="C1963" t="s">
        <v>3954</v>
      </c>
      <c r="D1963" s="1" t="s">
        <v>427</v>
      </c>
      <c r="E1963" s="3">
        <v>27.03</v>
      </c>
      <c r="F1963" s="3">
        <f t="shared" si="60"/>
        <v>6.8304810000000016</v>
      </c>
      <c r="G1963" s="3">
        <f t="shared" si="61"/>
        <v>33.860481</v>
      </c>
    </row>
    <row r="1964" spans="1:7" x14ac:dyDescent="0.3">
      <c r="A1964" t="s">
        <v>13039</v>
      </c>
      <c r="B1964" t="s">
        <v>3955</v>
      </c>
      <c r="C1964" t="s">
        <v>3956</v>
      </c>
      <c r="D1964" s="1" t="s">
        <v>427</v>
      </c>
      <c r="E1964" s="3">
        <v>28.8</v>
      </c>
      <c r="F1964" s="3">
        <f t="shared" si="60"/>
        <v>7.2777600000000016</v>
      </c>
      <c r="G1964" s="3">
        <f t="shared" si="61"/>
        <v>36.077760000000005</v>
      </c>
    </row>
    <row r="1965" spans="1:7" x14ac:dyDescent="0.3">
      <c r="A1965" t="s">
        <v>13039</v>
      </c>
      <c r="B1965" t="s">
        <v>3957</v>
      </c>
      <c r="C1965" t="s">
        <v>3958</v>
      </c>
      <c r="D1965" s="1" t="s">
        <v>427</v>
      </c>
      <c r="E1965" s="3">
        <v>30.36</v>
      </c>
      <c r="F1965" s="3">
        <f t="shared" si="60"/>
        <v>7.6719720000000011</v>
      </c>
      <c r="G1965" s="3">
        <f t="shared" si="61"/>
        <v>38.031972000000003</v>
      </c>
    </row>
    <row r="1966" spans="1:7" x14ac:dyDescent="0.3">
      <c r="A1966" t="s">
        <v>13039</v>
      </c>
      <c r="B1966" t="s">
        <v>3959</v>
      </c>
      <c r="C1966" t="s">
        <v>3960</v>
      </c>
      <c r="D1966" s="1" t="s">
        <v>427</v>
      </c>
      <c r="E1966" s="3">
        <v>32.47</v>
      </c>
      <c r="F1966" s="3">
        <f t="shared" si="60"/>
        <v>8.2051690000000015</v>
      </c>
      <c r="G1966" s="3">
        <f t="shared" si="61"/>
        <v>40.675168999999997</v>
      </c>
    </row>
    <row r="1967" spans="1:7" x14ac:dyDescent="0.3">
      <c r="A1967" t="s">
        <v>13039</v>
      </c>
      <c r="B1967" t="s">
        <v>3961</v>
      </c>
      <c r="C1967" t="s">
        <v>3962</v>
      </c>
      <c r="D1967" s="1" t="s">
        <v>427</v>
      </c>
      <c r="E1967" s="3">
        <v>34.479999999999997</v>
      </c>
      <c r="F1967" s="3">
        <f t="shared" si="60"/>
        <v>8.7130960000000002</v>
      </c>
      <c r="G1967" s="3">
        <f t="shared" si="61"/>
        <v>43.193095999999997</v>
      </c>
    </row>
    <row r="1968" spans="1:7" x14ac:dyDescent="0.3">
      <c r="A1968" t="s">
        <v>13039</v>
      </c>
      <c r="B1968" t="s">
        <v>3963</v>
      </c>
      <c r="C1968" t="s">
        <v>3964</v>
      </c>
      <c r="D1968" s="1" t="s">
        <v>427</v>
      </c>
      <c r="E1968" s="3">
        <v>36.299999999999997</v>
      </c>
      <c r="F1968" s="3">
        <f t="shared" si="60"/>
        <v>9.1730100000000014</v>
      </c>
      <c r="G1968" s="3">
        <f t="shared" si="61"/>
        <v>45.473010000000002</v>
      </c>
    </row>
    <row r="1969" spans="1:7" x14ac:dyDescent="0.3">
      <c r="A1969" t="s">
        <v>13039</v>
      </c>
      <c r="B1969" t="s">
        <v>3965</v>
      </c>
      <c r="C1969" t="s">
        <v>3966</v>
      </c>
      <c r="D1969" s="1" t="s">
        <v>427</v>
      </c>
      <c r="E1969" s="3">
        <v>5.8</v>
      </c>
      <c r="F1969" s="3">
        <f t="shared" si="60"/>
        <v>1.4656600000000002</v>
      </c>
      <c r="G1969" s="3">
        <f t="shared" si="61"/>
        <v>7.2656600000000005</v>
      </c>
    </row>
    <row r="1970" spans="1:7" x14ac:dyDescent="0.3">
      <c r="A1970" t="s">
        <v>13039</v>
      </c>
      <c r="B1970" t="s">
        <v>3967</v>
      </c>
      <c r="C1970" t="s">
        <v>3968</v>
      </c>
      <c r="D1970" s="1" t="s">
        <v>427</v>
      </c>
      <c r="E1970" s="3">
        <v>38.44</v>
      </c>
      <c r="F1970" s="3">
        <f t="shared" si="60"/>
        <v>9.713788000000001</v>
      </c>
      <c r="G1970" s="3">
        <f t="shared" si="61"/>
        <v>48.153787999999999</v>
      </c>
    </row>
    <row r="1971" spans="1:7" x14ac:dyDescent="0.3">
      <c r="A1971" t="s">
        <v>13039</v>
      </c>
      <c r="B1971" t="s">
        <v>3969</v>
      </c>
      <c r="C1971" t="s">
        <v>3970</v>
      </c>
      <c r="D1971" s="1" t="s">
        <v>427</v>
      </c>
      <c r="E1971" s="3">
        <v>40.83</v>
      </c>
      <c r="F1971" s="3">
        <f t="shared" si="60"/>
        <v>10.317741000000002</v>
      </c>
      <c r="G1971" s="3">
        <f t="shared" si="61"/>
        <v>51.147740999999996</v>
      </c>
    </row>
    <row r="1972" spans="1:7" x14ac:dyDescent="0.3">
      <c r="A1972" t="s">
        <v>13039</v>
      </c>
      <c r="B1972" t="s">
        <v>3971</v>
      </c>
      <c r="C1972" t="s">
        <v>3972</v>
      </c>
      <c r="D1972" s="1" t="s">
        <v>427</v>
      </c>
      <c r="E1972" s="3">
        <v>43.2</v>
      </c>
      <c r="F1972" s="3">
        <f t="shared" si="60"/>
        <v>10.916640000000003</v>
      </c>
      <c r="G1972" s="3">
        <f t="shared" si="61"/>
        <v>54.116640000000004</v>
      </c>
    </row>
    <row r="1973" spans="1:7" x14ac:dyDescent="0.3">
      <c r="A1973" t="s">
        <v>13039</v>
      </c>
      <c r="B1973" t="s">
        <v>3973</v>
      </c>
      <c r="C1973" t="s">
        <v>3974</v>
      </c>
      <c r="D1973" s="1" t="s">
        <v>427</v>
      </c>
      <c r="E1973" s="3">
        <v>45.54</v>
      </c>
      <c r="F1973" s="3">
        <f t="shared" si="60"/>
        <v>11.507958000000002</v>
      </c>
      <c r="G1973" s="3">
        <f t="shared" si="61"/>
        <v>57.047958000000001</v>
      </c>
    </row>
    <row r="1974" spans="1:7" x14ac:dyDescent="0.3">
      <c r="A1974" t="s">
        <v>13039</v>
      </c>
      <c r="B1974" t="s">
        <v>3975</v>
      </c>
      <c r="C1974" t="s">
        <v>3976</v>
      </c>
      <c r="D1974" s="1" t="s">
        <v>427</v>
      </c>
      <c r="E1974" s="3">
        <v>48.14</v>
      </c>
      <c r="F1974" s="3">
        <f t="shared" si="60"/>
        <v>12.164978000000001</v>
      </c>
      <c r="G1974" s="3">
        <f t="shared" si="61"/>
        <v>60.304978000000006</v>
      </c>
    </row>
    <row r="1975" spans="1:7" x14ac:dyDescent="0.3">
      <c r="A1975" t="s">
        <v>13039</v>
      </c>
      <c r="B1975" t="s">
        <v>3977</v>
      </c>
      <c r="C1975" t="s">
        <v>3978</v>
      </c>
      <c r="D1975" s="1" t="s">
        <v>427</v>
      </c>
      <c r="E1975" s="3">
        <v>51.12</v>
      </c>
      <c r="F1975" s="3">
        <f t="shared" si="60"/>
        <v>12.918024000000001</v>
      </c>
      <c r="G1975" s="3">
        <f t="shared" si="61"/>
        <v>64.038023999999993</v>
      </c>
    </row>
    <row r="1976" spans="1:7" x14ac:dyDescent="0.3">
      <c r="A1976" t="s">
        <v>13039</v>
      </c>
      <c r="B1976" t="s">
        <v>3979</v>
      </c>
      <c r="C1976" t="s">
        <v>3980</v>
      </c>
      <c r="D1976" s="1" t="s">
        <v>427</v>
      </c>
      <c r="E1976" s="3">
        <v>54.44</v>
      </c>
      <c r="F1976" s="3">
        <f t="shared" si="60"/>
        <v>13.756988000000002</v>
      </c>
      <c r="G1976" s="3">
        <f t="shared" si="61"/>
        <v>68.196988000000005</v>
      </c>
    </row>
    <row r="1977" spans="1:7" x14ac:dyDescent="0.3">
      <c r="A1977" t="s">
        <v>13039</v>
      </c>
      <c r="B1977" t="s">
        <v>3981</v>
      </c>
      <c r="C1977" t="s">
        <v>3982</v>
      </c>
      <c r="D1977" s="1" t="s">
        <v>427</v>
      </c>
      <c r="E1977" s="3">
        <v>56.96</v>
      </c>
      <c r="F1977" s="3">
        <f t="shared" si="60"/>
        <v>14.393792000000003</v>
      </c>
      <c r="G1977" s="3">
        <f t="shared" si="61"/>
        <v>71.353791999999999</v>
      </c>
    </row>
    <row r="1978" spans="1:7" x14ac:dyDescent="0.3">
      <c r="A1978" t="s">
        <v>13039</v>
      </c>
      <c r="B1978" t="s">
        <v>3983</v>
      </c>
      <c r="C1978" t="s">
        <v>3984</v>
      </c>
      <c r="D1978" s="1" t="s">
        <v>427</v>
      </c>
      <c r="E1978" s="3">
        <v>59.36</v>
      </c>
      <c r="F1978" s="3">
        <f t="shared" si="60"/>
        <v>15.000272000000002</v>
      </c>
      <c r="G1978" s="3">
        <f t="shared" si="61"/>
        <v>74.360272000000009</v>
      </c>
    </row>
    <row r="1979" spans="1:7" x14ac:dyDescent="0.3">
      <c r="A1979" t="s">
        <v>13039</v>
      </c>
      <c r="B1979" t="s">
        <v>3985</v>
      </c>
      <c r="C1979" t="s">
        <v>3986</v>
      </c>
      <c r="D1979" s="1" t="s">
        <v>427</v>
      </c>
      <c r="E1979" s="3">
        <v>62.03</v>
      </c>
      <c r="F1979" s="3">
        <f t="shared" si="60"/>
        <v>15.674981000000002</v>
      </c>
      <c r="G1979" s="3">
        <f t="shared" si="61"/>
        <v>77.704981000000004</v>
      </c>
    </row>
    <row r="1980" spans="1:7" x14ac:dyDescent="0.3">
      <c r="A1980" t="s">
        <v>13039</v>
      </c>
      <c r="B1980" t="s">
        <v>3987</v>
      </c>
      <c r="C1980" t="s">
        <v>3988</v>
      </c>
      <c r="D1980" s="1" t="s">
        <v>427</v>
      </c>
      <c r="E1980" s="3">
        <v>6.13</v>
      </c>
      <c r="F1980" s="3">
        <f t="shared" si="60"/>
        <v>1.5490510000000002</v>
      </c>
      <c r="G1980" s="3">
        <f t="shared" si="61"/>
        <v>7.6790510000000003</v>
      </c>
    </row>
    <row r="1981" spans="1:7" x14ac:dyDescent="0.3">
      <c r="A1981" t="s">
        <v>13039</v>
      </c>
      <c r="B1981" t="s">
        <v>3989</v>
      </c>
      <c r="C1981" t="s">
        <v>3990</v>
      </c>
      <c r="D1981" s="1" t="s">
        <v>427</v>
      </c>
      <c r="E1981" s="3">
        <v>4.96</v>
      </c>
      <c r="F1981" s="3">
        <f t="shared" si="60"/>
        <v>1.2533920000000001</v>
      </c>
      <c r="G1981" s="3">
        <f t="shared" si="61"/>
        <v>6.2133919999999998</v>
      </c>
    </row>
    <row r="1982" spans="1:7" x14ac:dyDescent="0.3">
      <c r="A1982" t="s">
        <v>13039</v>
      </c>
      <c r="B1982" t="s">
        <v>3991</v>
      </c>
      <c r="C1982" t="s">
        <v>3992</v>
      </c>
      <c r="D1982" s="1" t="s">
        <v>427</v>
      </c>
      <c r="E1982" s="3">
        <v>30.91</v>
      </c>
      <c r="F1982" s="3">
        <f t="shared" si="60"/>
        <v>7.810957000000001</v>
      </c>
      <c r="G1982" s="3">
        <f t="shared" si="61"/>
        <v>38.720956999999999</v>
      </c>
    </row>
    <row r="1983" spans="1:7" x14ac:dyDescent="0.3">
      <c r="A1983" t="s">
        <v>13039</v>
      </c>
      <c r="B1983" t="s">
        <v>3993</v>
      </c>
      <c r="C1983" t="s">
        <v>3994</v>
      </c>
      <c r="D1983" s="1" t="s">
        <v>427</v>
      </c>
      <c r="E1983" s="3">
        <v>31.45</v>
      </c>
      <c r="F1983" s="3">
        <f t="shared" si="60"/>
        <v>7.9474150000000012</v>
      </c>
      <c r="G1983" s="3">
        <f t="shared" si="61"/>
        <v>39.397415000000002</v>
      </c>
    </row>
    <row r="1984" spans="1:7" x14ac:dyDescent="0.3">
      <c r="A1984" t="s">
        <v>13039</v>
      </c>
      <c r="B1984" t="s">
        <v>3995</v>
      </c>
      <c r="C1984" t="s">
        <v>3996</v>
      </c>
      <c r="D1984" s="1" t="s">
        <v>427</v>
      </c>
      <c r="E1984" s="3">
        <v>32</v>
      </c>
      <c r="F1984" s="3">
        <f t="shared" si="60"/>
        <v>8.0864000000000011</v>
      </c>
      <c r="G1984" s="3">
        <f t="shared" si="61"/>
        <v>40.086399999999998</v>
      </c>
    </row>
    <row r="1985" spans="1:7" x14ac:dyDescent="0.3">
      <c r="A1985" t="s">
        <v>13039</v>
      </c>
      <c r="B1985" t="s">
        <v>3997</v>
      </c>
      <c r="C1985" t="s">
        <v>3998</v>
      </c>
      <c r="D1985" s="1" t="s">
        <v>427</v>
      </c>
      <c r="E1985" s="3">
        <v>32.57</v>
      </c>
      <c r="F1985" s="3">
        <f t="shared" si="60"/>
        <v>8.2304390000000005</v>
      </c>
      <c r="G1985" s="3">
        <f t="shared" si="61"/>
        <v>40.800438999999997</v>
      </c>
    </row>
    <row r="1986" spans="1:7" x14ac:dyDescent="0.3">
      <c r="A1986" t="s">
        <v>13039</v>
      </c>
      <c r="B1986" t="s">
        <v>3999</v>
      </c>
      <c r="C1986" t="s">
        <v>4000</v>
      </c>
      <c r="D1986" s="1" t="s">
        <v>427</v>
      </c>
      <c r="E1986" s="3">
        <v>33.19</v>
      </c>
      <c r="F1986" s="3">
        <f t="shared" si="60"/>
        <v>8.3871130000000012</v>
      </c>
      <c r="G1986" s="3">
        <f t="shared" si="61"/>
        <v>41.577112999999997</v>
      </c>
    </row>
    <row r="1987" spans="1:7" x14ac:dyDescent="0.3">
      <c r="A1987" t="s">
        <v>13039</v>
      </c>
      <c r="B1987" t="s">
        <v>4001</v>
      </c>
      <c r="C1987" t="s">
        <v>4002</v>
      </c>
      <c r="D1987" s="1" t="s">
        <v>427</v>
      </c>
      <c r="E1987" s="3">
        <v>33.51</v>
      </c>
      <c r="F1987" s="3">
        <f t="shared" si="60"/>
        <v>8.4679770000000012</v>
      </c>
      <c r="G1987" s="3">
        <f t="shared" si="61"/>
        <v>41.977976999999996</v>
      </c>
    </row>
    <row r="1988" spans="1:7" x14ac:dyDescent="0.3">
      <c r="A1988" t="s">
        <v>13039</v>
      </c>
      <c r="B1988" t="s">
        <v>4003</v>
      </c>
      <c r="C1988" t="s">
        <v>4004</v>
      </c>
      <c r="D1988" s="1" t="s">
        <v>427</v>
      </c>
      <c r="E1988" s="3">
        <v>17.8</v>
      </c>
      <c r="F1988" s="3">
        <f t="shared" si="60"/>
        <v>4.4980600000000006</v>
      </c>
      <c r="G1988" s="3">
        <f t="shared" si="61"/>
        <v>22.29806</v>
      </c>
    </row>
    <row r="1989" spans="1:7" x14ac:dyDescent="0.3">
      <c r="A1989" t="s">
        <v>13039</v>
      </c>
      <c r="B1989" t="s">
        <v>4005</v>
      </c>
      <c r="C1989" t="s">
        <v>4006</v>
      </c>
      <c r="D1989" s="1" t="s">
        <v>427</v>
      </c>
      <c r="E1989" s="3">
        <v>17.93</v>
      </c>
      <c r="F1989" s="3">
        <f t="shared" si="60"/>
        <v>4.5309110000000006</v>
      </c>
      <c r="G1989" s="3">
        <f t="shared" si="61"/>
        <v>22.460910999999999</v>
      </c>
    </row>
    <row r="1990" spans="1:7" x14ac:dyDescent="0.3">
      <c r="A1990" t="s">
        <v>13039</v>
      </c>
      <c r="B1990" t="s">
        <v>4007</v>
      </c>
      <c r="C1990" t="s">
        <v>4008</v>
      </c>
      <c r="D1990" s="1" t="s">
        <v>427</v>
      </c>
      <c r="E1990" s="3">
        <v>18.07</v>
      </c>
      <c r="F1990" s="3">
        <f t="shared" si="60"/>
        <v>4.5662890000000012</v>
      </c>
      <c r="G1990" s="3">
        <f t="shared" si="61"/>
        <v>22.636289000000001</v>
      </c>
    </row>
    <row r="1991" spans="1:7" x14ac:dyDescent="0.3">
      <c r="A1991" t="s">
        <v>13039</v>
      </c>
      <c r="B1991" t="s">
        <v>4009</v>
      </c>
      <c r="C1991" t="s">
        <v>4010</v>
      </c>
      <c r="D1991" s="1" t="s">
        <v>427</v>
      </c>
      <c r="E1991" s="3">
        <v>18.22</v>
      </c>
      <c r="F1991" s="3">
        <f t="shared" ref="F1991:F2054" si="62">+E1991*$F$4</f>
        <v>4.6041940000000006</v>
      </c>
      <c r="G1991" s="3">
        <f t="shared" ref="G1991:G2054" si="63">+E1991+F1991</f>
        <v>22.824193999999999</v>
      </c>
    </row>
    <row r="1992" spans="1:7" x14ac:dyDescent="0.3">
      <c r="A1992" t="s">
        <v>13039</v>
      </c>
      <c r="B1992" t="s">
        <v>4011</v>
      </c>
      <c r="C1992" t="s">
        <v>4012</v>
      </c>
      <c r="D1992" s="1" t="s">
        <v>427</v>
      </c>
      <c r="E1992" s="3">
        <v>18.37</v>
      </c>
      <c r="F1992" s="3">
        <f t="shared" si="62"/>
        <v>4.6420990000000009</v>
      </c>
      <c r="G1992" s="3">
        <f t="shared" si="63"/>
        <v>23.012099000000003</v>
      </c>
    </row>
    <row r="1993" spans="1:7" x14ac:dyDescent="0.3">
      <c r="A1993" t="s">
        <v>13039</v>
      </c>
      <c r="B1993" t="s">
        <v>4013</v>
      </c>
      <c r="C1993" t="s">
        <v>4014</v>
      </c>
      <c r="D1993" s="1" t="s">
        <v>427</v>
      </c>
      <c r="E1993" s="3">
        <v>18.46</v>
      </c>
      <c r="F1993" s="3">
        <f t="shared" si="62"/>
        <v>4.664842000000001</v>
      </c>
      <c r="G1993" s="3">
        <f t="shared" si="63"/>
        <v>23.124842000000001</v>
      </c>
    </row>
    <row r="1994" spans="1:7" x14ac:dyDescent="0.3">
      <c r="A1994" t="s">
        <v>13039</v>
      </c>
      <c r="B1994" t="s">
        <v>4015</v>
      </c>
      <c r="C1994" t="s">
        <v>4016</v>
      </c>
      <c r="D1994" s="1" t="s">
        <v>427</v>
      </c>
      <c r="E1994" s="3">
        <v>23.44</v>
      </c>
      <c r="F1994" s="3">
        <f t="shared" si="62"/>
        <v>5.9232880000000012</v>
      </c>
      <c r="G1994" s="3">
        <f t="shared" si="63"/>
        <v>29.363288000000004</v>
      </c>
    </row>
    <row r="1995" spans="1:7" x14ac:dyDescent="0.3">
      <c r="A1995" t="s">
        <v>13039</v>
      </c>
      <c r="B1995" t="s">
        <v>4017</v>
      </c>
      <c r="C1995" t="s">
        <v>4018</v>
      </c>
      <c r="D1995" s="1" t="s">
        <v>427</v>
      </c>
      <c r="E1995" s="3">
        <v>23.57</v>
      </c>
      <c r="F1995" s="3">
        <f t="shared" si="62"/>
        <v>5.9561390000000012</v>
      </c>
      <c r="G1995" s="3">
        <f t="shared" si="63"/>
        <v>29.526139000000001</v>
      </c>
    </row>
    <row r="1996" spans="1:7" x14ac:dyDescent="0.3">
      <c r="A1996" t="s">
        <v>13039</v>
      </c>
      <c r="B1996" t="s">
        <v>4019</v>
      </c>
      <c r="C1996" t="s">
        <v>4020</v>
      </c>
      <c r="D1996" s="1" t="s">
        <v>427</v>
      </c>
      <c r="E1996" s="3">
        <v>23.7</v>
      </c>
      <c r="F1996" s="3">
        <f t="shared" si="62"/>
        <v>5.9889900000000003</v>
      </c>
      <c r="G1996" s="3">
        <f t="shared" si="63"/>
        <v>29.68899</v>
      </c>
    </row>
    <row r="1997" spans="1:7" x14ac:dyDescent="0.3">
      <c r="A1997" t="s">
        <v>13039</v>
      </c>
      <c r="B1997" t="s">
        <v>4021</v>
      </c>
      <c r="C1997" t="s">
        <v>4022</v>
      </c>
      <c r="D1997" s="1" t="s">
        <v>427</v>
      </c>
      <c r="E1997" s="3">
        <v>23.84</v>
      </c>
      <c r="F1997" s="3">
        <f t="shared" si="62"/>
        <v>6.0243680000000008</v>
      </c>
      <c r="G1997" s="3">
        <f t="shared" si="63"/>
        <v>29.864367999999999</v>
      </c>
    </row>
    <row r="1998" spans="1:7" x14ac:dyDescent="0.3">
      <c r="A1998" t="s">
        <v>13039</v>
      </c>
      <c r="B1998" t="s">
        <v>4023</v>
      </c>
      <c r="C1998" t="s">
        <v>4024</v>
      </c>
      <c r="D1998" s="1" t="s">
        <v>427</v>
      </c>
      <c r="E1998" s="3">
        <v>23.98</v>
      </c>
      <c r="F1998" s="3">
        <f t="shared" si="62"/>
        <v>6.0597460000000005</v>
      </c>
      <c r="G1998" s="3">
        <f t="shared" si="63"/>
        <v>30.039746000000001</v>
      </c>
    </row>
    <row r="1999" spans="1:7" x14ac:dyDescent="0.3">
      <c r="A1999" t="s">
        <v>13039</v>
      </c>
      <c r="B1999" t="s">
        <v>4025</v>
      </c>
      <c r="C1999" t="s">
        <v>4026</v>
      </c>
      <c r="D1999" s="1" t="s">
        <v>427</v>
      </c>
      <c r="E1999" s="3">
        <v>24.06</v>
      </c>
      <c r="F1999" s="3">
        <f t="shared" si="62"/>
        <v>6.079962000000001</v>
      </c>
      <c r="G1999" s="3">
        <f t="shared" si="63"/>
        <v>30.139962000000001</v>
      </c>
    </row>
    <row r="2000" spans="1:7" x14ac:dyDescent="0.3">
      <c r="A2000" t="s">
        <v>13039</v>
      </c>
      <c r="B2000" t="s">
        <v>4027</v>
      </c>
      <c r="C2000" t="s">
        <v>4028</v>
      </c>
      <c r="D2000" s="1" t="s">
        <v>427</v>
      </c>
      <c r="E2000" s="3">
        <v>20.59</v>
      </c>
      <c r="F2000" s="3">
        <f t="shared" si="62"/>
        <v>5.2030930000000009</v>
      </c>
      <c r="G2000" s="3">
        <f t="shared" si="63"/>
        <v>25.793092999999999</v>
      </c>
    </row>
    <row r="2001" spans="1:7" x14ac:dyDescent="0.3">
      <c r="A2001" t="s">
        <v>13039</v>
      </c>
      <c r="B2001" t="s">
        <v>4029</v>
      </c>
      <c r="C2001" t="s">
        <v>4030</v>
      </c>
      <c r="D2001" s="1" t="s">
        <v>427</v>
      </c>
      <c r="E2001" s="3">
        <v>20.91</v>
      </c>
      <c r="F2001" s="3">
        <f t="shared" si="62"/>
        <v>5.2839570000000009</v>
      </c>
      <c r="G2001" s="3">
        <f t="shared" si="63"/>
        <v>26.193957000000001</v>
      </c>
    </row>
    <row r="2002" spans="1:7" x14ac:dyDescent="0.3">
      <c r="A2002" t="s">
        <v>13039</v>
      </c>
      <c r="B2002" t="s">
        <v>4031</v>
      </c>
      <c r="C2002" t="s">
        <v>4032</v>
      </c>
      <c r="D2002" s="1" t="s">
        <v>427</v>
      </c>
      <c r="E2002" s="3">
        <v>21.23</v>
      </c>
      <c r="F2002" s="3">
        <f t="shared" si="62"/>
        <v>5.364821000000001</v>
      </c>
      <c r="G2002" s="3">
        <f t="shared" si="63"/>
        <v>26.594821000000003</v>
      </c>
    </row>
    <row r="2003" spans="1:7" x14ac:dyDescent="0.3">
      <c r="A2003" t="s">
        <v>13039</v>
      </c>
      <c r="B2003" t="s">
        <v>4033</v>
      </c>
      <c r="C2003" t="s">
        <v>4034</v>
      </c>
      <c r="D2003" s="1" t="s">
        <v>427</v>
      </c>
      <c r="E2003" s="3">
        <v>21.57</v>
      </c>
      <c r="F2003" s="3">
        <f t="shared" si="62"/>
        <v>5.4507390000000004</v>
      </c>
      <c r="G2003" s="3">
        <f t="shared" si="63"/>
        <v>27.020738999999999</v>
      </c>
    </row>
    <row r="2004" spans="1:7" x14ac:dyDescent="0.3">
      <c r="A2004" t="s">
        <v>13039</v>
      </c>
      <c r="B2004" t="s">
        <v>4035</v>
      </c>
      <c r="C2004" t="s">
        <v>4036</v>
      </c>
      <c r="D2004" s="1" t="s">
        <v>427</v>
      </c>
      <c r="E2004" s="3">
        <v>21.93</v>
      </c>
      <c r="F2004" s="3">
        <f t="shared" si="62"/>
        <v>5.5417110000000003</v>
      </c>
      <c r="G2004" s="3">
        <f t="shared" si="63"/>
        <v>27.471710999999999</v>
      </c>
    </row>
    <row r="2005" spans="1:7" x14ac:dyDescent="0.3">
      <c r="A2005" t="s">
        <v>13039</v>
      </c>
      <c r="B2005" t="s">
        <v>4037</v>
      </c>
      <c r="C2005" t="s">
        <v>4038</v>
      </c>
      <c r="D2005" s="1" t="s">
        <v>427</v>
      </c>
      <c r="E2005" s="3">
        <v>22.12</v>
      </c>
      <c r="F2005" s="3">
        <f t="shared" si="62"/>
        <v>5.5897240000000012</v>
      </c>
      <c r="G2005" s="3">
        <f t="shared" si="63"/>
        <v>27.709724000000001</v>
      </c>
    </row>
    <row r="2006" spans="1:7" x14ac:dyDescent="0.3">
      <c r="A2006" t="s">
        <v>13039</v>
      </c>
      <c r="B2006" t="s">
        <v>4039</v>
      </c>
      <c r="C2006" t="s">
        <v>4040</v>
      </c>
      <c r="D2006" s="1" t="s">
        <v>427</v>
      </c>
      <c r="E2006" s="3">
        <v>29.21</v>
      </c>
      <c r="F2006" s="3">
        <f t="shared" si="62"/>
        <v>7.3813670000000009</v>
      </c>
      <c r="G2006" s="3">
        <f t="shared" si="63"/>
        <v>36.591367000000005</v>
      </c>
    </row>
    <row r="2007" spans="1:7" x14ac:dyDescent="0.3">
      <c r="A2007" t="s">
        <v>13039</v>
      </c>
      <c r="B2007" t="s">
        <v>4041</v>
      </c>
      <c r="C2007" t="s">
        <v>4042</v>
      </c>
      <c r="D2007" s="1" t="s">
        <v>427</v>
      </c>
      <c r="E2007" s="3">
        <v>29.33</v>
      </c>
      <c r="F2007" s="3">
        <f t="shared" si="62"/>
        <v>7.4116910000000003</v>
      </c>
      <c r="G2007" s="3">
        <f t="shared" si="63"/>
        <v>36.741690999999996</v>
      </c>
    </row>
    <row r="2008" spans="1:7" x14ac:dyDescent="0.3">
      <c r="A2008" t="s">
        <v>13039</v>
      </c>
      <c r="B2008" t="s">
        <v>4043</v>
      </c>
      <c r="C2008" t="s">
        <v>4044</v>
      </c>
      <c r="D2008" s="1" t="s">
        <v>427</v>
      </c>
      <c r="E2008" s="3">
        <v>29.46</v>
      </c>
      <c r="F2008" s="3">
        <f t="shared" si="62"/>
        <v>7.4445420000000011</v>
      </c>
      <c r="G2008" s="3">
        <f t="shared" si="63"/>
        <v>36.904541999999999</v>
      </c>
    </row>
    <row r="2009" spans="1:7" x14ac:dyDescent="0.3">
      <c r="A2009" t="s">
        <v>13039</v>
      </c>
      <c r="B2009" t="s">
        <v>4045</v>
      </c>
      <c r="C2009" t="s">
        <v>4046</v>
      </c>
      <c r="D2009" s="1" t="s">
        <v>427</v>
      </c>
      <c r="E2009" s="3">
        <v>29.59</v>
      </c>
      <c r="F2009" s="3">
        <f t="shared" si="62"/>
        <v>7.4773930000000011</v>
      </c>
      <c r="G2009" s="3">
        <f t="shared" si="63"/>
        <v>37.067393000000003</v>
      </c>
    </row>
    <row r="2010" spans="1:7" x14ac:dyDescent="0.3">
      <c r="A2010" t="s">
        <v>13039</v>
      </c>
      <c r="B2010" t="s">
        <v>4047</v>
      </c>
      <c r="C2010" t="s">
        <v>4048</v>
      </c>
      <c r="D2010" s="1" t="s">
        <v>427</v>
      </c>
      <c r="E2010" s="3">
        <v>29.73</v>
      </c>
      <c r="F2010" s="3">
        <f t="shared" si="62"/>
        <v>7.5127710000000008</v>
      </c>
      <c r="G2010" s="3">
        <f t="shared" si="63"/>
        <v>37.242771000000005</v>
      </c>
    </row>
    <row r="2011" spans="1:7" x14ac:dyDescent="0.3">
      <c r="A2011" t="s">
        <v>13039</v>
      </c>
      <c r="B2011" t="s">
        <v>4049</v>
      </c>
      <c r="C2011" t="s">
        <v>4050</v>
      </c>
      <c r="D2011" s="1" t="s">
        <v>427</v>
      </c>
      <c r="E2011" s="3">
        <v>29.81</v>
      </c>
      <c r="F2011" s="3">
        <f t="shared" si="62"/>
        <v>7.5329870000000003</v>
      </c>
      <c r="G2011" s="3">
        <f t="shared" si="63"/>
        <v>37.342987000000001</v>
      </c>
    </row>
    <row r="2012" spans="1:7" x14ac:dyDescent="0.3">
      <c r="A2012" t="s">
        <v>13039</v>
      </c>
      <c r="B2012" t="s">
        <v>4051</v>
      </c>
      <c r="C2012" t="s">
        <v>4052</v>
      </c>
      <c r="D2012" s="1" t="s">
        <v>427</v>
      </c>
      <c r="E2012" s="3">
        <v>18.920000000000002</v>
      </c>
      <c r="F2012" s="3">
        <f t="shared" si="62"/>
        <v>4.7810840000000008</v>
      </c>
      <c r="G2012" s="3">
        <f t="shared" si="63"/>
        <v>23.701084000000002</v>
      </c>
    </row>
    <row r="2013" spans="1:7" x14ac:dyDescent="0.3">
      <c r="A2013" t="s">
        <v>13039</v>
      </c>
      <c r="B2013" t="s">
        <v>4053</v>
      </c>
      <c r="C2013" t="s">
        <v>4054</v>
      </c>
      <c r="D2013" s="1" t="s">
        <v>427</v>
      </c>
      <c r="E2013" s="3">
        <v>19.170000000000002</v>
      </c>
      <c r="F2013" s="3">
        <f t="shared" si="62"/>
        <v>4.844259000000001</v>
      </c>
      <c r="G2013" s="3">
        <f t="shared" si="63"/>
        <v>24.014259000000003</v>
      </c>
    </row>
    <row r="2014" spans="1:7" x14ac:dyDescent="0.3">
      <c r="A2014" t="s">
        <v>13039</v>
      </c>
      <c r="B2014" t="s">
        <v>4055</v>
      </c>
      <c r="C2014" t="s">
        <v>4056</v>
      </c>
      <c r="D2014" s="1" t="s">
        <v>427</v>
      </c>
      <c r="E2014" s="3">
        <v>19.420000000000002</v>
      </c>
      <c r="F2014" s="3">
        <f t="shared" si="62"/>
        <v>4.9074340000000012</v>
      </c>
      <c r="G2014" s="3">
        <f t="shared" si="63"/>
        <v>24.327434000000004</v>
      </c>
    </row>
    <row r="2015" spans="1:7" x14ac:dyDescent="0.3">
      <c r="A2015" t="s">
        <v>13039</v>
      </c>
      <c r="B2015" t="s">
        <v>4057</v>
      </c>
      <c r="C2015" t="s">
        <v>4058</v>
      </c>
      <c r="D2015" s="1" t="s">
        <v>427</v>
      </c>
      <c r="E2015" s="3">
        <v>19.690000000000001</v>
      </c>
      <c r="F2015" s="3">
        <f t="shared" si="62"/>
        <v>4.9756630000000008</v>
      </c>
      <c r="G2015" s="3">
        <f t="shared" si="63"/>
        <v>24.665663000000002</v>
      </c>
    </row>
    <row r="2016" spans="1:7" x14ac:dyDescent="0.3">
      <c r="A2016" t="s">
        <v>13039</v>
      </c>
      <c r="B2016" t="s">
        <v>4059</v>
      </c>
      <c r="C2016" t="s">
        <v>4060</v>
      </c>
      <c r="D2016" s="1" t="s">
        <v>427</v>
      </c>
      <c r="E2016" s="3">
        <v>19.97</v>
      </c>
      <c r="F2016" s="3">
        <f t="shared" si="62"/>
        <v>5.0464190000000002</v>
      </c>
      <c r="G2016" s="3">
        <f t="shared" si="63"/>
        <v>25.016418999999999</v>
      </c>
    </row>
    <row r="2017" spans="1:7" x14ac:dyDescent="0.3">
      <c r="A2017" t="s">
        <v>13039</v>
      </c>
      <c r="B2017" t="s">
        <v>4061</v>
      </c>
      <c r="C2017" t="s">
        <v>4062</v>
      </c>
      <c r="D2017" s="1" t="s">
        <v>427</v>
      </c>
      <c r="E2017" s="3">
        <v>20.12</v>
      </c>
      <c r="F2017" s="3">
        <f t="shared" si="62"/>
        <v>5.0843240000000014</v>
      </c>
      <c r="G2017" s="3">
        <f t="shared" si="63"/>
        <v>25.204324000000003</v>
      </c>
    </row>
    <row r="2018" spans="1:7" x14ac:dyDescent="0.3">
      <c r="A2018" t="s">
        <v>13039</v>
      </c>
      <c r="B2018" t="s">
        <v>4063</v>
      </c>
      <c r="C2018" t="s">
        <v>4064</v>
      </c>
      <c r="D2018" s="1" t="s">
        <v>427</v>
      </c>
      <c r="E2018" s="3">
        <v>17.649999999999999</v>
      </c>
      <c r="F2018" s="3">
        <f t="shared" si="62"/>
        <v>4.4601550000000003</v>
      </c>
      <c r="G2018" s="3">
        <f t="shared" si="63"/>
        <v>22.110154999999999</v>
      </c>
    </row>
    <row r="2019" spans="1:7" x14ac:dyDescent="0.3">
      <c r="A2019" t="s">
        <v>13039</v>
      </c>
      <c r="B2019" t="s">
        <v>4065</v>
      </c>
      <c r="C2019" t="s">
        <v>4066</v>
      </c>
      <c r="D2019" s="1" t="s">
        <v>427</v>
      </c>
      <c r="E2019" s="3">
        <v>17.86</v>
      </c>
      <c r="F2019" s="3">
        <f t="shared" si="62"/>
        <v>4.5132220000000007</v>
      </c>
      <c r="G2019" s="3">
        <f t="shared" si="63"/>
        <v>22.373221999999998</v>
      </c>
    </row>
    <row r="2020" spans="1:7" x14ac:dyDescent="0.3">
      <c r="A2020" t="s">
        <v>13039</v>
      </c>
      <c r="B2020" t="s">
        <v>4067</v>
      </c>
      <c r="C2020" t="s">
        <v>4068</v>
      </c>
      <c r="D2020" s="1" t="s">
        <v>427</v>
      </c>
      <c r="E2020" s="3">
        <v>18.079999999999998</v>
      </c>
      <c r="F2020" s="3">
        <f t="shared" si="62"/>
        <v>4.568816</v>
      </c>
      <c r="G2020" s="3">
        <f t="shared" si="63"/>
        <v>22.648815999999997</v>
      </c>
    </row>
    <row r="2021" spans="1:7" x14ac:dyDescent="0.3">
      <c r="A2021" t="s">
        <v>13039</v>
      </c>
      <c r="B2021" t="s">
        <v>4069</v>
      </c>
      <c r="C2021" t="s">
        <v>4070</v>
      </c>
      <c r="D2021" s="1" t="s">
        <v>427</v>
      </c>
      <c r="E2021" s="3">
        <v>18.3</v>
      </c>
      <c r="F2021" s="3">
        <f t="shared" si="62"/>
        <v>4.624410000000001</v>
      </c>
      <c r="G2021" s="3">
        <f t="shared" si="63"/>
        <v>22.924410000000002</v>
      </c>
    </row>
    <row r="2022" spans="1:7" x14ac:dyDescent="0.3">
      <c r="A2022" t="s">
        <v>13039</v>
      </c>
      <c r="B2022" t="s">
        <v>4071</v>
      </c>
      <c r="C2022" t="s">
        <v>4072</v>
      </c>
      <c r="D2022" s="1" t="s">
        <v>427</v>
      </c>
      <c r="E2022" s="3">
        <v>18.55</v>
      </c>
      <c r="F2022" s="3">
        <f t="shared" si="62"/>
        <v>4.6875850000000012</v>
      </c>
      <c r="G2022" s="3">
        <f t="shared" si="63"/>
        <v>23.237585000000003</v>
      </c>
    </row>
    <row r="2023" spans="1:7" x14ac:dyDescent="0.3">
      <c r="A2023" t="s">
        <v>13039</v>
      </c>
      <c r="B2023" t="s">
        <v>4073</v>
      </c>
      <c r="C2023" t="s">
        <v>4074</v>
      </c>
      <c r="D2023" s="1" t="s">
        <v>427</v>
      </c>
      <c r="E2023" s="3">
        <v>18.68</v>
      </c>
      <c r="F2023" s="3">
        <f t="shared" si="62"/>
        <v>4.7204360000000003</v>
      </c>
      <c r="G2023" s="3">
        <f t="shared" si="63"/>
        <v>23.400435999999999</v>
      </c>
    </row>
    <row r="2024" spans="1:7" x14ac:dyDescent="0.3">
      <c r="A2024" t="s">
        <v>13039</v>
      </c>
      <c r="B2024" t="s">
        <v>4075</v>
      </c>
      <c r="C2024" t="s">
        <v>4076</v>
      </c>
      <c r="D2024" s="1" t="s">
        <v>427</v>
      </c>
      <c r="E2024" s="3">
        <v>19.38</v>
      </c>
      <c r="F2024" s="3">
        <f t="shared" si="62"/>
        <v>4.8973260000000005</v>
      </c>
      <c r="G2024" s="3">
        <f t="shared" si="63"/>
        <v>24.277325999999999</v>
      </c>
    </row>
    <row r="2025" spans="1:7" x14ac:dyDescent="0.3">
      <c r="A2025" t="s">
        <v>13039</v>
      </c>
      <c r="B2025" t="s">
        <v>4077</v>
      </c>
      <c r="C2025" t="s">
        <v>4078</v>
      </c>
      <c r="D2025" s="1" t="s">
        <v>427</v>
      </c>
      <c r="E2025" s="3">
        <v>19.559999999999999</v>
      </c>
      <c r="F2025" s="3">
        <f t="shared" si="62"/>
        <v>4.942812</v>
      </c>
      <c r="G2025" s="3">
        <f t="shared" si="63"/>
        <v>24.502811999999999</v>
      </c>
    </row>
    <row r="2026" spans="1:7" x14ac:dyDescent="0.3">
      <c r="A2026" t="s">
        <v>13039</v>
      </c>
      <c r="B2026" t="s">
        <v>4079</v>
      </c>
      <c r="C2026" t="s">
        <v>4080</v>
      </c>
      <c r="D2026" s="1" t="s">
        <v>427</v>
      </c>
      <c r="E2026" s="3">
        <v>19.760000000000002</v>
      </c>
      <c r="F2026" s="3">
        <f t="shared" si="62"/>
        <v>4.9933520000000007</v>
      </c>
      <c r="G2026" s="3">
        <f t="shared" si="63"/>
        <v>24.753352000000003</v>
      </c>
    </row>
    <row r="2027" spans="1:7" x14ac:dyDescent="0.3">
      <c r="A2027" t="s">
        <v>13039</v>
      </c>
      <c r="B2027" t="s">
        <v>4081</v>
      </c>
      <c r="C2027" t="s">
        <v>4082</v>
      </c>
      <c r="D2027" s="1" t="s">
        <v>427</v>
      </c>
      <c r="E2027" s="3">
        <v>19.96</v>
      </c>
      <c r="F2027" s="3">
        <f t="shared" si="62"/>
        <v>5.0438920000000005</v>
      </c>
      <c r="G2027" s="3">
        <f t="shared" si="63"/>
        <v>25.003892</v>
      </c>
    </row>
    <row r="2028" spans="1:7" x14ac:dyDescent="0.3">
      <c r="A2028" t="s">
        <v>13039</v>
      </c>
      <c r="B2028" t="s">
        <v>4083</v>
      </c>
      <c r="C2028" t="s">
        <v>4084</v>
      </c>
      <c r="D2028" s="1" t="s">
        <v>427</v>
      </c>
      <c r="E2028" s="3">
        <v>20.170000000000002</v>
      </c>
      <c r="F2028" s="3">
        <f t="shared" si="62"/>
        <v>5.0969590000000009</v>
      </c>
      <c r="G2028" s="3">
        <f t="shared" si="63"/>
        <v>25.266959000000003</v>
      </c>
    </row>
    <row r="2029" spans="1:7" x14ac:dyDescent="0.3">
      <c r="A2029" t="s">
        <v>13039</v>
      </c>
      <c r="B2029" t="s">
        <v>4085</v>
      </c>
      <c r="C2029" t="s">
        <v>4086</v>
      </c>
      <c r="D2029" s="1" t="s">
        <v>427</v>
      </c>
      <c r="E2029" s="3">
        <v>20.28</v>
      </c>
      <c r="F2029" s="3">
        <f t="shared" si="62"/>
        <v>5.1247560000000014</v>
      </c>
      <c r="G2029" s="3">
        <f t="shared" si="63"/>
        <v>25.404756000000003</v>
      </c>
    </row>
    <row r="2030" spans="1:7" x14ac:dyDescent="0.3">
      <c r="A2030" t="s">
        <v>13039</v>
      </c>
      <c r="B2030" t="s">
        <v>4087</v>
      </c>
      <c r="C2030" t="s">
        <v>4088</v>
      </c>
      <c r="D2030" s="1" t="s">
        <v>427</v>
      </c>
      <c r="E2030" s="3">
        <v>43.01</v>
      </c>
      <c r="F2030" s="3">
        <f t="shared" si="62"/>
        <v>10.868627000000002</v>
      </c>
      <c r="G2030" s="3">
        <f t="shared" si="63"/>
        <v>53.878627000000002</v>
      </c>
    </row>
    <row r="2031" spans="1:7" x14ac:dyDescent="0.3">
      <c r="A2031" t="s">
        <v>13039</v>
      </c>
      <c r="B2031" t="s">
        <v>4089</v>
      </c>
      <c r="C2031" t="s">
        <v>4090</v>
      </c>
      <c r="D2031" s="1" t="s">
        <v>427</v>
      </c>
      <c r="E2031" s="3">
        <v>43.8</v>
      </c>
      <c r="F2031" s="3">
        <f t="shared" si="62"/>
        <v>11.06826</v>
      </c>
      <c r="G2031" s="3">
        <f t="shared" si="63"/>
        <v>54.868259999999999</v>
      </c>
    </row>
    <row r="2032" spans="1:7" x14ac:dyDescent="0.3">
      <c r="A2032" t="s">
        <v>13039</v>
      </c>
      <c r="B2032" t="s">
        <v>4091</v>
      </c>
      <c r="C2032" t="s">
        <v>4092</v>
      </c>
      <c r="D2032" s="1" t="s">
        <v>427</v>
      </c>
      <c r="E2032" s="3">
        <v>44.6</v>
      </c>
      <c r="F2032" s="3">
        <f t="shared" si="62"/>
        <v>11.270420000000001</v>
      </c>
      <c r="G2032" s="3">
        <f t="shared" si="63"/>
        <v>55.870420000000003</v>
      </c>
    </row>
    <row r="2033" spans="1:7" x14ac:dyDescent="0.3">
      <c r="A2033" t="s">
        <v>13039</v>
      </c>
      <c r="B2033" t="s">
        <v>4093</v>
      </c>
      <c r="C2033" t="s">
        <v>4094</v>
      </c>
      <c r="D2033" s="1" t="s">
        <v>427</v>
      </c>
      <c r="E2033" s="3">
        <v>45.45</v>
      </c>
      <c r="F2033" s="3">
        <f t="shared" si="62"/>
        <v>11.485215000000002</v>
      </c>
      <c r="G2033" s="3">
        <f t="shared" si="63"/>
        <v>56.935215000000007</v>
      </c>
    </row>
    <row r="2034" spans="1:7" x14ac:dyDescent="0.3">
      <c r="A2034" t="s">
        <v>13039</v>
      </c>
      <c r="B2034" t="s">
        <v>4095</v>
      </c>
      <c r="C2034" t="s">
        <v>4096</v>
      </c>
      <c r="D2034" s="1" t="s">
        <v>427</v>
      </c>
      <c r="E2034" s="3">
        <v>46.35</v>
      </c>
      <c r="F2034" s="3">
        <f t="shared" si="62"/>
        <v>11.712645000000002</v>
      </c>
      <c r="G2034" s="3">
        <f t="shared" si="63"/>
        <v>58.062645000000003</v>
      </c>
    </row>
    <row r="2035" spans="1:7" x14ac:dyDescent="0.3">
      <c r="A2035" t="s">
        <v>13039</v>
      </c>
      <c r="B2035" t="s">
        <v>4097</v>
      </c>
      <c r="C2035" t="s">
        <v>4098</v>
      </c>
      <c r="D2035" s="1" t="s">
        <v>427</v>
      </c>
      <c r="E2035" s="3">
        <v>46.82</v>
      </c>
      <c r="F2035" s="3">
        <f t="shared" si="62"/>
        <v>11.831414000000002</v>
      </c>
      <c r="G2035" s="3">
        <f t="shared" si="63"/>
        <v>58.651414000000003</v>
      </c>
    </row>
    <row r="2036" spans="1:7" x14ac:dyDescent="0.3">
      <c r="A2036" t="s">
        <v>13039</v>
      </c>
      <c r="B2036" t="s">
        <v>4099</v>
      </c>
      <c r="C2036" t="s">
        <v>4100</v>
      </c>
      <c r="D2036" s="1" t="s">
        <v>427</v>
      </c>
      <c r="E2036" s="3">
        <v>8.83</v>
      </c>
      <c r="F2036" s="3">
        <f t="shared" si="62"/>
        <v>2.2313410000000005</v>
      </c>
      <c r="G2036" s="3">
        <f t="shared" si="63"/>
        <v>11.061341000000001</v>
      </c>
    </row>
    <row r="2037" spans="1:7" x14ac:dyDescent="0.3">
      <c r="A2037" t="s">
        <v>13039</v>
      </c>
      <c r="B2037" t="s">
        <v>4101</v>
      </c>
      <c r="C2037" t="s">
        <v>4102</v>
      </c>
      <c r="D2037" s="1" t="s">
        <v>427</v>
      </c>
      <c r="E2037" s="3">
        <v>9.36</v>
      </c>
      <c r="F2037" s="3">
        <f t="shared" si="62"/>
        <v>2.365272</v>
      </c>
      <c r="G2037" s="3">
        <f t="shared" si="63"/>
        <v>11.725272</v>
      </c>
    </row>
    <row r="2038" spans="1:7" x14ac:dyDescent="0.3">
      <c r="A2038" t="s">
        <v>13039</v>
      </c>
      <c r="B2038" t="s">
        <v>4103</v>
      </c>
      <c r="C2038" t="s">
        <v>4104</v>
      </c>
      <c r="D2038" s="1" t="s">
        <v>427</v>
      </c>
      <c r="E2038" s="3">
        <v>9.81</v>
      </c>
      <c r="F2038" s="3">
        <f t="shared" si="62"/>
        <v>2.4789870000000005</v>
      </c>
      <c r="G2038" s="3">
        <f t="shared" si="63"/>
        <v>12.288987000000001</v>
      </c>
    </row>
    <row r="2039" spans="1:7" x14ac:dyDescent="0.3">
      <c r="A2039" t="s">
        <v>13039</v>
      </c>
      <c r="B2039" t="s">
        <v>4105</v>
      </c>
      <c r="C2039" t="s">
        <v>4106</v>
      </c>
      <c r="D2039" s="1" t="s">
        <v>427</v>
      </c>
      <c r="E2039" s="3">
        <v>10.32</v>
      </c>
      <c r="F2039" s="3">
        <f t="shared" si="62"/>
        <v>2.6078640000000006</v>
      </c>
      <c r="G2039" s="3">
        <f t="shared" si="63"/>
        <v>12.927864000000001</v>
      </c>
    </row>
    <row r="2040" spans="1:7" x14ac:dyDescent="0.3">
      <c r="A2040" t="s">
        <v>13039</v>
      </c>
      <c r="B2040" t="s">
        <v>4107</v>
      </c>
      <c r="C2040" t="s">
        <v>4108</v>
      </c>
      <c r="D2040" s="1" t="s">
        <v>427</v>
      </c>
      <c r="E2040" s="3">
        <v>11.05</v>
      </c>
      <c r="F2040" s="3">
        <f t="shared" si="62"/>
        <v>2.7923350000000005</v>
      </c>
      <c r="G2040" s="3">
        <f t="shared" si="63"/>
        <v>13.842335000000002</v>
      </c>
    </row>
    <row r="2041" spans="1:7" x14ac:dyDescent="0.3">
      <c r="A2041" t="s">
        <v>13039</v>
      </c>
      <c r="B2041" t="s">
        <v>4109</v>
      </c>
      <c r="C2041" t="s">
        <v>4110</v>
      </c>
      <c r="D2041" s="1" t="s">
        <v>427</v>
      </c>
      <c r="E2041" s="3">
        <v>11.64</v>
      </c>
      <c r="F2041" s="3">
        <f t="shared" si="62"/>
        <v>2.9414280000000006</v>
      </c>
      <c r="G2041" s="3">
        <f t="shared" si="63"/>
        <v>14.581428000000001</v>
      </c>
    </row>
    <row r="2042" spans="1:7" x14ac:dyDescent="0.3">
      <c r="A2042" t="s">
        <v>13039</v>
      </c>
      <c r="B2042" t="s">
        <v>4111</v>
      </c>
      <c r="C2042" t="s">
        <v>4112</v>
      </c>
      <c r="D2042" s="1" t="s">
        <v>427</v>
      </c>
      <c r="E2042" s="3">
        <v>12.16</v>
      </c>
      <c r="F2042" s="3">
        <f t="shared" si="62"/>
        <v>3.0728320000000005</v>
      </c>
      <c r="G2042" s="3">
        <f t="shared" si="63"/>
        <v>15.232832</v>
      </c>
    </row>
    <row r="2043" spans="1:7" x14ac:dyDescent="0.3">
      <c r="A2043" t="s">
        <v>13039</v>
      </c>
      <c r="B2043" t="s">
        <v>4113</v>
      </c>
      <c r="C2043" t="s">
        <v>4114</v>
      </c>
      <c r="D2043" s="1" t="s">
        <v>427</v>
      </c>
      <c r="E2043" s="3">
        <v>12.97</v>
      </c>
      <c r="F2043" s="3">
        <f t="shared" si="62"/>
        <v>3.2775190000000007</v>
      </c>
      <c r="G2043" s="3">
        <f t="shared" si="63"/>
        <v>16.247519</v>
      </c>
    </row>
    <row r="2044" spans="1:7" x14ac:dyDescent="0.3">
      <c r="A2044" t="s">
        <v>13039</v>
      </c>
      <c r="B2044" t="s">
        <v>4115</v>
      </c>
      <c r="C2044" t="s">
        <v>4116</v>
      </c>
      <c r="D2044" s="1" t="s">
        <v>427</v>
      </c>
      <c r="E2044" s="3">
        <v>14.12</v>
      </c>
      <c r="F2044" s="3">
        <f t="shared" si="62"/>
        <v>3.5681240000000005</v>
      </c>
      <c r="G2044" s="3">
        <f t="shared" si="63"/>
        <v>17.688123999999998</v>
      </c>
    </row>
    <row r="2045" spans="1:7" x14ac:dyDescent="0.3">
      <c r="A2045" t="s">
        <v>13039</v>
      </c>
      <c r="B2045" t="s">
        <v>4117</v>
      </c>
      <c r="C2045" t="s">
        <v>4118</v>
      </c>
      <c r="D2045" s="1" t="s">
        <v>427</v>
      </c>
      <c r="E2045" s="3">
        <v>15.04</v>
      </c>
      <c r="F2045" s="3">
        <f t="shared" si="62"/>
        <v>3.8006080000000004</v>
      </c>
      <c r="G2045" s="3">
        <f t="shared" si="63"/>
        <v>18.840608</v>
      </c>
    </row>
    <row r="2046" spans="1:7" x14ac:dyDescent="0.3">
      <c r="A2046" t="s">
        <v>13039</v>
      </c>
      <c r="B2046" t="s">
        <v>4119</v>
      </c>
      <c r="C2046" t="s">
        <v>4120</v>
      </c>
      <c r="D2046" s="1" t="s">
        <v>427</v>
      </c>
      <c r="E2046" s="3">
        <v>16.09</v>
      </c>
      <c r="F2046" s="3">
        <f t="shared" si="62"/>
        <v>4.0659430000000008</v>
      </c>
      <c r="G2046" s="3">
        <f t="shared" si="63"/>
        <v>20.155943000000001</v>
      </c>
    </row>
    <row r="2047" spans="1:7" x14ac:dyDescent="0.3">
      <c r="A2047" t="s">
        <v>13039</v>
      </c>
      <c r="B2047" t="s">
        <v>4121</v>
      </c>
      <c r="C2047" t="s">
        <v>4122</v>
      </c>
      <c r="D2047" s="1" t="s">
        <v>427</v>
      </c>
      <c r="E2047" s="3">
        <v>18.28</v>
      </c>
      <c r="F2047" s="3">
        <f t="shared" si="62"/>
        <v>4.6193560000000007</v>
      </c>
      <c r="G2047" s="3">
        <f t="shared" si="63"/>
        <v>22.899356000000001</v>
      </c>
    </row>
    <row r="2048" spans="1:7" x14ac:dyDescent="0.3">
      <c r="A2048" t="s">
        <v>13039</v>
      </c>
      <c r="B2048" t="s">
        <v>4123</v>
      </c>
      <c r="C2048" t="s">
        <v>4124</v>
      </c>
      <c r="D2048" s="1" t="s">
        <v>427</v>
      </c>
      <c r="E2048" s="3">
        <v>21.33</v>
      </c>
      <c r="F2048" s="3">
        <f t="shared" si="62"/>
        <v>5.390091</v>
      </c>
      <c r="G2048" s="3">
        <f t="shared" si="63"/>
        <v>26.720090999999996</v>
      </c>
    </row>
    <row r="2049" spans="1:7" x14ac:dyDescent="0.3">
      <c r="A2049" t="s">
        <v>13039</v>
      </c>
      <c r="B2049" t="s">
        <v>4125</v>
      </c>
      <c r="C2049" t="s">
        <v>4126</v>
      </c>
      <c r="D2049" s="1" t="s">
        <v>427</v>
      </c>
      <c r="E2049" s="3">
        <v>24.11</v>
      </c>
      <c r="F2049" s="3">
        <f t="shared" si="62"/>
        <v>6.0925970000000005</v>
      </c>
      <c r="G2049" s="3">
        <f t="shared" si="63"/>
        <v>30.202597000000001</v>
      </c>
    </row>
    <row r="2050" spans="1:7" x14ac:dyDescent="0.3">
      <c r="A2050" t="s">
        <v>13039</v>
      </c>
      <c r="B2050" t="s">
        <v>4127</v>
      </c>
      <c r="C2050" t="s">
        <v>4128</v>
      </c>
      <c r="D2050" s="1" t="s">
        <v>427</v>
      </c>
      <c r="E2050" s="3">
        <v>27.64</v>
      </c>
      <c r="F2050" s="3">
        <f t="shared" si="62"/>
        <v>6.9846280000000007</v>
      </c>
      <c r="G2050" s="3">
        <f t="shared" si="63"/>
        <v>34.624628000000001</v>
      </c>
    </row>
    <row r="2051" spans="1:7" x14ac:dyDescent="0.3">
      <c r="A2051" t="s">
        <v>13039</v>
      </c>
      <c r="B2051" t="s">
        <v>4129</v>
      </c>
      <c r="C2051" t="s">
        <v>4130</v>
      </c>
      <c r="D2051" s="1" t="s">
        <v>427</v>
      </c>
      <c r="E2051" s="3">
        <v>31.32</v>
      </c>
      <c r="F2051" s="3">
        <f t="shared" si="62"/>
        <v>7.9145640000000013</v>
      </c>
      <c r="G2051" s="3">
        <f t="shared" si="63"/>
        <v>39.234563999999999</v>
      </c>
    </row>
    <row r="2052" spans="1:7" x14ac:dyDescent="0.3">
      <c r="A2052" t="s">
        <v>13039</v>
      </c>
      <c r="B2052" t="s">
        <v>4131</v>
      </c>
      <c r="C2052" t="s">
        <v>4132</v>
      </c>
      <c r="D2052" s="1" t="s">
        <v>427</v>
      </c>
      <c r="E2052" s="3">
        <v>35.72</v>
      </c>
      <c r="F2052" s="3">
        <f t="shared" si="62"/>
        <v>9.0264440000000015</v>
      </c>
      <c r="G2052" s="3">
        <f t="shared" si="63"/>
        <v>44.746443999999997</v>
      </c>
    </row>
    <row r="2053" spans="1:7" x14ac:dyDescent="0.3">
      <c r="A2053" t="s">
        <v>13039</v>
      </c>
      <c r="B2053" t="s">
        <v>4133</v>
      </c>
      <c r="C2053" t="s">
        <v>4134</v>
      </c>
      <c r="D2053" s="1" t="s">
        <v>427</v>
      </c>
      <c r="E2053" s="3">
        <v>40.54</v>
      </c>
      <c r="F2053" s="3">
        <f t="shared" si="62"/>
        <v>10.244458000000002</v>
      </c>
      <c r="G2053" s="3">
        <f t="shared" si="63"/>
        <v>50.784458000000001</v>
      </c>
    </row>
    <row r="2054" spans="1:7" x14ac:dyDescent="0.3">
      <c r="A2054" t="s">
        <v>13039</v>
      </c>
      <c r="B2054" t="s">
        <v>4135</v>
      </c>
      <c r="C2054" t="s">
        <v>4136</v>
      </c>
      <c r="D2054" s="1" t="s">
        <v>427</v>
      </c>
      <c r="E2054" s="3">
        <v>44.88</v>
      </c>
      <c r="F2054" s="3">
        <f t="shared" si="62"/>
        <v>11.341176000000003</v>
      </c>
      <c r="G2054" s="3">
        <f t="shared" si="63"/>
        <v>56.221176000000007</v>
      </c>
    </row>
    <row r="2055" spans="1:7" x14ac:dyDescent="0.3">
      <c r="A2055" t="s">
        <v>13039</v>
      </c>
      <c r="B2055" t="s">
        <v>4137</v>
      </c>
      <c r="C2055" t="s">
        <v>4138</v>
      </c>
      <c r="D2055" s="1" t="s">
        <v>427</v>
      </c>
      <c r="E2055" s="3">
        <v>50.92</v>
      </c>
      <c r="F2055" s="3">
        <f t="shared" ref="F2055:F2118" si="64">+E2055*$F$4</f>
        <v>12.867484000000003</v>
      </c>
      <c r="G2055" s="3">
        <f t="shared" ref="G2055:G2118" si="65">+E2055+F2055</f>
        <v>63.787484000000006</v>
      </c>
    </row>
    <row r="2056" spans="1:7" x14ac:dyDescent="0.3">
      <c r="A2056" t="s">
        <v>13039</v>
      </c>
      <c r="B2056" t="s">
        <v>4139</v>
      </c>
      <c r="C2056" t="s">
        <v>4140</v>
      </c>
      <c r="D2056" s="1" t="s">
        <v>427</v>
      </c>
      <c r="E2056" s="3">
        <v>56.35</v>
      </c>
      <c r="F2056" s="3">
        <f t="shared" si="64"/>
        <v>14.239645000000003</v>
      </c>
      <c r="G2056" s="3">
        <f t="shared" si="65"/>
        <v>70.589645000000004</v>
      </c>
    </row>
    <row r="2057" spans="1:7" x14ac:dyDescent="0.3">
      <c r="A2057" t="s">
        <v>13039</v>
      </c>
      <c r="B2057" t="s">
        <v>4141</v>
      </c>
      <c r="C2057" t="s">
        <v>4142</v>
      </c>
      <c r="D2057" s="1" t="s">
        <v>427</v>
      </c>
      <c r="E2057" s="3">
        <v>62.69</v>
      </c>
      <c r="F2057" s="3">
        <f t="shared" si="64"/>
        <v>15.841763000000002</v>
      </c>
      <c r="G2057" s="3">
        <f t="shared" si="65"/>
        <v>78.531762999999998</v>
      </c>
    </row>
    <row r="2058" spans="1:7" x14ac:dyDescent="0.3">
      <c r="A2058" t="s">
        <v>13039</v>
      </c>
      <c r="B2058" t="s">
        <v>4143</v>
      </c>
      <c r="C2058" t="s">
        <v>4144</v>
      </c>
      <c r="D2058" s="1" t="s">
        <v>427</v>
      </c>
      <c r="E2058" s="3">
        <v>70.819999999999993</v>
      </c>
      <c r="F2058" s="3">
        <f t="shared" si="64"/>
        <v>17.896214000000001</v>
      </c>
      <c r="G2058" s="3">
        <f t="shared" si="65"/>
        <v>88.716213999999994</v>
      </c>
    </row>
    <row r="2059" spans="1:7" x14ac:dyDescent="0.3">
      <c r="A2059" t="s">
        <v>13039</v>
      </c>
      <c r="B2059" t="s">
        <v>4145</v>
      </c>
      <c r="C2059" t="s">
        <v>4146</v>
      </c>
      <c r="D2059" s="1" t="s">
        <v>427</v>
      </c>
      <c r="E2059" s="3">
        <v>74.42</v>
      </c>
      <c r="F2059" s="3">
        <f t="shared" si="64"/>
        <v>18.805934000000004</v>
      </c>
      <c r="G2059" s="3">
        <f t="shared" si="65"/>
        <v>93.225934000000009</v>
      </c>
    </row>
    <row r="2060" spans="1:7" x14ac:dyDescent="0.3">
      <c r="A2060" t="s">
        <v>13039</v>
      </c>
      <c r="B2060" t="s">
        <v>4147</v>
      </c>
      <c r="C2060" t="s">
        <v>4148</v>
      </c>
      <c r="D2060" s="1" t="s">
        <v>427</v>
      </c>
      <c r="E2060" s="3">
        <v>7.15</v>
      </c>
      <c r="F2060" s="3">
        <f t="shared" si="64"/>
        <v>1.8068050000000004</v>
      </c>
      <c r="G2060" s="3">
        <f t="shared" si="65"/>
        <v>8.956805000000001</v>
      </c>
    </row>
    <row r="2061" spans="1:7" x14ac:dyDescent="0.3">
      <c r="A2061" t="s">
        <v>13039</v>
      </c>
      <c r="B2061" t="s">
        <v>4149</v>
      </c>
      <c r="C2061" t="s">
        <v>4150</v>
      </c>
      <c r="D2061" s="1" t="s">
        <v>427</v>
      </c>
      <c r="E2061" s="3">
        <v>7.57</v>
      </c>
      <c r="F2061" s="3">
        <f t="shared" si="64"/>
        <v>1.9129390000000004</v>
      </c>
      <c r="G2061" s="3">
        <f t="shared" si="65"/>
        <v>9.482939</v>
      </c>
    </row>
    <row r="2062" spans="1:7" x14ac:dyDescent="0.3">
      <c r="A2062" t="s">
        <v>13039</v>
      </c>
      <c r="B2062" t="s">
        <v>4151</v>
      </c>
      <c r="C2062" t="s">
        <v>4152</v>
      </c>
      <c r="D2062" s="1" t="s">
        <v>427</v>
      </c>
      <c r="E2062" s="3">
        <v>8.08</v>
      </c>
      <c r="F2062" s="3">
        <f t="shared" si="64"/>
        <v>2.0418160000000003</v>
      </c>
      <c r="G2062" s="3">
        <f t="shared" si="65"/>
        <v>10.121816000000001</v>
      </c>
    </row>
    <row r="2063" spans="1:7" x14ac:dyDescent="0.3">
      <c r="A2063" t="s">
        <v>13039</v>
      </c>
      <c r="B2063" t="s">
        <v>4153</v>
      </c>
      <c r="C2063" t="s">
        <v>4154</v>
      </c>
      <c r="D2063" s="1" t="s">
        <v>427</v>
      </c>
      <c r="E2063" s="3">
        <v>7.03</v>
      </c>
      <c r="F2063" s="3">
        <f t="shared" si="64"/>
        <v>1.7764810000000004</v>
      </c>
      <c r="G2063" s="3">
        <f t="shared" si="65"/>
        <v>8.8064810000000016</v>
      </c>
    </row>
    <row r="2064" spans="1:7" x14ac:dyDescent="0.3">
      <c r="A2064" t="s">
        <v>13039</v>
      </c>
      <c r="B2064" t="s">
        <v>4155</v>
      </c>
      <c r="C2064" t="s">
        <v>4156</v>
      </c>
      <c r="D2064" s="1" t="s">
        <v>427</v>
      </c>
      <c r="E2064" s="3">
        <v>10.130000000000001</v>
      </c>
      <c r="F2064" s="3">
        <f t="shared" si="64"/>
        <v>2.5598510000000005</v>
      </c>
      <c r="G2064" s="3">
        <f t="shared" si="65"/>
        <v>12.689851000000001</v>
      </c>
    </row>
    <row r="2065" spans="1:7" x14ac:dyDescent="0.3">
      <c r="A2065" t="s">
        <v>13039</v>
      </c>
      <c r="B2065" t="s">
        <v>4157</v>
      </c>
      <c r="C2065" t="s">
        <v>4158</v>
      </c>
      <c r="D2065" s="1" t="s">
        <v>427</v>
      </c>
      <c r="E2065" s="3">
        <v>10.86</v>
      </c>
      <c r="F2065" s="3">
        <f t="shared" si="64"/>
        <v>2.7443220000000004</v>
      </c>
      <c r="G2065" s="3">
        <f t="shared" si="65"/>
        <v>13.604322</v>
      </c>
    </row>
    <row r="2066" spans="1:7" x14ac:dyDescent="0.3">
      <c r="A2066" t="s">
        <v>13039</v>
      </c>
      <c r="B2066" t="s">
        <v>4159</v>
      </c>
      <c r="C2066" t="s">
        <v>4160</v>
      </c>
      <c r="D2066" s="1" t="s">
        <v>427</v>
      </c>
      <c r="E2066" s="3">
        <v>11.76</v>
      </c>
      <c r="F2066" s="3">
        <f t="shared" si="64"/>
        <v>2.9717520000000004</v>
      </c>
      <c r="G2066" s="3">
        <f t="shared" si="65"/>
        <v>14.731752</v>
      </c>
    </row>
    <row r="2067" spans="1:7" x14ac:dyDescent="0.3">
      <c r="A2067" t="s">
        <v>13039</v>
      </c>
      <c r="B2067" t="s">
        <v>4161</v>
      </c>
      <c r="C2067" t="s">
        <v>4162</v>
      </c>
      <c r="D2067" s="1" t="s">
        <v>427</v>
      </c>
      <c r="E2067" s="3">
        <v>12.72</v>
      </c>
      <c r="F2067" s="3">
        <f t="shared" si="64"/>
        <v>3.2143440000000005</v>
      </c>
      <c r="G2067" s="3">
        <f t="shared" si="65"/>
        <v>15.934344000000001</v>
      </c>
    </row>
    <row r="2068" spans="1:7" x14ac:dyDescent="0.3">
      <c r="A2068" t="s">
        <v>13039</v>
      </c>
      <c r="B2068" t="s">
        <v>4163</v>
      </c>
      <c r="C2068" t="s">
        <v>4164</v>
      </c>
      <c r="D2068" s="1" t="s">
        <v>427</v>
      </c>
      <c r="E2068" s="3">
        <v>13.92</v>
      </c>
      <c r="F2068" s="3">
        <f t="shared" si="64"/>
        <v>3.5175840000000003</v>
      </c>
      <c r="G2068" s="3">
        <f t="shared" si="65"/>
        <v>17.437584000000001</v>
      </c>
    </row>
    <row r="2069" spans="1:7" x14ac:dyDescent="0.3">
      <c r="A2069" t="s">
        <v>13039</v>
      </c>
      <c r="B2069" t="s">
        <v>4165</v>
      </c>
      <c r="C2069" t="s">
        <v>4166</v>
      </c>
      <c r="D2069" s="1" t="s">
        <v>427</v>
      </c>
      <c r="E2069" s="3">
        <v>15.26</v>
      </c>
      <c r="F2069" s="3">
        <f t="shared" si="64"/>
        <v>3.8562020000000006</v>
      </c>
      <c r="G2069" s="3">
        <f t="shared" si="65"/>
        <v>19.116202000000001</v>
      </c>
    </row>
    <row r="2070" spans="1:7" x14ac:dyDescent="0.3">
      <c r="A2070" t="s">
        <v>13039</v>
      </c>
      <c r="B2070" t="s">
        <v>4167</v>
      </c>
      <c r="C2070" t="s">
        <v>4168</v>
      </c>
      <c r="D2070" s="1" t="s">
        <v>427</v>
      </c>
      <c r="E2070" s="3">
        <v>19.09</v>
      </c>
      <c r="F2070" s="3">
        <f t="shared" si="64"/>
        <v>4.8240430000000005</v>
      </c>
      <c r="G2070" s="3">
        <f t="shared" si="65"/>
        <v>23.914042999999999</v>
      </c>
    </row>
    <row r="2071" spans="1:7" x14ac:dyDescent="0.3">
      <c r="A2071" t="s">
        <v>13039</v>
      </c>
      <c r="B2071" t="s">
        <v>4169</v>
      </c>
      <c r="C2071" t="s">
        <v>4170</v>
      </c>
      <c r="D2071" s="1" t="s">
        <v>427</v>
      </c>
      <c r="E2071" s="3">
        <v>7.69</v>
      </c>
      <c r="F2071" s="3">
        <f t="shared" si="64"/>
        <v>1.9432630000000004</v>
      </c>
      <c r="G2071" s="3">
        <f t="shared" si="65"/>
        <v>9.6332630000000012</v>
      </c>
    </row>
    <row r="2072" spans="1:7" x14ac:dyDescent="0.3">
      <c r="A2072" t="s">
        <v>13039</v>
      </c>
      <c r="B2072" t="s">
        <v>4171</v>
      </c>
      <c r="C2072" t="s">
        <v>4172</v>
      </c>
      <c r="D2072" s="1" t="s">
        <v>427</v>
      </c>
      <c r="E2072" s="3">
        <v>8.14</v>
      </c>
      <c r="F2072" s="3">
        <f t="shared" si="64"/>
        <v>2.0569780000000004</v>
      </c>
      <c r="G2072" s="3">
        <f t="shared" si="65"/>
        <v>10.196978000000001</v>
      </c>
    </row>
    <row r="2073" spans="1:7" x14ac:dyDescent="0.3">
      <c r="A2073" t="s">
        <v>13039</v>
      </c>
      <c r="B2073" t="s">
        <v>4173</v>
      </c>
      <c r="C2073" t="s">
        <v>4174</v>
      </c>
      <c r="D2073" s="1" t="s">
        <v>427</v>
      </c>
      <c r="E2073" s="3">
        <v>9.1</v>
      </c>
      <c r="F2073" s="3">
        <f t="shared" si="64"/>
        <v>2.2995700000000001</v>
      </c>
      <c r="G2073" s="3">
        <f t="shared" si="65"/>
        <v>11.399570000000001</v>
      </c>
    </row>
    <row r="2074" spans="1:7" x14ac:dyDescent="0.3">
      <c r="A2074" t="s">
        <v>13039</v>
      </c>
      <c r="B2074" t="s">
        <v>4175</v>
      </c>
      <c r="C2074" t="s">
        <v>4176</v>
      </c>
      <c r="D2074" s="1" t="s">
        <v>427</v>
      </c>
      <c r="E2074" s="3">
        <v>7.52</v>
      </c>
      <c r="F2074" s="3">
        <f t="shared" si="64"/>
        <v>1.9003040000000002</v>
      </c>
      <c r="G2074" s="3">
        <f t="shared" si="65"/>
        <v>9.4203039999999998</v>
      </c>
    </row>
    <row r="2075" spans="1:7" x14ac:dyDescent="0.3">
      <c r="A2075" t="s">
        <v>13039</v>
      </c>
      <c r="B2075" t="s">
        <v>4177</v>
      </c>
      <c r="C2075" t="s">
        <v>4178</v>
      </c>
      <c r="D2075" s="1" t="s">
        <v>427</v>
      </c>
      <c r="E2075" s="3">
        <v>7.64</v>
      </c>
      <c r="F2075" s="3">
        <f t="shared" si="64"/>
        <v>1.9306280000000002</v>
      </c>
      <c r="G2075" s="3">
        <f t="shared" si="65"/>
        <v>9.5706279999999992</v>
      </c>
    </row>
    <row r="2076" spans="1:7" x14ac:dyDescent="0.3">
      <c r="A2076" t="s">
        <v>13039</v>
      </c>
      <c r="B2076" t="s">
        <v>4179</v>
      </c>
      <c r="C2076" t="s">
        <v>4180</v>
      </c>
      <c r="D2076" s="1" t="s">
        <v>427</v>
      </c>
      <c r="E2076" s="3">
        <v>8.5500000000000007</v>
      </c>
      <c r="F2076" s="3">
        <f t="shared" si="64"/>
        <v>2.1605850000000006</v>
      </c>
      <c r="G2076" s="3">
        <f t="shared" si="65"/>
        <v>10.710585000000002</v>
      </c>
    </row>
    <row r="2077" spans="1:7" x14ac:dyDescent="0.3">
      <c r="A2077" t="s">
        <v>13039</v>
      </c>
      <c r="B2077" t="s">
        <v>4181</v>
      </c>
      <c r="C2077" t="s">
        <v>4182</v>
      </c>
      <c r="D2077" s="1" t="s">
        <v>427</v>
      </c>
      <c r="E2077" s="3">
        <v>9.33</v>
      </c>
      <c r="F2077" s="3">
        <f t="shared" si="64"/>
        <v>2.3576910000000004</v>
      </c>
      <c r="G2077" s="3">
        <f t="shared" si="65"/>
        <v>11.687691000000001</v>
      </c>
    </row>
    <row r="2078" spans="1:7" x14ac:dyDescent="0.3">
      <c r="A2078" t="s">
        <v>13039</v>
      </c>
      <c r="B2078" t="s">
        <v>4183</v>
      </c>
      <c r="C2078" t="s">
        <v>4184</v>
      </c>
      <c r="D2078" s="1" t="s">
        <v>427</v>
      </c>
      <c r="E2078" s="3">
        <v>10.31</v>
      </c>
      <c r="F2078" s="3">
        <f t="shared" si="64"/>
        <v>2.6053370000000005</v>
      </c>
      <c r="G2078" s="3">
        <f t="shared" si="65"/>
        <v>12.915337000000001</v>
      </c>
    </row>
    <row r="2079" spans="1:7" x14ac:dyDescent="0.3">
      <c r="A2079" t="s">
        <v>13039</v>
      </c>
      <c r="B2079" t="s">
        <v>4185</v>
      </c>
      <c r="C2079" t="s">
        <v>4186</v>
      </c>
      <c r="D2079" s="1" t="s">
        <v>427</v>
      </c>
      <c r="E2079" s="3">
        <v>11.51</v>
      </c>
      <c r="F2079" s="3">
        <f t="shared" si="64"/>
        <v>2.9085770000000002</v>
      </c>
      <c r="G2079" s="3">
        <f t="shared" si="65"/>
        <v>14.418576999999999</v>
      </c>
    </row>
    <row r="2080" spans="1:7" x14ac:dyDescent="0.3">
      <c r="A2080" t="s">
        <v>13039</v>
      </c>
      <c r="B2080" t="s">
        <v>4187</v>
      </c>
      <c r="C2080" t="s">
        <v>4188</v>
      </c>
      <c r="D2080" s="1" t="s">
        <v>427</v>
      </c>
      <c r="E2080" s="3">
        <v>13.44</v>
      </c>
      <c r="F2080" s="3">
        <f t="shared" si="64"/>
        <v>3.3962880000000002</v>
      </c>
      <c r="G2080" s="3">
        <f t="shared" si="65"/>
        <v>16.836288</v>
      </c>
    </row>
    <row r="2081" spans="1:7" x14ac:dyDescent="0.3">
      <c r="A2081" t="s">
        <v>13039</v>
      </c>
      <c r="B2081" t="s">
        <v>4189</v>
      </c>
      <c r="C2081" t="s">
        <v>4190</v>
      </c>
      <c r="D2081" s="1" t="s">
        <v>427</v>
      </c>
      <c r="E2081" s="3">
        <v>17.14</v>
      </c>
      <c r="F2081" s="3">
        <f t="shared" si="64"/>
        <v>4.3312780000000011</v>
      </c>
      <c r="G2081" s="3">
        <f t="shared" si="65"/>
        <v>21.471278000000002</v>
      </c>
    </row>
    <row r="2082" spans="1:7" x14ac:dyDescent="0.3">
      <c r="A2082" t="s">
        <v>13039</v>
      </c>
      <c r="B2082" t="s">
        <v>4191</v>
      </c>
      <c r="C2082" t="s">
        <v>4192</v>
      </c>
      <c r="D2082" s="1" t="s">
        <v>427</v>
      </c>
      <c r="E2082" s="3">
        <v>21.45</v>
      </c>
      <c r="F2082" s="3">
        <f t="shared" si="64"/>
        <v>5.4204150000000002</v>
      </c>
      <c r="G2082" s="3">
        <f t="shared" si="65"/>
        <v>26.870415000000001</v>
      </c>
    </row>
    <row r="2083" spans="1:7" x14ac:dyDescent="0.3">
      <c r="A2083" t="s">
        <v>13039</v>
      </c>
      <c r="B2083" t="s">
        <v>4193</v>
      </c>
      <c r="C2083" t="s">
        <v>4194</v>
      </c>
      <c r="D2083" s="1" t="s">
        <v>427</v>
      </c>
      <c r="E2083" s="3">
        <v>26.95</v>
      </c>
      <c r="F2083" s="3">
        <f t="shared" si="64"/>
        <v>6.8102650000000011</v>
      </c>
      <c r="G2083" s="3">
        <f t="shared" si="65"/>
        <v>33.760265000000004</v>
      </c>
    </row>
    <row r="2084" spans="1:7" x14ac:dyDescent="0.3">
      <c r="A2084" t="s">
        <v>13039</v>
      </c>
      <c r="B2084" t="s">
        <v>4195</v>
      </c>
      <c r="C2084" t="s">
        <v>4196</v>
      </c>
      <c r="D2084" s="1" t="s">
        <v>427</v>
      </c>
      <c r="E2084" s="3">
        <v>32.74</v>
      </c>
      <c r="F2084" s="3">
        <f t="shared" si="64"/>
        <v>8.273398000000002</v>
      </c>
      <c r="G2084" s="3">
        <f t="shared" si="65"/>
        <v>41.013398000000002</v>
      </c>
    </row>
    <row r="2085" spans="1:7" x14ac:dyDescent="0.3">
      <c r="A2085" t="s">
        <v>13039</v>
      </c>
      <c r="B2085" t="s">
        <v>4197</v>
      </c>
      <c r="C2085" t="s">
        <v>4198</v>
      </c>
      <c r="D2085" s="1" t="s">
        <v>427</v>
      </c>
      <c r="E2085" s="3">
        <v>40.799999999999997</v>
      </c>
      <c r="F2085" s="3">
        <f t="shared" si="64"/>
        <v>10.310160000000002</v>
      </c>
      <c r="G2085" s="3">
        <f t="shared" si="65"/>
        <v>51.11016</v>
      </c>
    </row>
    <row r="2086" spans="1:7" x14ac:dyDescent="0.3">
      <c r="A2086" t="s">
        <v>13039</v>
      </c>
      <c r="B2086" t="s">
        <v>4199</v>
      </c>
      <c r="C2086" t="s">
        <v>4200</v>
      </c>
      <c r="D2086" s="1" t="s">
        <v>427</v>
      </c>
      <c r="E2086" s="3">
        <v>48.82</v>
      </c>
      <c r="F2086" s="3">
        <f t="shared" si="64"/>
        <v>12.336814000000002</v>
      </c>
      <c r="G2086" s="3">
        <f t="shared" si="65"/>
        <v>61.156814000000004</v>
      </c>
    </row>
    <row r="2087" spans="1:7" x14ac:dyDescent="0.3">
      <c r="A2087" t="s">
        <v>13039</v>
      </c>
      <c r="B2087" t="s">
        <v>4201</v>
      </c>
      <c r="C2087" t="s">
        <v>4202</v>
      </c>
      <c r="D2087" s="1" t="s">
        <v>427</v>
      </c>
      <c r="E2087" s="3">
        <v>59.97</v>
      </c>
      <c r="F2087" s="3">
        <f t="shared" si="64"/>
        <v>15.154419000000003</v>
      </c>
      <c r="G2087" s="3">
        <f t="shared" si="65"/>
        <v>75.124419000000003</v>
      </c>
    </row>
    <row r="2088" spans="1:7" x14ac:dyDescent="0.3">
      <c r="A2088" t="s">
        <v>13039</v>
      </c>
      <c r="B2088" t="s">
        <v>4203</v>
      </c>
      <c r="C2088" t="s">
        <v>4204</v>
      </c>
      <c r="D2088" s="1" t="s">
        <v>427</v>
      </c>
      <c r="E2088" s="3">
        <v>6.36</v>
      </c>
      <c r="F2088" s="3">
        <f t="shared" si="64"/>
        <v>1.6071720000000003</v>
      </c>
      <c r="G2088" s="3">
        <f t="shared" si="65"/>
        <v>7.9671720000000006</v>
      </c>
    </row>
    <row r="2089" spans="1:7" x14ac:dyDescent="0.3">
      <c r="A2089" t="s">
        <v>13039</v>
      </c>
      <c r="B2089" t="s">
        <v>4205</v>
      </c>
      <c r="C2089" t="s">
        <v>4206</v>
      </c>
      <c r="D2089" s="1" t="s">
        <v>427</v>
      </c>
      <c r="E2089" s="3">
        <v>6.73</v>
      </c>
      <c r="F2089" s="3">
        <f t="shared" si="64"/>
        <v>1.7006710000000003</v>
      </c>
      <c r="G2089" s="3">
        <f t="shared" si="65"/>
        <v>8.4306710000000002</v>
      </c>
    </row>
    <row r="2090" spans="1:7" x14ac:dyDescent="0.3">
      <c r="A2090" t="s">
        <v>13039</v>
      </c>
      <c r="B2090" t="s">
        <v>4207</v>
      </c>
      <c r="C2090" t="s">
        <v>4208</v>
      </c>
      <c r="D2090" s="1" t="s">
        <v>427</v>
      </c>
      <c r="E2090" s="3">
        <v>7.11</v>
      </c>
      <c r="F2090" s="3">
        <f t="shared" si="64"/>
        <v>1.7966970000000004</v>
      </c>
      <c r="G2090" s="3">
        <f t="shared" si="65"/>
        <v>8.9066970000000012</v>
      </c>
    </row>
    <row r="2091" spans="1:7" x14ac:dyDescent="0.3">
      <c r="A2091" t="s">
        <v>13039</v>
      </c>
      <c r="B2091" t="s">
        <v>4209</v>
      </c>
      <c r="C2091" t="s">
        <v>4210</v>
      </c>
      <c r="D2091" s="1" t="s">
        <v>427</v>
      </c>
      <c r="E2091" s="3">
        <v>5.9</v>
      </c>
      <c r="F2091" s="3">
        <f t="shared" si="64"/>
        <v>1.4909300000000003</v>
      </c>
      <c r="G2091" s="3">
        <f t="shared" si="65"/>
        <v>7.3909300000000009</v>
      </c>
    </row>
    <row r="2092" spans="1:7" x14ac:dyDescent="0.3">
      <c r="A2092" t="s">
        <v>13039</v>
      </c>
      <c r="B2092" t="s">
        <v>4211</v>
      </c>
      <c r="C2092" t="s">
        <v>4212</v>
      </c>
      <c r="D2092" s="1" t="s">
        <v>427</v>
      </c>
      <c r="E2092" s="3">
        <v>8.76</v>
      </c>
      <c r="F2092" s="3">
        <f t="shared" si="64"/>
        <v>2.2136520000000002</v>
      </c>
      <c r="G2092" s="3">
        <f t="shared" si="65"/>
        <v>10.973652</v>
      </c>
    </row>
    <row r="2093" spans="1:7" x14ac:dyDescent="0.3">
      <c r="A2093" t="s">
        <v>13039</v>
      </c>
      <c r="B2093" t="s">
        <v>4213</v>
      </c>
      <c r="C2093" t="s">
        <v>4214</v>
      </c>
      <c r="D2093" s="1" t="s">
        <v>427</v>
      </c>
      <c r="E2093" s="3">
        <v>9.44</v>
      </c>
      <c r="F2093" s="3">
        <f t="shared" si="64"/>
        <v>2.3854880000000001</v>
      </c>
      <c r="G2093" s="3">
        <f t="shared" si="65"/>
        <v>11.825488</v>
      </c>
    </row>
    <row r="2094" spans="1:7" x14ac:dyDescent="0.3">
      <c r="A2094" t="s">
        <v>13039</v>
      </c>
      <c r="B2094" t="s">
        <v>4215</v>
      </c>
      <c r="C2094" t="s">
        <v>4216</v>
      </c>
      <c r="D2094" s="1" t="s">
        <v>427</v>
      </c>
      <c r="E2094" s="3">
        <v>10.17</v>
      </c>
      <c r="F2094" s="3">
        <f t="shared" si="64"/>
        <v>2.5699590000000003</v>
      </c>
      <c r="G2094" s="3">
        <f t="shared" si="65"/>
        <v>12.739959000000001</v>
      </c>
    </row>
    <row r="2095" spans="1:7" x14ac:dyDescent="0.3">
      <c r="A2095" t="s">
        <v>13039</v>
      </c>
      <c r="B2095" t="s">
        <v>4217</v>
      </c>
      <c r="C2095" t="s">
        <v>4218</v>
      </c>
      <c r="D2095" s="1" t="s">
        <v>427</v>
      </c>
      <c r="E2095" s="3">
        <v>10.93</v>
      </c>
      <c r="F2095" s="3">
        <f t="shared" si="64"/>
        <v>2.7620110000000002</v>
      </c>
      <c r="G2095" s="3">
        <f t="shared" si="65"/>
        <v>13.692011000000001</v>
      </c>
    </row>
    <row r="2096" spans="1:7" x14ac:dyDescent="0.3">
      <c r="A2096" t="s">
        <v>13039</v>
      </c>
      <c r="B2096" t="s">
        <v>4219</v>
      </c>
      <c r="C2096" t="s">
        <v>4220</v>
      </c>
      <c r="D2096" s="1" t="s">
        <v>427</v>
      </c>
      <c r="E2096" s="3">
        <v>12.03</v>
      </c>
      <c r="F2096" s="3">
        <f t="shared" si="64"/>
        <v>3.0399810000000005</v>
      </c>
      <c r="G2096" s="3">
        <f t="shared" si="65"/>
        <v>15.069981</v>
      </c>
    </row>
    <row r="2097" spans="1:7" x14ac:dyDescent="0.3">
      <c r="A2097" t="s">
        <v>13039</v>
      </c>
      <c r="B2097" t="s">
        <v>4221</v>
      </c>
      <c r="C2097" t="s">
        <v>4222</v>
      </c>
      <c r="D2097" s="1" t="s">
        <v>427</v>
      </c>
      <c r="E2097" s="3">
        <v>13.05</v>
      </c>
      <c r="F2097" s="3">
        <f t="shared" si="64"/>
        <v>3.2977350000000007</v>
      </c>
      <c r="G2097" s="3">
        <f t="shared" si="65"/>
        <v>16.347735</v>
      </c>
    </row>
    <row r="2098" spans="1:7" x14ac:dyDescent="0.3">
      <c r="A2098" t="s">
        <v>13039</v>
      </c>
      <c r="B2098" t="s">
        <v>4223</v>
      </c>
      <c r="C2098" t="s">
        <v>4224</v>
      </c>
      <c r="D2098" s="1" t="s">
        <v>427</v>
      </c>
      <c r="E2098" s="3">
        <v>14.4</v>
      </c>
      <c r="F2098" s="3">
        <f t="shared" si="64"/>
        <v>3.6388800000000008</v>
      </c>
      <c r="G2098" s="3">
        <f t="shared" si="65"/>
        <v>18.038880000000002</v>
      </c>
    </row>
    <row r="2099" spans="1:7" x14ac:dyDescent="0.3">
      <c r="A2099" t="s">
        <v>13039</v>
      </c>
      <c r="B2099" t="s">
        <v>4225</v>
      </c>
      <c r="C2099" t="s">
        <v>4226</v>
      </c>
      <c r="D2099" s="1" t="s">
        <v>427</v>
      </c>
      <c r="E2099" s="3">
        <v>16.079999999999998</v>
      </c>
      <c r="F2099" s="3">
        <f t="shared" si="64"/>
        <v>4.0634160000000001</v>
      </c>
      <c r="G2099" s="3">
        <f t="shared" si="65"/>
        <v>20.143415999999998</v>
      </c>
    </row>
    <row r="2100" spans="1:7" x14ac:dyDescent="0.3">
      <c r="A2100" t="s">
        <v>13039</v>
      </c>
      <c r="B2100" t="s">
        <v>4227</v>
      </c>
      <c r="C2100" t="s">
        <v>4228</v>
      </c>
      <c r="D2100" s="1" t="s">
        <v>427</v>
      </c>
      <c r="E2100" s="3">
        <v>19.78</v>
      </c>
      <c r="F2100" s="3">
        <f t="shared" si="64"/>
        <v>4.998406000000001</v>
      </c>
      <c r="G2100" s="3">
        <f t="shared" si="65"/>
        <v>24.778406000000004</v>
      </c>
    </row>
    <row r="2101" spans="1:7" x14ac:dyDescent="0.3">
      <c r="A2101" t="s">
        <v>13039</v>
      </c>
      <c r="B2101" t="s">
        <v>4229</v>
      </c>
      <c r="C2101" t="s">
        <v>4230</v>
      </c>
      <c r="D2101" s="1" t="s">
        <v>427</v>
      </c>
      <c r="E2101" s="3">
        <v>23.49</v>
      </c>
      <c r="F2101" s="3">
        <f t="shared" si="64"/>
        <v>5.9359230000000007</v>
      </c>
      <c r="G2101" s="3">
        <f t="shared" si="65"/>
        <v>29.425922999999997</v>
      </c>
    </row>
    <row r="2102" spans="1:7" x14ac:dyDescent="0.3">
      <c r="A2102" t="s">
        <v>13039</v>
      </c>
      <c r="B2102" t="s">
        <v>4231</v>
      </c>
      <c r="C2102" t="s">
        <v>4232</v>
      </c>
      <c r="D2102" s="1" t="s">
        <v>427</v>
      </c>
      <c r="E2102" s="3">
        <v>28</v>
      </c>
      <c r="F2102" s="3">
        <f t="shared" si="64"/>
        <v>7.0756000000000014</v>
      </c>
      <c r="G2102" s="3">
        <f t="shared" si="65"/>
        <v>35.075600000000001</v>
      </c>
    </row>
    <row r="2103" spans="1:7" x14ac:dyDescent="0.3">
      <c r="A2103" t="s">
        <v>13039</v>
      </c>
      <c r="B2103" t="s">
        <v>4233</v>
      </c>
      <c r="C2103" t="s">
        <v>4234</v>
      </c>
      <c r="D2103" s="1" t="s">
        <v>427</v>
      </c>
      <c r="E2103" s="3">
        <v>32.950000000000003</v>
      </c>
      <c r="F2103" s="3">
        <f t="shared" si="64"/>
        <v>8.3264650000000024</v>
      </c>
      <c r="G2103" s="3">
        <f t="shared" si="65"/>
        <v>41.276465000000002</v>
      </c>
    </row>
    <row r="2104" spans="1:7" x14ac:dyDescent="0.3">
      <c r="A2104" t="s">
        <v>13039</v>
      </c>
      <c r="B2104" t="s">
        <v>4235</v>
      </c>
      <c r="C2104" t="s">
        <v>4236</v>
      </c>
      <c r="D2104" s="1" t="s">
        <v>427</v>
      </c>
      <c r="E2104" s="3">
        <v>39.21</v>
      </c>
      <c r="F2104" s="3">
        <f t="shared" si="64"/>
        <v>9.9083670000000019</v>
      </c>
      <c r="G2104" s="3">
        <f t="shared" si="65"/>
        <v>49.118367000000006</v>
      </c>
    </row>
    <row r="2105" spans="1:7" x14ac:dyDescent="0.3">
      <c r="A2105" t="s">
        <v>13039</v>
      </c>
      <c r="B2105" t="s">
        <v>4237</v>
      </c>
      <c r="C2105" t="s">
        <v>4238</v>
      </c>
      <c r="D2105" s="1" t="s">
        <v>427</v>
      </c>
      <c r="E2105" s="3">
        <v>46.06</v>
      </c>
      <c r="F2105" s="3">
        <f t="shared" si="64"/>
        <v>11.639362000000002</v>
      </c>
      <c r="G2105" s="3">
        <f t="shared" si="65"/>
        <v>57.699362000000008</v>
      </c>
    </row>
    <row r="2106" spans="1:7" x14ac:dyDescent="0.3">
      <c r="A2106" t="s">
        <v>13039</v>
      </c>
      <c r="B2106" t="s">
        <v>4239</v>
      </c>
      <c r="C2106" t="s">
        <v>4240</v>
      </c>
      <c r="D2106" s="1" t="s">
        <v>427</v>
      </c>
      <c r="E2106" s="3">
        <v>52.18</v>
      </c>
      <c r="F2106" s="3">
        <f t="shared" si="64"/>
        <v>13.185886000000002</v>
      </c>
      <c r="G2106" s="3">
        <f t="shared" si="65"/>
        <v>65.365886000000003</v>
      </c>
    </row>
    <row r="2107" spans="1:7" x14ac:dyDescent="0.3">
      <c r="A2107" t="s">
        <v>13039</v>
      </c>
      <c r="B2107" t="s">
        <v>4241</v>
      </c>
      <c r="C2107" t="s">
        <v>4242</v>
      </c>
      <c r="D2107" s="1" t="s">
        <v>427</v>
      </c>
      <c r="E2107" s="3">
        <v>60.3</v>
      </c>
      <c r="F2107" s="3">
        <f t="shared" si="64"/>
        <v>15.237810000000001</v>
      </c>
      <c r="G2107" s="3">
        <f t="shared" si="65"/>
        <v>75.537809999999993</v>
      </c>
    </row>
    <row r="2108" spans="1:7" x14ac:dyDescent="0.3">
      <c r="A2108" t="s">
        <v>13039</v>
      </c>
      <c r="B2108" t="s">
        <v>4243</v>
      </c>
      <c r="C2108" t="s">
        <v>4244</v>
      </c>
      <c r="D2108" s="1" t="s">
        <v>427</v>
      </c>
      <c r="E2108" s="3">
        <v>63.34</v>
      </c>
      <c r="F2108" s="3">
        <f t="shared" si="64"/>
        <v>16.006018000000005</v>
      </c>
      <c r="G2108" s="3">
        <f t="shared" si="65"/>
        <v>79.346018000000015</v>
      </c>
    </row>
    <row r="2109" spans="1:7" x14ac:dyDescent="0.3">
      <c r="A2109" t="s">
        <v>13039</v>
      </c>
      <c r="B2109" t="s">
        <v>4245</v>
      </c>
      <c r="C2109" t="s">
        <v>4246</v>
      </c>
      <c r="D2109" s="1" t="s">
        <v>427</v>
      </c>
      <c r="E2109" s="3">
        <v>6.34</v>
      </c>
      <c r="F2109" s="3">
        <f t="shared" si="64"/>
        <v>1.6021180000000002</v>
      </c>
      <c r="G2109" s="3">
        <f t="shared" si="65"/>
        <v>7.9421179999999998</v>
      </c>
    </row>
    <row r="2110" spans="1:7" x14ac:dyDescent="0.3">
      <c r="A2110" t="s">
        <v>13039</v>
      </c>
      <c r="B2110" t="s">
        <v>4247</v>
      </c>
      <c r="C2110" t="s">
        <v>4248</v>
      </c>
      <c r="D2110" s="1" t="s">
        <v>427</v>
      </c>
      <c r="E2110" s="3">
        <v>7.07</v>
      </c>
      <c r="F2110" s="3">
        <f t="shared" si="64"/>
        <v>1.7865890000000004</v>
      </c>
      <c r="G2110" s="3">
        <f t="shared" si="65"/>
        <v>8.8565890000000014</v>
      </c>
    </row>
    <row r="2111" spans="1:7" x14ac:dyDescent="0.3">
      <c r="A2111" t="s">
        <v>13039</v>
      </c>
      <c r="B2111" t="s">
        <v>4249</v>
      </c>
      <c r="C2111" t="s">
        <v>4250</v>
      </c>
      <c r="D2111" s="1" t="s">
        <v>427</v>
      </c>
      <c r="E2111" s="3">
        <v>7.81</v>
      </c>
      <c r="F2111" s="3">
        <f t="shared" si="64"/>
        <v>1.9735870000000002</v>
      </c>
      <c r="G2111" s="3">
        <f t="shared" si="65"/>
        <v>9.7835870000000007</v>
      </c>
    </row>
    <row r="2112" spans="1:7" x14ac:dyDescent="0.3">
      <c r="A2112" t="s">
        <v>13039</v>
      </c>
      <c r="B2112" t="s">
        <v>4251</v>
      </c>
      <c r="C2112" t="s">
        <v>4252</v>
      </c>
      <c r="D2112" s="1" t="s">
        <v>427</v>
      </c>
      <c r="E2112" s="3">
        <v>5.84</v>
      </c>
      <c r="F2112" s="3">
        <f t="shared" si="64"/>
        <v>1.4757680000000002</v>
      </c>
      <c r="G2112" s="3">
        <f t="shared" si="65"/>
        <v>7.3157680000000003</v>
      </c>
    </row>
    <row r="2113" spans="1:7" x14ac:dyDescent="0.3">
      <c r="A2113" t="s">
        <v>13039</v>
      </c>
      <c r="B2113" t="s">
        <v>4253</v>
      </c>
      <c r="C2113" t="s">
        <v>4254</v>
      </c>
      <c r="D2113" s="1" t="s">
        <v>427</v>
      </c>
      <c r="E2113" s="3">
        <v>28.16</v>
      </c>
      <c r="F2113" s="3">
        <f t="shared" si="64"/>
        <v>7.1160320000000015</v>
      </c>
      <c r="G2113" s="3">
        <f t="shared" si="65"/>
        <v>35.276032000000001</v>
      </c>
    </row>
    <row r="2114" spans="1:7" x14ac:dyDescent="0.3">
      <c r="A2114" t="s">
        <v>13039</v>
      </c>
      <c r="B2114" t="s">
        <v>4255</v>
      </c>
      <c r="C2114" t="s">
        <v>4256</v>
      </c>
      <c r="D2114" s="1" t="s">
        <v>427</v>
      </c>
      <c r="E2114" s="3">
        <v>28.68</v>
      </c>
      <c r="F2114" s="3">
        <f t="shared" si="64"/>
        <v>7.2474360000000013</v>
      </c>
      <c r="G2114" s="3">
        <f t="shared" si="65"/>
        <v>35.927436</v>
      </c>
    </row>
    <row r="2115" spans="1:7" x14ac:dyDescent="0.3">
      <c r="A2115" t="s">
        <v>13039</v>
      </c>
      <c r="B2115" t="s">
        <v>4257</v>
      </c>
      <c r="C2115" t="s">
        <v>4258</v>
      </c>
      <c r="D2115" s="1" t="s">
        <v>427</v>
      </c>
      <c r="E2115" s="3">
        <v>29.22</v>
      </c>
      <c r="F2115" s="3">
        <f t="shared" si="64"/>
        <v>7.3838940000000006</v>
      </c>
      <c r="G2115" s="3">
        <f t="shared" si="65"/>
        <v>36.603893999999997</v>
      </c>
    </row>
    <row r="2116" spans="1:7" x14ac:dyDescent="0.3">
      <c r="A2116" t="s">
        <v>13039</v>
      </c>
      <c r="B2116" t="s">
        <v>4259</v>
      </c>
      <c r="C2116" t="s">
        <v>4260</v>
      </c>
      <c r="D2116" s="1" t="s">
        <v>427</v>
      </c>
      <c r="E2116" s="3">
        <v>29.78</v>
      </c>
      <c r="F2116" s="3">
        <f t="shared" si="64"/>
        <v>7.5254060000000011</v>
      </c>
      <c r="G2116" s="3">
        <f t="shared" si="65"/>
        <v>37.305406000000005</v>
      </c>
    </row>
    <row r="2117" spans="1:7" x14ac:dyDescent="0.3">
      <c r="A2117" t="s">
        <v>13039</v>
      </c>
      <c r="B2117" t="s">
        <v>4261</v>
      </c>
      <c r="C2117" t="s">
        <v>4262</v>
      </c>
      <c r="D2117" s="1" t="s">
        <v>427</v>
      </c>
      <c r="E2117" s="3">
        <v>30.38</v>
      </c>
      <c r="F2117" s="3">
        <f t="shared" si="64"/>
        <v>7.6770260000000006</v>
      </c>
      <c r="G2117" s="3">
        <f t="shared" si="65"/>
        <v>38.057026</v>
      </c>
    </row>
    <row r="2118" spans="1:7" x14ac:dyDescent="0.3">
      <c r="A2118" t="s">
        <v>13039</v>
      </c>
      <c r="B2118" t="s">
        <v>4263</v>
      </c>
      <c r="C2118" t="s">
        <v>4264</v>
      </c>
      <c r="D2118" s="1" t="s">
        <v>427</v>
      </c>
      <c r="E2118" s="3">
        <v>30.7</v>
      </c>
      <c r="F2118" s="3">
        <f t="shared" si="64"/>
        <v>7.7578900000000006</v>
      </c>
      <c r="G2118" s="3">
        <f t="shared" si="65"/>
        <v>38.457889999999999</v>
      </c>
    </row>
    <row r="2119" spans="1:7" x14ac:dyDescent="0.3">
      <c r="A2119" t="s">
        <v>13039</v>
      </c>
      <c r="B2119" t="s">
        <v>4265</v>
      </c>
      <c r="C2119" t="s">
        <v>4266</v>
      </c>
      <c r="D2119" s="1" t="s">
        <v>427</v>
      </c>
      <c r="E2119" s="3">
        <v>15.99</v>
      </c>
      <c r="F2119" s="3">
        <f t="shared" ref="F2119:F2182" si="66">+E2119*$F$4</f>
        <v>4.0406730000000008</v>
      </c>
      <c r="G2119" s="3">
        <f t="shared" ref="G2119:G2182" si="67">+E2119+F2119</f>
        <v>20.030673</v>
      </c>
    </row>
    <row r="2120" spans="1:7" x14ac:dyDescent="0.3">
      <c r="A2120" t="s">
        <v>13039</v>
      </c>
      <c r="B2120" t="s">
        <v>4267</v>
      </c>
      <c r="C2120" t="s">
        <v>4268</v>
      </c>
      <c r="D2120" s="1" t="s">
        <v>427</v>
      </c>
      <c r="E2120" s="3">
        <v>16.12</v>
      </c>
      <c r="F2120" s="3">
        <f t="shared" si="66"/>
        <v>4.0735240000000008</v>
      </c>
      <c r="G2120" s="3">
        <f t="shared" si="67"/>
        <v>20.193524000000004</v>
      </c>
    </row>
    <row r="2121" spans="1:7" x14ac:dyDescent="0.3">
      <c r="A2121" t="s">
        <v>13039</v>
      </c>
      <c r="B2121" t="s">
        <v>4269</v>
      </c>
      <c r="C2121" t="s">
        <v>4270</v>
      </c>
      <c r="D2121" s="1" t="s">
        <v>427</v>
      </c>
      <c r="E2121" s="3">
        <v>16.260000000000002</v>
      </c>
      <c r="F2121" s="3">
        <f t="shared" si="66"/>
        <v>4.1089020000000014</v>
      </c>
      <c r="G2121" s="3">
        <f t="shared" si="67"/>
        <v>20.368902000000002</v>
      </c>
    </row>
    <row r="2122" spans="1:7" x14ac:dyDescent="0.3">
      <c r="A2122" t="s">
        <v>13039</v>
      </c>
      <c r="B2122" t="s">
        <v>4271</v>
      </c>
      <c r="C2122" t="s">
        <v>4272</v>
      </c>
      <c r="D2122" s="1" t="s">
        <v>427</v>
      </c>
      <c r="E2122" s="3">
        <v>16.399999999999999</v>
      </c>
      <c r="F2122" s="3">
        <f t="shared" si="66"/>
        <v>4.1442800000000002</v>
      </c>
      <c r="G2122" s="3">
        <f t="shared" si="67"/>
        <v>20.544280000000001</v>
      </c>
    </row>
    <row r="2123" spans="1:7" x14ac:dyDescent="0.3">
      <c r="A2123" t="s">
        <v>13039</v>
      </c>
      <c r="B2123" t="s">
        <v>4273</v>
      </c>
      <c r="C2123" t="s">
        <v>4274</v>
      </c>
      <c r="D2123" s="1" t="s">
        <v>427</v>
      </c>
      <c r="E2123" s="3">
        <v>16.55</v>
      </c>
      <c r="F2123" s="3">
        <f t="shared" si="66"/>
        <v>4.1821850000000005</v>
      </c>
      <c r="G2123" s="3">
        <f t="shared" si="67"/>
        <v>20.732185000000001</v>
      </c>
    </row>
    <row r="2124" spans="1:7" x14ac:dyDescent="0.3">
      <c r="A2124" t="s">
        <v>13039</v>
      </c>
      <c r="B2124" t="s">
        <v>4275</v>
      </c>
      <c r="C2124" t="s">
        <v>4276</v>
      </c>
      <c r="D2124" s="1" t="s">
        <v>427</v>
      </c>
      <c r="E2124" s="3">
        <v>16.63</v>
      </c>
      <c r="F2124" s="3">
        <f t="shared" si="66"/>
        <v>4.2024010000000001</v>
      </c>
      <c r="G2124" s="3">
        <f t="shared" si="67"/>
        <v>20.832400999999997</v>
      </c>
    </row>
    <row r="2125" spans="1:7" x14ac:dyDescent="0.3">
      <c r="A2125" t="s">
        <v>13039</v>
      </c>
      <c r="B2125" t="s">
        <v>4277</v>
      </c>
      <c r="C2125" t="s">
        <v>4278</v>
      </c>
      <c r="D2125" s="1" t="s">
        <v>427</v>
      </c>
      <c r="E2125" s="3">
        <v>20.94</v>
      </c>
      <c r="F2125" s="3">
        <f t="shared" si="66"/>
        <v>5.291538000000001</v>
      </c>
      <c r="G2125" s="3">
        <f t="shared" si="67"/>
        <v>26.231538</v>
      </c>
    </row>
    <row r="2126" spans="1:7" x14ac:dyDescent="0.3">
      <c r="A2126" t="s">
        <v>13039</v>
      </c>
      <c r="B2126" t="s">
        <v>4279</v>
      </c>
      <c r="C2126" t="s">
        <v>4280</v>
      </c>
      <c r="D2126" s="1" t="s">
        <v>427</v>
      </c>
      <c r="E2126" s="3">
        <v>21.06</v>
      </c>
      <c r="F2126" s="3">
        <f t="shared" si="66"/>
        <v>5.3218620000000003</v>
      </c>
      <c r="G2126" s="3">
        <f t="shared" si="67"/>
        <v>26.381861999999998</v>
      </c>
    </row>
    <row r="2127" spans="1:7" x14ac:dyDescent="0.3">
      <c r="A2127" t="s">
        <v>13039</v>
      </c>
      <c r="B2127" t="s">
        <v>4281</v>
      </c>
      <c r="C2127" t="s">
        <v>4282</v>
      </c>
      <c r="D2127" s="1" t="s">
        <v>427</v>
      </c>
      <c r="E2127" s="3">
        <v>21.19</v>
      </c>
      <c r="F2127" s="3">
        <f t="shared" si="66"/>
        <v>5.3547130000000012</v>
      </c>
      <c r="G2127" s="3">
        <f t="shared" si="67"/>
        <v>26.544713000000002</v>
      </c>
    </row>
    <row r="2128" spans="1:7" x14ac:dyDescent="0.3">
      <c r="A2128" t="s">
        <v>13039</v>
      </c>
      <c r="B2128" t="s">
        <v>4283</v>
      </c>
      <c r="C2128" t="s">
        <v>4284</v>
      </c>
      <c r="D2128" s="1" t="s">
        <v>427</v>
      </c>
      <c r="E2128" s="3">
        <v>21.32</v>
      </c>
      <c r="F2128" s="3">
        <f t="shared" si="66"/>
        <v>5.3875640000000011</v>
      </c>
      <c r="G2128" s="3">
        <f t="shared" si="67"/>
        <v>26.707564000000001</v>
      </c>
    </row>
    <row r="2129" spans="1:7" x14ac:dyDescent="0.3">
      <c r="A2129" t="s">
        <v>13039</v>
      </c>
      <c r="B2129" t="s">
        <v>4285</v>
      </c>
      <c r="C2129" t="s">
        <v>4286</v>
      </c>
      <c r="D2129" s="1" t="s">
        <v>427</v>
      </c>
      <c r="E2129" s="3">
        <v>21.46</v>
      </c>
      <c r="F2129" s="3">
        <f t="shared" si="66"/>
        <v>5.4229420000000008</v>
      </c>
      <c r="G2129" s="3">
        <f t="shared" si="67"/>
        <v>26.882942</v>
      </c>
    </row>
    <row r="2130" spans="1:7" x14ac:dyDescent="0.3">
      <c r="A2130" t="s">
        <v>13039</v>
      </c>
      <c r="B2130" t="s">
        <v>4287</v>
      </c>
      <c r="C2130" t="s">
        <v>4288</v>
      </c>
      <c r="D2130" s="1" t="s">
        <v>427</v>
      </c>
      <c r="E2130" s="3">
        <v>21.54</v>
      </c>
      <c r="F2130" s="3">
        <f t="shared" si="66"/>
        <v>5.4431580000000004</v>
      </c>
      <c r="G2130" s="3">
        <f t="shared" si="67"/>
        <v>26.983158</v>
      </c>
    </row>
    <row r="2131" spans="1:7" x14ac:dyDescent="0.3">
      <c r="A2131" t="s">
        <v>13039</v>
      </c>
      <c r="B2131" t="s">
        <v>4289</v>
      </c>
      <c r="C2131" t="s">
        <v>4290</v>
      </c>
      <c r="D2131" s="1" t="s">
        <v>427</v>
      </c>
      <c r="E2131" s="3">
        <v>18.73</v>
      </c>
      <c r="F2131" s="3">
        <f t="shared" si="66"/>
        <v>4.7330710000000007</v>
      </c>
      <c r="G2131" s="3">
        <f t="shared" si="67"/>
        <v>23.463070999999999</v>
      </c>
    </row>
    <row r="2132" spans="1:7" x14ac:dyDescent="0.3">
      <c r="A2132" t="s">
        <v>13039</v>
      </c>
      <c r="B2132" t="s">
        <v>4291</v>
      </c>
      <c r="C2132" t="s">
        <v>4292</v>
      </c>
      <c r="D2132" s="1" t="s">
        <v>427</v>
      </c>
      <c r="E2132" s="3">
        <v>19.04</v>
      </c>
      <c r="F2132" s="3">
        <f t="shared" si="66"/>
        <v>4.8114080000000001</v>
      </c>
      <c r="G2132" s="3">
        <f t="shared" si="67"/>
        <v>23.851407999999999</v>
      </c>
    </row>
    <row r="2133" spans="1:7" x14ac:dyDescent="0.3">
      <c r="A2133" t="s">
        <v>13039</v>
      </c>
      <c r="B2133" t="s">
        <v>4293</v>
      </c>
      <c r="C2133" t="s">
        <v>4294</v>
      </c>
      <c r="D2133" s="1" t="s">
        <v>427</v>
      </c>
      <c r="E2133" s="3">
        <v>19.36</v>
      </c>
      <c r="F2133" s="3">
        <f t="shared" si="66"/>
        <v>4.8922720000000002</v>
      </c>
      <c r="G2133" s="3">
        <f t="shared" si="67"/>
        <v>24.252271999999998</v>
      </c>
    </row>
    <row r="2134" spans="1:7" x14ac:dyDescent="0.3">
      <c r="A2134" t="s">
        <v>13039</v>
      </c>
      <c r="B2134" t="s">
        <v>4295</v>
      </c>
      <c r="C2134" t="s">
        <v>4296</v>
      </c>
      <c r="D2134" s="1" t="s">
        <v>427</v>
      </c>
      <c r="E2134" s="3">
        <v>19.68</v>
      </c>
      <c r="F2134" s="3">
        <f t="shared" si="66"/>
        <v>4.9731360000000002</v>
      </c>
      <c r="G2134" s="3">
        <f t="shared" si="67"/>
        <v>24.653136</v>
      </c>
    </row>
    <row r="2135" spans="1:7" x14ac:dyDescent="0.3">
      <c r="A2135" t="s">
        <v>13039</v>
      </c>
      <c r="B2135" t="s">
        <v>4297</v>
      </c>
      <c r="C2135" t="s">
        <v>4298</v>
      </c>
      <c r="D2135" s="1" t="s">
        <v>427</v>
      </c>
      <c r="E2135" s="3">
        <v>20.04</v>
      </c>
      <c r="F2135" s="3">
        <f t="shared" si="66"/>
        <v>5.0641080000000009</v>
      </c>
      <c r="G2135" s="3">
        <f t="shared" si="67"/>
        <v>25.104108</v>
      </c>
    </row>
    <row r="2136" spans="1:7" x14ac:dyDescent="0.3">
      <c r="A2136" t="s">
        <v>13039</v>
      </c>
      <c r="B2136" t="s">
        <v>4299</v>
      </c>
      <c r="C2136" t="s">
        <v>4300</v>
      </c>
      <c r="D2136" s="1" t="s">
        <v>427</v>
      </c>
      <c r="E2136" s="3">
        <v>20.22</v>
      </c>
      <c r="F2136" s="3">
        <f t="shared" si="66"/>
        <v>5.1095940000000004</v>
      </c>
      <c r="G2136" s="3">
        <f t="shared" si="67"/>
        <v>25.329594</v>
      </c>
    </row>
    <row r="2137" spans="1:7" x14ac:dyDescent="0.3">
      <c r="A2137" t="s">
        <v>13039</v>
      </c>
      <c r="B2137" t="s">
        <v>4301</v>
      </c>
      <c r="C2137" t="s">
        <v>4302</v>
      </c>
      <c r="D2137" s="1" t="s">
        <v>427</v>
      </c>
      <c r="E2137" s="3">
        <v>26.01</v>
      </c>
      <c r="F2137" s="3">
        <f t="shared" si="66"/>
        <v>6.5727270000000013</v>
      </c>
      <c r="G2137" s="3">
        <f t="shared" si="67"/>
        <v>32.582727000000006</v>
      </c>
    </row>
    <row r="2138" spans="1:7" x14ac:dyDescent="0.3">
      <c r="A2138" t="s">
        <v>13039</v>
      </c>
      <c r="B2138" t="s">
        <v>4303</v>
      </c>
      <c r="C2138" t="s">
        <v>4304</v>
      </c>
      <c r="D2138" s="1" t="s">
        <v>427</v>
      </c>
      <c r="E2138" s="3">
        <v>26.12</v>
      </c>
      <c r="F2138" s="3">
        <f t="shared" si="66"/>
        <v>6.6005240000000009</v>
      </c>
      <c r="G2138" s="3">
        <f t="shared" si="67"/>
        <v>32.720524000000005</v>
      </c>
    </row>
    <row r="2139" spans="1:7" x14ac:dyDescent="0.3">
      <c r="A2139" t="s">
        <v>13039</v>
      </c>
      <c r="B2139" t="s">
        <v>4305</v>
      </c>
      <c r="C2139" t="s">
        <v>4306</v>
      </c>
      <c r="D2139" s="1" t="s">
        <v>427</v>
      </c>
      <c r="E2139" s="3">
        <v>26.25</v>
      </c>
      <c r="F2139" s="3">
        <f t="shared" si="66"/>
        <v>6.6333750000000009</v>
      </c>
      <c r="G2139" s="3">
        <f t="shared" si="67"/>
        <v>32.883375000000001</v>
      </c>
    </row>
    <row r="2140" spans="1:7" x14ac:dyDescent="0.3">
      <c r="A2140" t="s">
        <v>13039</v>
      </c>
      <c r="B2140" t="s">
        <v>4307</v>
      </c>
      <c r="C2140" t="s">
        <v>4308</v>
      </c>
      <c r="D2140" s="1" t="s">
        <v>427</v>
      </c>
      <c r="E2140" s="3">
        <v>26.38</v>
      </c>
      <c r="F2140" s="3">
        <f t="shared" si="66"/>
        <v>6.6662260000000009</v>
      </c>
      <c r="G2140" s="3">
        <f t="shared" si="67"/>
        <v>33.046225999999997</v>
      </c>
    </row>
    <row r="2141" spans="1:7" x14ac:dyDescent="0.3">
      <c r="A2141" t="s">
        <v>13039</v>
      </c>
      <c r="B2141" t="s">
        <v>4309</v>
      </c>
      <c r="C2141" t="s">
        <v>4310</v>
      </c>
      <c r="D2141" s="1" t="s">
        <v>427</v>
      </c>
      <c r="E2141" s="3">
        <v>26.51</v>
      </c>
      <c r="F2141" s="3">
        <f t="shared" si="66"/>
        <v>6.6990770000000017</v>
      </c>
      <c r="G2141" s="3">
        <f t="shared" si="67"/>
        <v>33.209077000000001</v>
      </c>
    </row>
    <row r="2142" spans="1:7" x14ac:dyDescent="0.3">
      <c r="A2142" t="s">
        <v>13039</v>
      </c>
      <c r="B2142" t="s">
        <v>4311</v>
      </c>
      <c r="C2142" t="s">
        <v>4312</v>
      </c>
      <c r="D2142" s="1" t="s">
        <v>427</v>
      </c>
      <c r="E2142" s="3">
        <v>26.59</v>
      </c>
      <c r="F2142" s="3">
        <f t="shared" si="66"/>
        <v>6.7192930000000013</v>
      </c>
      <c r="G2142" s="3">
        <f t="shared" si="67"/>
        <v>33.309293000000004</v>
      </c>
    </row>
    <row r="2143" spans="1:7" x14ac:dyDescent="0.3">
      <c r="A2143" t="s">
        <v>13039</v>
      </c>
      <c r="B2143" t="s">
        <v>4313</v>
      </c>
      <c r="C2143" t="s">
        <v>4314</v>
      </c>
      <c r="D2143" s="1" t="s">
        <v>427</v>
      </c>
      <c r="E2143" s="3">
        <v>17.16</v>
      </c>
      <c r="F2143" s="3">
        <f t="shared" si="66"/>
        <v>4.3363320000000005</v>
      </c>
      <c r="G2143" s="3">
        <f t="shared" si="67"/>
        <v>21.496332000000002</v>
      </c>
    </row>
    <row r="2144" spans="1:7" x14ac:dyDescent="0.3">
      <c r="A2144" t="s">
        <v>13039</v>
      </c>
      <c r="B2144" t="s">
        <v>4315</v>
      </c>
      <c r="C2144" t="s">
        <v>4316</v>
      </c>
      <c r="D2144" s="1" t="s">
        <v>427</v>
      </c>
      <c r="E2144" s="3">
        <v>17.399999999999999</v>
      </c>
      <c r="F2144" s="3">
        <f t="shared" si="66"/>
        <v>4.3969800000000001</v>
      </c>
      <c r="G2144" s="3">
        <f t="shared" si="67"/>
        <v>21.796979999999998</v>
      </c>
    </row>
    <row r="2145" spans="1:7" x14ac:dyDescent="0.3">
      <c r="A2145" t="s">
        <v>13039</v>
      </c>
      <c r="B2145" t="s">
        <v>4317</v>
      </c>
      <c r="C2145" t="s">
        <v>4318</v>
      </c>
      <c r="D2145" s="1" t="s">
        <v>427</v>
      </c>
      <c r="E2145" s="3">
        <v>17.64</v>
      </c>
      <c r="F2145" s="3">
        <f t="shared" si="66"/>
        <v>4.4576280000000006</v>
      </c>
      <c r="G2145" s="3">
        <f t="shared" si="67"/>
        <v>22.097628</v>
      </c>
    </row>
    <row r="2146" spans="1:7" x14ac:dyDescent="0.3">
      <c r="A2146" t="s">
        <v>13039</v>
      </c>
      <c r="B2146" t="s">
        <v>4319</v>
      </c>
      <c r="C2146" t="s">
        <v>4320</v>
      </c>
      <c r="D2146" s="1" t="s">
        <v>427</v>
      </c>
      <c r="E2146" s="3">
        <v>17.899999999999999</v>
      </c>
      <c r="F2146" s="3">
        <f t="shared" si="66"/>
        <v>4.5233300000000005</v>
      </c>
      <c r="G2146" s="3">
        <f t="shared" si="67"/>
        <v>22.42333</v>
      </c>
    </row>
    <row r="2147" spans="1:7" x14ac:dyDescent="0.3">
      <c r="A2147" t="s">
        <v>13039</v>
      </c>
      <c r="B2147" t="s">
        <v>4321</v>
      </c>
      <c r="C2147" t="s">
        <v>4322</v>
      </c>
      <c r="D2147" s="1" t="s">
        <v>427</v>
      </c>
      <c r="E2147" s="3">
        <v>18.170000000000002</v>
      </c>
      <c r="F2147" s="3">
        <f t="shared" si="66"/>
        <v>4.5915590000000011</v>
      </c>
      <c r="G2147" s="3">
        <f t="shared" si="67"/>
        <v>22.761559000000002</v>
      </c>
    </row>
    <row r="2148" spans="1:7" x14ac:dyDescent="0.3">
      <c r="A2148" t="s">
        <v>13039</v>
      </c>
      <c r="B2148" t="s">
        <v>4323</v>
      </c>
      <c r="C2148" t="s">
        <v>4324</v>
      </c>
      <c r="D2148" s="1" t="s">
        <v>427</v>
      </c>
      <c r="E2148" s="3">
        <v>18.32</v>
      </c>
      <c r="F2148" s="3">
        <f t="shared" si="66"/>
        <v>4.6294640000000005</v>
      </c>
      <c r="G2148" s="3">
        <f t="shared" si="67"/>
        <v>22.949463999999999</v>
      </c>
    </row>
    <row r="2149" spans="1:7" x14ac:dyDescent="0.3">
      <c r="A2149" t="s">
        <v>13039</v>
      </c>
      <c r="B2149" t="s">
        <v>4325</v>
      </c>
      <c r="C2149" t="s">
        <v>4326</v>
      </c>
      <c r="D2149" s="1" t="s">
        <v>427</v>
      </c>
      <c r="E2149" s="3">
        <v>15.97</v>
      </c>
      <c r="F2149" s="3">
        <f t="shared" si="66"/>
        <v>4.0356190000000005</v>
      </c>
      <c r="G2149" s="3">
        <f t="shared" si="67"/>
        <v>20.005619000000003</v>
      </c>
    </row>
    <row r="2150" spans="1:7" x14ac:dyDescent="0.3">
      <c r="A2150" t="s">
        <v>13039</v>
      </c>
      <c r="B2150" t="s">
        <v>4327</v>
      </c>
      <c r="C2150" t="s">
        <v>4328</v>
      </c>
      <c r="D2150" s="1" t="s">
        <v>427</v>
      </c>
      <c r="E2150" s="3">
        <v>16.18</v>
      </c>
      <c r="F2150" s="3">
        <f t="shared" si="66"/>
        <v>4.0886860000000009</v>
      </c>
      <c r="G2150" s="3">
        <f t="shared" si="67"/>
        <v>20.268686000000002</v>
      </c>
    </row>
    <row r="2151" spans="1:7" x14ac:dyDescent="0.3">
      <c r="A2151" t="s">
        <v>13039</v>
      </c>
      <c r="B2151" t="s">
        <v>4329</v>
      </c>
      <c r="C2151" t="s">
        <v>4330</v>
      </c>
      <c r="D2151" s="1" t="s">
        <v>427</v>
      </c>
      <c r="E2151" s="3">
        <v>16.39</v>
      </c>
      <c r="F2151" s="3">
        <f t="shared" si="66"/>
        <v>4.1417530000000005</v>
      </c>
      <c r="G2151" s="3">
        <f t="shared" si="67"/>
        <v>20.531753000000002</v>
      </c>
    </row>
    <row r="2152" spans="1:7" x14ac:dyDescent="0.3">
      <c r="A2152" t="s">
        <v>13039</v>
      </c>
      <c r="B2152" t="s">
        <v>4331</v>
      </c>
      <c r="C2152" t="s">
        <v>4332</v>
      </c>
      <c r="D2152" s="1" t="s">
        <v>427</v>
      </c>
      <c r="E2152" s="3">
        <v>16.61</v>
      </c>
      <c r="F2152" s="3">
        <f t="shared" si="66"/>
        <v>4.1973470000000006</v>
      </c>
      <c r="G2152" s="3">
        <f t="shared" si="67"/>
        <v>20.807347</v>
      </c>
    </row>
    <row r="2153" spans="1:7" x14ac:dyDescent="0.3">
      <c r="A2153" t="s">
        <v>13039</v>
      </c>
      <c r="B2153" t="s">
        <v>4333</v>
      </c>
      <c r="C2153" t="s">
        <v>4334</v>
      </c>
      <c r="D2153" s="1" t="s">
        <v>427</v>
      </c>
      <c r="E2153" s="3">
        <v>16.850000000000001</v>
      </c>
      <c r="F2153" s="3">
        <f t="shared" si="66"/>
        <v>4.2579950000000011</v>
      </c>
      <c r="G2153" s="3">
        <f t="shared" si="67"/>
        <v>21.107995000000003</v>
      </c>
    </row>
    <row r="2154" spans="1:7" x14ac:dyDescent="0.3">
      <c r="A2154" t="s">
        <v>13039</v>
      </c>
      <c r="B2154" t="s">
        <v>4335</v>
      </c>
      <c r="C2154" t="s">
        <v>4336</v>
      </c>
      <c r="D2154" s="1" t="s">
        <v>427</v>
      </c>
      <c r="E2154" s="3">
        <v>16.98</v>
      </c>
      <c r="F2154" s="3">
        <f t="shared" si="66"/>
        <v>4.290846000000001</v>
      </c>
      <c r="G2154" s="3">
        <f t="shared" si="67"/>
        <v>21.270846000000002</v>
      </c>
    </row>
    <row r="2155" spans="1:7" x14ac:dyDescent="0.3">
      <c r="A2155" t="s">
        <v>13039</v>
      </c>
      <c r="B2155" t="s">
        <v>4337</v>
      </c>
      <c r="C2155" t="s">
        <v>4338</v>
      </c>
      <c r="D2155" s="1" t="s">
        <v>427</v>
      </c>
      <c r="E2155" s="3">
        <v>17.46</v>
      </c>
      <c r="F2155" s="3">
        <f t="shared" si="66"/>
        <v>4.4121420000000011</v>
      </c>
      <c r="G2155" s="3">
        <f t="shared" si="67"/>
        <v>21.872142000000004</v>
      </c>
    </row>
    <row r="2156" spans="1:7" x14ac:dyDescent="0.3">
      <c r="A2156" t="s">
        <v>13039</v>
      </c>
      <c r="B2156" t="s">
        <v>4339</v>
      </c>
      <c r="C2156" t="s">
        <v>4340</v>
      </c>
      <c r="D2156" s="1" t="s">
        <v>427</v>
      </c>
      <c r="E2156" s="3">
        <v>17.64</v>
      </c>
      <c r="F2156" s="3">
        <f t="shared" si="66"/>
        <v>4.4576280000000006</v>
      </c>
      <c r="G2156" s="3">
        <f t="shared" si="67"/>
        <v>22.097628</v>
      </c>
    </row>
    <row r="2157" spans="1:7" x14ac:dyDescent="0.3">
      <c r="A2157" t="s">
        <v>13039</v>
      </c>
      <c r="B2157" t="s">
        <v>4341</v>
      </c>
      <c r="C2157" t="s">
        <v>4342</v>
      </c>
      <c r="D2157" s="1" t="s">
        <v>427</v>
      </c>
      <c r="E2157" s="3">
        <v>17.829999999999998</v>
      </c>
      <c r="F2157" s="3">
        <f t="shared" si="66"/>
        <v>4.5056409999999998</v>
      </c>
      <c r="G2157" s="3">
        <f t="shared" si="67"/>
        <v>22.335640999999999</v>
      </c>
    </row>
    <row r="2158" spans="1:7" x14ac:dyDescent="0.3">
      <c r="A2158" t="s">
        <v>13039</v>
      </c>
      <c r="B2158" t="s">
        <v>4343</v>
      </c>
      <c r="C2158" t="s">
        <v>4344</v>
      </c>
      <c r="D2158" s="1" t="s">
        <v>427</v>
      </c>
      <c r="E2158" s="3">
        <v>18.02</v>
      </c>
      <c r="F2158" s="3">
        <f t="shared" si="66"/>
        <v>4.5536540000000008</v>
      </c>
      <c r="G2158" s="3">
        <f t="shared" si="67"/>
        <v>22.573654000000001</v>
      </c>
    </row>
    <row r="2159" spans="1:7" x14ac:dyDescent="0.3">
      <c r="A2159" t="s">
        <v>13039</v>
      </c>
      <c r="B2159" t="s">
        <v>4345</v>
      </c>
      <c r="C2159" t="s">
        <v>4346</v>
      </c>
      <c r="D2159" s="1" t="s">
        <v>427</v>
      </c>
      <c r="E2159" s="3">
        <v>18.23</v>
      </c>
      <c r="F2159" s="3">
        <f t="shared" si="66"/>
        <v>4.6067210000000012</v>
      </c>
      <c r="G2159" s="3">
        <f t="shared" si="67"/>
        <v>22.836721000000001</v>
      </c>
    </row>
    <row r="2160" spans="1:7" x14ac:dyDescent="0.3">
      <c r="A2160" t="s">
        <v>13039</v>
      </c>
      <c r="B2160" t="s">
        <v>4347</v>
      </c>
      <c r="C2160" t="s">
        <v>4348</v>
      </c>
      <c r="D2160" s="1" t="s">
        <v>427</v>
      </c>
      <c r="E2160" s="3">
        <v>18.34</v>
      </c>
      <c r="F2160" s="3">
        <f t="shared" si="66"/>
        <v>4.6345180000000008</v>
      </c>
      <c r="G2160" s="3">
        <f t="shared" si="67"/>
        <v>22.974518</v>
      </c>
    </row>
    <row r="2161" spans="1:7" x14ac:dyDescent="0.3">
      <c r="A2161" t="s">
        <v>13039</v>
      </c>
      <c r="B2161" t="s">
        <v>4349</v>
      </c>
      <c r="C2161" t="s">
        <v>4350</v>
      </c>
      <c r="D2161" s="1" t="s">
        <v>427</v>
      </c>
      <c r="E2161" s="3">
        <v>39.11</v>
      </c>
      <c r="F2161" s="3">
        <f t="shared" si="66"/>
        <v>9.8830970000000011</v>
      </c>
      <c r="G2161" s="3">
        <f t="shared" si="67"/>
        <v>48.993096999999999</v>
      </c>
    </row>
    <row r="2162" spans="1:7" x14ac:dyDescent="0.3">
      <c r="A2162" t="s">
        <v>13039</v>
      </c>
      <c r="B2162" t="s">
        <v>4351</v>
      </c>
      <c r="C2162" t="s">
        <v>4352</v>
      </c>
      <c r="D2162" s="1" t="s">
        <v>427</v>
      </c>
      <c r="E2162" s="3">
        <v>39.880000000000003</v>
      </c>
      <c r="F2162" s="3">
        <f t="shared" si="66"/>
        <v>10.077676000000002</v>
      </c>
      <c r="G2162" s="3">
        <f t="shared" si="67"/>
        <v>49.957676000000006</v>
      </c>
    </row>
    <row r="2163" spans="1:7" x14ac:dyDescent="0.3">
      <c r="A2163" t="s">
        <v>13039</v>
      </c>
      <c r="B2163" t="s">
        <v>4353</v>
      </c>
      <c r="C2163" t="s">
        <v>4354</v>
      </c>
      <c r="D2163" s="1" t="s">
        <v>427</v>
      </c>
      <c r="E2163" s="3">
        <v>40.67</v>
      </c>
      <c r="F2163" s="3">
        <f t="shared" si="66"/>
        <v>10.277309000000002</v>
      </c>
      <c r="G2163" s="3">
        <f t="shared" si="67"/>
        <v>50.947309000000004</v>
      </c>
    </row>
    <row r="2164" spans="1:7" x14ac:dyDescent="0.3">
      <c r="A2164" t="s">
        <v>13039</v>
      </c>
      <c r="B2164" t="s">
        <v>4355</v>
      </c>
      <c r="C2164" t="s">
        <v>4356</v>
      </c>
      <c r="D2164" s="1" t="s">
        <v>427</v>
      </c>
      <c r="E2164" s="3">
        <v>41.49</v>
      </c>
      <c r="F2164" s="3">
        <f t="shared" si="66"/>
        <v>10.484523000000001</v>
      </c>
      <c r="G2164" s="3">
        <f t="shared" si="67"/>
        <v>51.974523000000005</v>
      </c>
    </row>
    <row r="2165" spans="1:7" x14ac:dyDescent="0.3">
      <c r="A2165" t="s">
        <v>13039</v>
      </c>
      <c r="B2165" t="s">
        <v>4357</v>
      </c>
      <c r="C2165" t="s">
        <v>4358</v>
      </c>
      <c r="D2165" s="1" t="s">
        <v>427</v>
      </c>
      <c r="E2165" s="3">
        <v>42.36</v>
      </c>
      <c r="F2165" s="3">
        <f t="shared" si="66"/>
        <v>10.704372000000001</v>
      </c>
      <c r="G2165" s="3">
        <f t="shared" si="67"/>
        <v>53.064371999999999</v>
      </c>
    </row>
    <row r="2166" spans="1:7" x14ac:dyDescent="0.3">
      <c r="A2166" t="s">
        <v>13039</v>
      </c>
      <c r="B2166" t="s">
        <v>4359</v>
      </c>
      <c r="C2166" t="s">
        <v>4360</v>
      </c>
      <c r="D2166" s="1" t="s">
        <v>427</v>
      </c>
      <c r="E2166" s="3">
        <v>42.83</v>
      </c>
      <c r="F2166" s="3">
        <f t="shared" si="66"/>
        <v>10.823141000000001</v>
      </c>
      <c r="G2166" s="3">
        <f t="shared" si="67"/>
        <v>53.653140999999998</v>
      </c>
    </row>
    <row r="2167" spans="1:7" x14ac:dyDescent="0.3">
      <c r="A2167" t="s">
        <v>13039</v>
      </c>
      <c r="B2167" t="s">
        <v>4361</v>
      </c>
      <c r="C2167" t="s">
        <v>4362</v>
      </c>
      <c r="D2167" s="1" t="s">
        <v>427</v>
      </c>
      <c r="E2167" s="3">
        <v>7.62</v>
      </c>
      <c r="F2167" s="3">
        <f t="shared" si="66"/>
        <v>1.9255740000000003</v>
      </c>
      <c r="G2167" s="3">
        <f t="shared" si="67"/>
        <v>9.5455740000000002</v>
      </c>
    </row>
    <row r="2168" spans="1:7" x14ac:dyDescent="0.3">
      <c r="A2168" t="s">
        <v>13039</v>
      </c>
      <c r="B2168" t="s">
        <v>4363</v>
      </c>
      <c r="C2168" t="s">
        <v>4364</v>
      </c>
      <c r="D2168" s="1" t="s">
        <v>427</v>
      </c>
      <c r="E2168" s="3">
        <v>8.35</v>
      </c>
      <c r="F2168" s="3">
        <f t="shared" si="66"/>
        <v>2.1100450000000004</v>
      </c>
      <c r="G2168" s="3">
        <f t="shared" si="67"/>
        <v>10.460045000000001</v>
      </c>
    </row>
    <row r="2169" spans="1:7" x14ac:dyDescent="0.3">
      <c r="A2169" t="s">
        <v>13039</v>
      </c>
      <c r="B2169" t="s">
        <v>4365</v>
      </c>
      <c r="C2169" t="s">
        <v>4366</v>
      </c>
      <c r="D2169" s="1" t="s">
        <v>427</v>
      </c>
      <c r="E2169" s="3">
        <v>8.7100000000000009</v>
      </c>
      <c r="F2169" s="3">
        <f t="shared" si="66"/>
        <v>2.2010170000000007</v>
      </c>
      <c r="G2169" s="3">
        <f t="shared" si="67"/>
        <v>10.911017000000001</v>
      </c>
    </row>
    <row r="2170" spans="1:7" x14ac:dyDescent="0.3">
      <c r="A2170" t="s">
        <v>13039</v>
      </c>
      <c r="B2170" t="s">
        <v>4367</v>
      </c>
      <c r="C2170" t="s">
        <v>4368</v>
      </c>
      <c r="D2170" s="1" t="s">
        <v>427</v>
      </c>
      <c r="E2170" s="3">
        <v>9.08</v>
      </c>
      <c r="F2170" s="3">
        <f t="shared" si="66"/>
        <v>2.2945160000000002</v>
      </c>
      <c r="G2170" s="3">
        <f t="shared" si="67"/>
        <v>11.374516</v>
      </c>
    </row>
    <row r="2171" spans="1:7" x14ac:dyDescent="0.3">
      <c r="A2171" t="s">
        <v>13039</v>
      </c>
      <c r="B2171" t="s">
        <v>4369</v>
      </c>
      <c r="C2171" t="s">
        <v>4370</v>
      </c>
      <c r="D2171" s="1" t="s">
        <v>427</v>
      </c>
      <c r="E2171" s="3">
        <v>9.5500000000000007</v>
      </c>
      <c r="F2171" s="3">
        <f t="shared" si="66"/>
        <v>2.4132850000000006</v>
      </c>
      <c r="G2171" s="3">
        <f t="shared" si="67"/>
        <v>11.963285000000001</v>
      </c>
    </row>
    <row r="2172" spans="1:7" x14ac:dyDescent="0.3">
      <c r="A2172" t="s">
        <v>13039</v>
      </c>
      <c r="B2172" t="s">
        <v>4371</v>
      </c>
      <c r="C2172" t="s">
        <v>4372</v>
      </c>
      <c r="D2172" s="1" t="s">
        <v>427</v>
      </c>
      <c r="E2172" s="3">
        <v>9.9600000000000009</v>
      </c>
      <c r="F2172" s="3">
        <f t="shared" si="66"/>
        <v>2.5168920000000004</v>
      </c>
      <c r="G2172" s="3">
        <f t="shared" si="67"/>
        <v>12.476892000000001</v>
      </c>
    </row>
    <row r="2173" spans="1:7" x14ac:dyDescent="0.3">
      <c r="A2173" t="s">
        <v>13039</v>
      </c>
      <c r="B2173" t="s">
        <v>4373</v>
      </c>
      <c r="C2173" t="s">
        <v>4374</v>
      </c>
      <c r="D2173" s="1" t="s">
        <v>427</v>
      </c>
      <c r="E2173" s="3">
        <v>10.75</v>
      </c>
      <c r="F2173" s="3">
        <f t="shared" si="66"/>
        <v>2.7165250000000003</v>
      </c>
      <c r="G2173" s="3">
        <f t="shared" si="67"/>
        <v>13.466525000000001</v>
      </c>
    </row>
    <row r="2174" spans="1:7" x14ac:dyDescent="0.3">
      <c r="A2174" t="s">
        <v>13039</v>
      </c>
      <c r="B2174" t="s">
        <v>4375</v>
      </c>
      <c r="C2174" t="s">
        <v>4376</v>
      </c>
      <c r="D2174" s="1" t="s">
        <v>427</v>
      </c>
      <c r="E2174" s="3">
        <v>11.26</v>
      </c>
      <c r="F2174" s="3">
        <f t="shared" si="66"/>
        <v>2.8454020000000004</v>
      </c>
      <c r="G2174" s="3">
        <f t="shared" si="67"/>
        <v>14.105402</v>
      </c>
    </row>
    <row r="2175" spans="1:7" x14ac:dyDescent="0.3">
      <c r="A2175" t="s">
        <v>13039</v>
      </c>
      <c r="B2175" t="s">
        <v>4377</v>
      </c>
      <c r="C2175" t="s">
        <v>4378</v>
      </c>
      <c r="D2175" s="1" t="s">
        <v>427</v>
      </c>
      <c r="E2175" s="3">
        <v>11.82</v>
      </c>
      <c r="F2175" s="3">
        <f t="shared" si="66"/>
        <v>2.9869140000000005</v>
      </c>
      <c r="G2175" s="3">
        <f t="shared" si="67"/>
        <v>14.806914000000001</v>
      </c>
    </row>
    <row r="2176" spans="1:7" x14ac:dyDescent="0.3">
      <c r="A2176" t="s">
        <v>13039</v>
      </c>
      <c r="B2176" t="s">
        <v>4379</v>
      </c>
      <c r="C2176" t="s">
        <v>4380</v>
      </c>
      <c r="D2176" s="1" t="s">
        <v>427</v>
      </c>
      <c r="E2176" s="3">
        <v>12.41</v>
      </c>
      <c r="F2176" s="3">
        <f t="shared" si="66"/>
        <v>3.1360070000000007</v>
      </c>
      <c r="G2176" s="3">
        <f t="shared" si="67"/>
        <v>15.546007000000001</v>
      </c>
    </row>
    <row r="2177" spans="1:7" x14ac:dyDescent="0.3">
      <c r="A2177" t="s">
        <v>13039</v>
      </c>
      <c r="B2177" t="s">
        <v>4381</v>
      </c>
      <c r="C2177" t="s">
        <v>4382</v>
      </c>
      <c r="D2177" s="1" t="s">
        <v>427</v>
      </c>
      <c r="E2177" s="3">
        <v>13.32</v>
      </c>
      <c r="F2177" s="3">
        <f t="shared" si="66"/>
        <v>3.3659640000000004</v>
      </c>
      <c r="G2177" s="3">
        <f t="shared" si="67"/>
        <v>16.685964000000002</v>
      </c>
    </row>
    <row r="2178" spans="1:7" x14ac:dyDescent="0.3">
      <c r="A2178" t="s">
        <v>13039</v>
      </c>
      <c r="B2178" t="s">
        <v>4383</v>
      </c>
      <c r="C2178" t="s">
        <v>4384</v>
      </c>
      <c r="D2178" s="1" t="s">
        <v>427</v>
      </c>
      <c r="E2178" s="3">
        <v>13.97</v>
      </c>
      <c r="F2178" s="3">
        <f t="shared" si="66"/>
        <v>3.5302190000000007</v>
      </c>
      <c r="G2178" s="3">
        <f t="shared" si="67"/>
        <v>17.500219000000001</v>
      </c>
    </row>
    <row r="2179" spans="1:7" x14ac:dyDescent="0.3">
      <c r="A2179" t="s">
        <v>13039</v>
      </c>
      <c r="B2179" t="s">
        <v>4385</v>
      </c>
      <c r="C2179" t="s">
        <v>4386</v>
      </c>
      <c r="D2179" s="1" t="s">
        <v>427</v>
      </c>
      <c r="E2179" s="3">
        <v>13.89</v>
      </c>
      <c r="F2179" s="3">
        <f t="shared" si="66"/>
        <v>3.5100030000000007</v>
      </c>
      <c r="G2179" s="3">
        <f t="shared" si="67"/>
        <v>17.400003000000002</v>
      </c>
    </row>
    <row r="2180" spans="1:7" x14ac:dyDescent="0.3">
      <c r="A2180" t="s">
        <v>13039</v>
      </c>
      <c r="B2180" t="s">
        <v>4387</v>
      </c>
      <c r="C2180" t="s">
        <v>4388</v>
      </c>
      <c r="D2180" s="1" t="s">
        <v>427</v>
      </c>
      <c r="E2180" s="3">
        <v>15.21</v>
      </c>
      <c r="F2180" s="3">
        <f t="shared" si="66"/>
        <v>3.8435670000000006</v>
      </c>
      <c r="G2180" s="3">
        <f t="shared" si="67"/>
        <v>19.053567000000001</v>
      </c>
    </row>
    <row r="2181" spans="1:7" x14ac:dyDescent="0.3">
      <c r="A2181" t="s">
        <v>13039</v>
      </c>
      <c r="B2181" t="s">
        <v>4389</v>
      </c>
      <c r="C2181" t="s">
        <v>4390</v>
      </c>
      <c r="D2181" s="1" t="s">
        <v>427</v>
      </c>
      <c r="E2181" s="3">
        <v>15.91</v>
      </c>
      <c r="F2181" s="3">
        <f t="shared" si="66"/>
        <v>4.0204570000000004</v>
      </c>
      <c r="G2181" s="3">
        <f t="shared" si="67"/>
        <v>19.930457000000001</v>
      </c>
    </row>
    <row r="2182" spans="1:7" x14ac:dyDescent="0.3">
      <c r="A2182" t="s">
        <v>13039</v>
      </c>
      <c r="B2182" t="s">
        <v>4391</v>
      </c>
      <c r="C2182" t="s">
        <v>4392</v>
      </c>
      <c r="D2182" s="1" t="s">
        <v>427</v>
      </c>
      <c r="E2182" s="3">
        <v>17.03</v>
      </c>
      <c r="F2182" s="3">
        <f t="shared" si="66"/>
        <v>4.3034810000000006</v>
      </c>
      <c r="G2182" s="3">
        <f t="shared" si="67"/>
        <v>21.333481000000003</v>
      </c>
    </row>
    <row r="2183" spans="1:7" x14ac:dyDescent="0.3">
      <c r="A2183" t="s">
        <v>13039</v>
      </c>
      <c r="B2183" t="s">
        <v>4393</v>
      </c>
      <c r="C2183" t="s">
        <v>4394</v>
      </c>
      <c r="D2183" s="1" t="s">
        <v>427</v>
      </c>
      <c r="E2183" s="3">
        <v>17.809999999999999</v>
      </c>
      <c r="F2183" s="3">
        <f t="shared" ref="F2183:F2246" si="68">+E2183*$F$4</f>
        <v>4.5005870000000003</v>
      </c>
      <c r="G2183" s="3">
        <f t="shared" ref="G2183:G2246" si="69">+E2183+F2183</f>
        <v>22.310586999999998</v>
      </c>
    </row>
    <row r="2184" spans="1:7" x14ac:dyDescent="0.3">
      <c r="A2184" t="s">
        <v>13039</v>
      </c>
      <c r="B2184" t="s">
        <v>4395</v>
      </c>
      <c r="C2184" t="s">
        <v>4396</v>
      </c>
      <c r="D2184" s="1" t="s">
        <v>427</v>
      </c>
      <c r="E2184" s="3">
        <v>18.98</v>
      </c>
      <c r="F2184" s="3">
        <f t="shared" si="68"/>
        <v>4.7962460000000009</v>
      </c>
      <c r="G2184" s="3">
        <f t="shared" si="69"/>
        <v>23.776246</v>
      </c>
    </row>
    <row r="2185" spans="1:7" x14ac:dyDescent="0.3">
      <c r="A2185" t="s">
        <v>13039</v>
      </c>
      <c r="B2185" t="s">
        <v>4397</v>
      </c>
      <c r="C2185" t="s">
        <v>4398</v>
      </c>
      <c r="D2185" s="1" t="s">
        <v>427</v>
      </c>
      <c r="E2185" s="3">
        <v>21.02</v>
      </c>
      <c r="F2185" s="3">
        <f t="shared" si="68"/>
        <v>5.3117540000000005</v>
      </c>
      <c r="G2185" s="3">
        <f t="shared" si="69"/>
        <v>26.331754</v>
      </c>
    </row>
    <row r="2186" spans="1:7" x14ac:dyDescent="0.3">
      <c r="A2186" t="s">
        <v>13039</v>
      </c>
      <c r="B2186" t="s">
        <v>4399</v>
      </c>
      <c r="C2186" t="s">
        <v>4400</v>
      </c>
      <c r="D2186" s="1" t="s">
        <v>427</v>
      </c>
      <c r="E2186" s="3">
        <v>23.55</v>
      </c>
      <c r="F2186" s="3">
        <f t="shared" si="68"/>
        <v>5.9510850000000008</v>
      </c>
      <c r="G2186" s="3">
        <f t="shared" si="69"/>
        <v>29.501085000000003</v>
      </c>
    </row>
    <row r="2187" spans="1:7" x14ac:dyDescent="0.3">
      <c r="A2187" t="s">
        <v>13039</v>
      </c>
      <c r="B2187" t="s">
        <v>4401</v>
      </c>
      <c r="C2187" t="s">
        <v>4402</v>
      </c>
      <c r="D2187" s="1" t="s">
        <v>427</v>
      </c>
      <c r="E2187" s="3">
        <v>26.12</v>
      </c>
      <c r="F2187" s="3">
        <f t="shared" si="68"/>
        <v>6.6005240000000009</v>
      </c>
      <c r="G2187" s="3">
        <f t="shared" si="69"/>
        <v>32.720524000000005</v>
      </c>
    </row>
    <row r="2188" spans="1:7" x14ac:dyDescent="0.3">
      <c r="A2188" t="s">
        <v>13039</v>
      </c>
      <c r="B2188" t="s">
        <v>4403</v>
      </c>
      <c r="C2188" t="s">
        <v>4404</v>
      </c>
      <c r="D2188" s="1" t="s">
        <v>427</v>
      </c>
      <c r="E2188" s="3">
        <v>29.05</v>
      </c>
      <c r="F2188" s="3">
        <f t="shared" si="68"/>
        <v>7.3409350000000009</v>
      </c>
      <c r="G2188" s="3">
        <f t="shared" si="69"/>
        <v>36.390934999999999</v>
      </c>
    </row>
    <row r="2189" spans="1:7" x14ac:dyDescent="0.3">
      <c r="A2189" t="s">
        <v>13039</v>
      </c>
      <c r="B2189" t="s">
        <v>4405</v>
      </c>
      <c r="C2189" t="s">
        <v>4406</v>
      </c>
      <c r="D2189" s="1" t="s">
        <v>427</v>
      </c>
      <c r="E2189" s="3">
        <v>31.73</v>
      </c>
      <c r="F2189" s="3">
        <f t="shared" si="68"/>
        <v>8.0181710000000006</v>
      </c>
      <c r="G2189" s="3">
        <f t="shared" si="69"/>
        <v>39.748170999999999</v>
      </c>
    </row>
    <row r="2190" spans="1:7" x14ac:dyDescent="0.3">
      <c r="A2190" t="s">
        <v>13039</v>
      </c>
      <c r="B2190" t="s">
        <v>4407</v>
      </c>
      <c r="C2190" t="s">
        <v>4408</v>
      </c>
      <c r="D2190" s="1" t="s">
        <v>427</v>
      </c>
      <c r="E2190" s="3">
        <v>34.619999999999997</v>
      </c>
      <c r="F2190" s="3">
        <f t="shared" si="68"/>
        <v>8.7484739999999999</v>
      </c>
      <c r="G2190" s="3">
        <f t="shared" si="69"/>
        <v>43.368473999999999</v>
      </c>
    </row>
    <row r="2191" spans="1:7" x14ac:dyDescent="0.3">
      <c r="A2191" t="s">
        <v>13039</v>
      </c>
      <c r="B2191" t="s">
        <v>4409</v>
      </c>
      <c r="C2191" t="s">
        <v>4410</v>
      </c>
      <c r="D2191" s="1" t="s">
        <v>427</v>
      </c>
      <c r="E2191" s="3">
        <v>38.409999999999997</v>
      </c>
      <c r="F2191" s="3">
        <f t="shared" si="68"/>
        <v>9.7062070000000009</v>
      </c>
      <c r="G2191" s="3">
        <f t="shared" si="69"/>
        <v>48.116206999999996</v>
      </c>
    </row>
    <row r="2192" spans="1:7" x14ac:dyDescent="0.3">
      <c r="A2192" t="s">
        <v>13039</v>
      </c>
      <c r="B2192" t="s">
        <v>4411</v>
      </c>
      <c r="C2192" t="s">
        <v>4412</v>
      </c>
      <c r="D2192" s="1" t="s">
        <v>427</v>
      </c>
      <c r="E2192" s="3">
        <v>6.51</v>
      </c>
      <c r="F2192" s="3">
        <f t="shared" si="68"/>
        <v>1.6450770000000001</v>
      </c>
      <c r="G2192" s="3">
        <f t="shared" si="69"/>
        <v>8.1550770000000004</v>
      </c>
    </row>
    <row r="2193" spans="1:7" x14ac:dyDescent="0.3">
      <c r="A2193" t="s">
        <v>13039</v>
      </c>
      <c r="B2193" t="s">
        <v>4413</v>
      </c>
      <c r="C2193" t="s">
        <v>4414</v>
      </c>
      <c r="D2193" s="1" t="s">
        <v>427</v>
      </c>
      <c r="E2193" s="3">
        <v>42.34</v>
      </c>
      <c r="F2193" s="3">
        <f t="shared" si="68"/>
        <v>10.699318000000002</v>
      </c>
      <c r="G2193" s="3">
        <f t="shared" si="69"/>
        <v>53.039318000000009</v>
      </c>
    </row>
    <row r="2194" spans="1:7" x14ac:dyDescent="0.3">
      <c r="A2194" t="s">
        <v>13039</v>
      </c>
      <c r="B2194" t="s">
        <v>4415</v>
      </c>
      <c r="C2194" t="s">
        <v>4416</v>
      </c>
      <c r="D2194" s="1" t="s">
        <v>427</v>
      </c>
      <c r="E2194" s="3">
        <v>46.49</v>
      </c>
      <c r="F2194" s="3">
        <f t="shared" si="68"/>
        <v>11.748023000000002</v>
      </c>
      <c r="G2194" s="3">
        <f t="shared" si="69"/>
        <v>58.238023000000005</v>
      </c>
    </row>
    <row r="2195" spans="1:7" x14ac:dyDescent="0.3">
      <c r="A2195" t="s">
        <v>13039</v>
      </c>
      <c r="B2195" t="s">
        <v>4417</v>
      </c>
      <c r="C2195" t="s">
        <v>4418</v>
      </c>
      <c r="D2195" s="1" t="s">
        <v>427</v>
      </c>
      <c r="E2195" s="3">
        <v>50.43</v>
      </c>
      <c r="F2195" s="3">
        <f t="shared" si="68"/>
        <v>12.743661000000001</v>
      </c>
      <c r="G2195" s="3">
        <f t="shared" si="69"/>
        <v>63.173661000000003</v>
      </c>
    </row>
    <row r="2196" spans="1:7" x14ac:dyDescent="0.3">
      <c r="A2196" t="s">
        <v>13039</v>
      </c>
      <c r="B2196" t="s">
        <v>4419</v>
      </c>
      <c r="C2196" t="s">
        <v>4420</v>
      </c>
      <c r="D2196" s="1" t="s">
        <v>427</v>
      </c>
      <c r="E2196" s="3">
        <v>55.29</v>
      </c>
      <c r="F2196" s="3">
        <f t="shared" si="68"/>
        <v>13.971783000000002</v>
      </c>
      <c r="G2196" s="3">
        <f t="shared" si="69"/>
        <v>69.261783000000008</v>
      </c>
    </row>
    <row r="2197" spans="1:7" x14ac:dyDescent="0.3">
      <c r="A2197" t="s">
        <v>13039</v>
      </c>
      <c r="B2197" t="s">
        <v>4421</v>
      </c>
      <c r="C2197" t="s">
        <v>4422</v>
      </c>
      <c r="D2197" s="1" t="s">
        <v>427</v>
      </c>
      <c r="E2197" s="3">
        <v>59.79</v>
      </c>
      <c r="F2197" s="3">
        <f t="shared" si="68"/>
        <v>15.108933000000002</v>
      </c>
      <c r="G2197" s="3">
        <f t="shared" si="69"/>
        <v>74.898933</v>
      </c>
    </row>
    <row r="2198" spans="1:7" x14ac:dyDescent="0.3">
      <c r="A2198" t="s">
        <v>13039</v>
      </c>
      <c r="B2198" t="s">
        <v>4423</v>
      </c>
      <c r="C2198" t="s">
        <v>4424</v>
      </c>
      <c r="D2198" s="1" t="s">
        <v>427</v>
      </c>
      <c r="E2198" s="3">
        <v>65.150000000000006</v>
      </c>
      <c r="F2198" s="3">
        <f t="shared" si="68"/>
        <v>16.463405000000005</v>
      </c>
      <c r="G2198" s="3">
        <f t="shared" si="69"/>
        <v>81.613405000000014</v>
      </c>
    </row>
    <row r="2199" spans="1:7" x14ac:dyDescent="0.3">
      <c r="A2199" t="s">
        <v>13039</v>
      </c>
      <c r="B2199" t="s">
        <v>4425</v>
      </c>
      <c r="C2199" t="s">
        <v>4426</v>
      </c>
      <c r="D2199" s="1" t="s">
        <v>427</v>
      </c>
      <c r="E2199" s="3">
        <v>71.12</v>
      </c>
      <c r="F2199" s="3">
        <f t="shared" si="68"/>
        <v>17.972024000000005</v>
      </c>
      <c r="G2199" s="3">
        <f t="shared" si="69"/>
        <v>89.092024000000009</v>
      </c>
    </row>
    <row r="2200" spans="1:7" x14ac:dyDescent="0.3">
      <c r="A2200" t="s">
        <v>13039</v>
      </c>
      <c r="B2200" t="s">
        <v>4427</v>
      </c>
      <c r="C2200" t="s">
        <v>4428</v>
      </c>
      <c r="D2200" s="1" t="s">
        <v>427</v>
      </c>
      <c r="E2200" s="3">
        <v>77.62</v>
      </c>
      <c r="F2200" s="3">
        <f t="shared" si="68"/>
        <v>19.614574000000005</v>
      </c>
      <c r="G2200" s="3">
        <f t="shared" si="69"/>
        <v>97.234574000000009</v>
      </c>
    </row>
    <row r="2201" spans="1:7" x14ac:dyDescent="0.3">
      <c r="A2201" t="s">
        <v>13039</v>
      </c>
      <c r="B2201" t="s">
        <v>4429</v>
      </c>
      <c r="C2201" t="s">
        <v>4430</v>
      </c>
      <c r="D2201" s="1" t="s">
        <v>427</v>
      </c>
      <c r="E2201" s="3">
        <v>83.47</v>
      </c>
      <c r="F2201" s="3">
        <f t="shared" si="68"/>
        <v>21.092869000000004</v>
      </c>
      <c r="G2201" s="3">
        <f t="shared" si="69"/>
        <v>104.56286900000001</v>
      </c>
    </row>
    <row r="2202" spans="1:7" x14ac:dyDescent="0.3">
      <c r="A2202" t="s">
        <v>13039</v>
      </c>
      <c r="B2202" t="s">
        <v>4431</v>
      </c>
      <c r="C2202" t="s">
        <v>4432</v>
      </c>
      <c r="D2202" s="1" t="s">
        <v>427</v>
      </c>
      <c r="E2202" s="3">
        <v>6.85</v>
      </c>
      <c r="F2202" s="3">
        <f t="shared" si="68"/>
        <v>1.7309950000000001</v>
      </c>
      <c r="G2202" s="3">
        <f t="shared" si="69"/>
        <v>8.5809949999999997</v>
      </c>
    </row>
    <row r="2203" spans="1:7" x14ac:dyDescent="0.3">
      <c r="A2203" t="s">
        <v>13039</v>
      </c>
      <c r="B2203" t="s">
        <v>4433</v>
      </c>
      <c r="C2203" t="s">
        <v>4434</v>
      </c>
      <c r="D2203" s="1" t="s">
        <v>427</v>
      </c>
      <c r="E2203" s="3">
        <v>7.27</v>
      </c>
      <c r="F2203" s="3">
        <f t="shared" si="68"/>
        <v>1.8371290000000002</v>
      </c>
      <c r="G2203" s="3">
        <f t="shared" si="69"/>
        <v>9.1071290000000005</v>
      </c>
    </row>
    <row r="2204" spans="1:7" x14ac:dyDescent="0.3">
      <c r="A2204" t="s">
        <v>13039</v>
      </c>
      <c r="B2204" t="s">
        <v>4435</v>
      </c>
      <c r="C2204" t="s">
        <v>4436</v>
      </c>
      <c r="D2204" s="1" t="s">
        <v>427</v>
      </c>
      <c r="E2204" s="3">
        <v>6.41</v>
      </c>
      <c r="F2204" s="3">
        <f t="shared" si="68"/>
        <v>1.6198070000000002</v>
      </c>
      <c r="G2204" s="3">
        <f t="shared" si="69"/>
        <v>8.0298069999999999</v>
      </c>
    </row>
    <row r="2205" spans="1:7" x14ac:dyDescent="0.3">
      <c r="A2205" t="s">
        <v>13039</v>
      </c>
      <c r="B2205" t="s">
        <v>4437</v>
      </c>
      <c r="C2205" t="s">
        <v>4438</v>
      </c>
      <c r="D2205" s="1" t="s">
        <v>427</v>
      </c>
      <c r="E2205" s="3">
        <v>9.1</v>
      </c>
      <c r="F2205" s="3">
        <f t="shared" si="68"/>
        <v>2.2995700000000001</v>
      </c>
      <c r="G2205" s="3">
        <f t="shared" si="69"/>
        <v>11.399570000000001</v>
      </c>
    </row>
    <row r="2206" spans="1:7" x14ac:dyDescent="0.3">
      <c r="A2206" t="s">
        <v>13039</v>
      </c>
      <c r="B2206" t="s">
        <v>4439</v>
      </c>
      <c r="C2206" t="s">
        <v>4440</v>
      </c>
      <c r="D2206" s="1" t="s">
        <v>427</v>
      </c>
      <c r="E2206" s="3">
        <v>9.8699999999999992</v>
      </c>
      <c r="F2206" s="3">
        <f t="shared" si="68"/>
        <v>2.4941490000000002</v>
      </c>
      <c r="G2206" s="3">
        <f t="shared" si="69"/>
        <v>12.364148999999999</v>
      </c>
    </row>
    <row r="2207" spans="1:7" x14ac:dyDescent="0.3">
      <c r="A2207" t="s">
        <v>13039</v>
      </c>
      <c r="B2207" t="s">
        <v>4441</v>
      </c>
      <c r="C2207" t="s">
        <v>4442</v>
      </c>
      <c r="D2207" s="1" t="s">
        <v>427</v>
      </c>
      <c r="E2207" s="3">
        <v>10.54</v>
      </c>
      <c r="F2207" s="3">
        <f t="shared" si="68"/>
        <v>2.6634580000000003</v>
      </c>
      <c r="G2207" s="3">
        <f t="shared" si="69"/>
        <v>13.203457999999999</v>
      </c>
    </row>
    <row r="2208" spans="1:7" x14ac:dyDescent="0.3">
      <c r="A2208" t="s">
        <v>13039</v>
      </c>
      <c r="B2208" t="s">
        <v>4443</v>
      </c>
      <c r="C2208" t="s">
        <v>4444</v>
      </c>
      <c r="D2208" s="1" t="s">
        <v>427</v>
      </c>
      <c r="E2208" s="3">
        <v>11.16</v>
      </c>
      <c r="F2208" s="3">
        <f t="shared" si="68"/>
        <v>2.8201320000000005</v>
      </c>
      <c r="G2208" s="3">
        <f t="shared" si="69"/>
        <v>13.980132000000001</v>
      </c>
    </row>
    <row r="2209" spans="1:7" x14ac:dyDescent="0.3">
      <c r="A2209" t="s">
        <v>13039</v>
      </c>
      <c r="B2209" t="s">
        <v>4445</v>
      </c>
      <c r="C2209" t="s">
        <v>4446</v>
      </c>
      <c r="D2209" s="1" t="s">
        <v>427</v>
      </c>
      <c r="E2209" s="3">
        <v>11.76</v>
      </c>
      <c r="F2209" s="3">
        <f t="shared" si="68"/>
        <v>2.9717520000000004</v>
      </c>
      <c r="G2209" s="3">
        <f t="shared" si="69"/>
        <v>14.731752</v>
      </c>
    </row>
    <row r="2210" spans="1:7" x14ac:dyDescent="0.3">
      <c r="A2210" t="s">
        <v>13039</v>
      </c>
      <c r="B2210" t="s">
        <v>4447</v>
      </c>
      <c r="C2210" t="s">
        <v>4448</v>
      </c>
      <c r="D2210" s="1" t="s">
        <v>427</v>
      </c>
      <c r="E2210" s="3">
        <v>12.33</v>
      </c>
      <c r="F2210" s="3">
        <f t="shared" si="68"/>
        <v>3.1157910000000006</v>
      </c>
      <c r="G2210" s="3">
        <f t="shared" si="69"/>
        <v>15.445791</v>
      </c>
    </row>
    <row r="2211" spans="1:7" x14ac:dyDescent="0.3">
      <c r="A2211" t="s">
        <v>13039</v>
      </c>
      <c r="B2211" t="s">
        <v>4449</v>
      </c>
      <c r="C2211" t="s">
        <v>4450</v>
      </c>
      <c r="D2211" s="1" t="s">
        <v>427</v>
      </c>
      <c r="E2211" s="3">
        <v>13.03</v>
      </c>
      <c r="F2211" s="3">
        <f t="shared" si="68"/>
        <v>3.2926810000000004</v>
      </c>
      <c r="G2211" s="3">
        <f t="shared" si="69"/>
        <v>16.322680999999999</v>
      </c>
    </row>
    <row r="2212" spans="1:7" x14ac:dyDescent="0.3">
      <c r="A2212" t="s">
        <v>13039</v>
      </c>
      <c r="B2212" t="s">
        <v>4451</v>
      </c>
      <c r="C2212" t="s">
        <v>4452</v>
      </c>
      <c r="D2212" s="1" t="s">
        <v>427</v>
      </c>
      <c r="E2212" s="3">
        <v>13.71</v>
      </c>
      <c r="F2212" s="3">
        <f t="shared" si="68"/>
        <v>3.4645170000000007</v>
      </c>
      <c r="G2212" s="3">
        <f t="shared" si="69"/>
        <v>17.174517000000002</v>
      </c>
    </row>
    <row r="2213" spans="1:7" x14ac:dyDescent="0.3">
      <c r="A2213" t="s">
        <v>13039</v>
      </c>
      <c r="B2213" t="s">
        <v>4453</v>
      </c>
      <c r="C2213" t="s">
        <v>4454</v>
      </c>
      <c r="D2213" s="1" t="s">
        <v>427</v>
      </c>
      <c r="E2213" s="3">
        <v>14.44</v>
      </c>
      <c r="F2213" s="3">
        <f t="shared" si="68"/>
        <v>3.6489880000000006</v>
      </c>
      <c r="G2213" s="3">
        <f t="shared" si="69"/>
        <v>18.088988000000001</v>
      </c>
    </row>
    <row r="2214" spans="1:7" x14ac:dyDescent="0.3">
      <c r="A2214" t="s">
        <v>13039</v>
      </c>
      <c r="B2214" t="s">
        <v>4455</v>
      </c>
      <c r="C2214" t="s">
        <v>4456</v>
      </c>
      <c r="D2214" s="1" t="s">
        <v>427</v>
      </c>
      <c r="E2214" s="3">
        <v>15.66</v>
      </c>
      <c r="F2214" s="3">
        <f t="shared" si="68"/>
        <v>3.9572820000000006</v>
      </c>
      <c r="G2214" s="3">
        <f t="shared" si="69"/>
        <v>19.617281999999999</v>
      </c>
    </row>
    <row r="2215" spans="1:7" x14ac:dyDescent="0.3">
      <c r="A2215" t="s">
        <v>13039</v>
      </c>
      <c r="B2215" t="s">
        <v>4457</v>
      </c>
      <c r="C2215" t="s">
        <v>4458</v>
      </c>
      <c r="D2215" s="1" t="s">
        <v>427</v>
      </c>
      <c r="E2215" s="3">
        <v>17.850000000000001</v>
      </c>
      <c r="F2215" s="3">
        <f t="shared" si="68"/>
        <v>4.510695000000001</v>
      </c>
      <c r="G2215" s="3">
        <f t="shared" si="69"/>
        <v>22.360695000000003</v>
      </c>
    </row>
    <row r="2216" spans="1:7" x14ac:dyDescent="0.3">
      <c r="A2216" t="s">
        <v>13039</v>
      </c>
      <c r="B2216" t="s">
        <v>4459</v>
      </c>
      <c r="C2216" t="s">
        <v>4460</v>
      </c>
      <c r="D2216" s="1" t="s">
        <v>427</v>
      </c>
      <c r="E2216" s="3">
        <v>21.48</v>
      </c>
      <c r="F2216" s="3">
        <f t="shared" si="68"/>
        <v>5.4279960000000012</v>
      </c>
      <c r="G2216" s="3">
        <f t="shared" si="69"/>
        <v>26.907996000000001</v>
      </c>
    </row>
    <row r="2217" spans="1:7" x14ac:dyDescent="0.3">
      <c r="A2217" t="s">
        <v>13039</v>
      </c>
      <c r="B2217" t="s">
        <v>4461</v>
      </c>
      <c r="C2217" t="s">
        <v>4462</v>
      </c>
      <c r="D2217" s="1" t="s">
        <v>427</v>
      </c>
      <c r="E2217" s="3">
        <v>7.26</v>
      </c>
      <c r="F2217" s="3">
        <f t="shared" si="68"/>
        <v>1.8346020000000003</v>
      </c>
      <c r="G2217" s="3">
        <f t="shared" si="69"/>
        <v>9.0946020000000001</v>
      </c>
    </row>
    <row r="2218" spans="1:7" x14ac:dyDescent="0.3">
      <c r="A2218" t="s">
        <v>13039</v>
      </c>
      <c r="B2218" t="s">
        <v>4463</v>
      </c>
      <c r="C2218" t="s">
        <v>4464</v>
      </c>
      <c r="D2218" s="1" t="s">
        <v>427</v>
      </c>
      <c r="E2218" s="3">
        <v>7.74</v>
      </c>
      <c r="F2218" s="3">
        <f t="shared" si="68"/>
        <v>1.9558980000000004</v>
      </c>
      <c r="G2218" s="3">
        <f t="shared" si="69"/>
        <v>9.6958979999999997</v>
      </c>
    </row>
    <row r="2219" spans="1:7" x14ac:dyDescent="0.3">
      <c r="A2219" t="s">
        <v>13039</v>
      </c>
      <c r="B2219" t="s">
        <v>4465</v>
      </c>
      <c r="C2219" t="s">
        <v>4466</v>
      </c>
      <c r="D2219" s="1" t="s">
        <v>427</v>
      </c>
      <c r="E2219" s="3">
        <v>8.34</v>
      </c>
      <c r="F2219" s="3">
        <f t="shared" si="68"/>
        <v>2.1075180000000002</v>
      </c>
      <c r="G2219" s="3">
        <f t="shared" si="69"/>
        <v>10.447518000000001</v>
      </c>
    </row>
    <row r="2220" spans="1:7" x14ac:dyDescent="0.3">
      <c r="A2220" t="s">
        <v>13039</v>
      </c>
      <c r="B2220" t="s">
        <v>4467</v>
      </c>
      <c r="C2220" t="s">
        <v>4468</v>
      </c>
      <c r="D2220" s="1" t="s">
        <v>427</v>
      </c>
      <c r="E2220" s="3">
        <v>7.06</v>
      </c>
      <c r="F2220" s="3">
        <f t="shared" si="68"/>
        <v>1.7840620000000003</v>
      </c>
      <c r="G2220" s="3">
        <f t="shared" si="69"/>
        <v>8.8440619999999992</v>
      </c>
    </row>
    <row r="2221" spans="1:7" x14ac:dyDescent="0.3">
      <c r="A2221" t="s">
        <v>13039</v>
      </c>
      <c r="B2221" t="s">
        <v>4469</v>
      </c>
      <c r="C2221" t="s">
        <v>4470</v>
      </c>
      <c r="D2221" s="1" t="s">
        <v>427</v>
      </c>
      <c r="E2221" s="3">
        <v>7.24</v>
      </c>
      <c r="F2221" s="3">
        <f t="shared" si="68"/>
        <v>1.8295480000000004</v>
      </c>
      <c r="G2221" s="3">
        <f t="shared" si="69"/>
        <v>9.0695480000000011</v>
      </c>
    </row>
    <row r="2222" spans="1:7" x14ac:dyDescent="0.3">
      <c r="A2222" t="s">
        <v>13039</v>
      </c>
      <c r="B2222" t="s">
        <v>4471</v>
      </c>
      <c r="C2222" t="s">
        <v>4472</v>
      </c>
      <c r="D2222" s="1" t="s">
        <v>427</v>
      </c>
      <c r="E2222" s="3">
        <v>8.06</v>
      </c>
      <c r="F2222" s="3">
        <f t="shared" si="68"/>
        <v>2.0367620000000004</v>
      </c>
      <c r="G2222" s="3">
        <f t="shared" si="69"/>
        <v>10.096762000000002</v>
      </c>
    </row>
    <row r="2223" spans="1:7" x14ac:dyDescent="0.3">
      <c r="A2223" t="s">
        <v>13039</v>
      </c>
      <c r="B2223" t="s">
        <v>4473</v>
      </c>
      <c r="C2223" t="s">
        <v>4474</v>
      </c>
      <c r="D2223" s="1" t="s">
        <v>427</v>
      </c>
      <c r="E2223" s="3">
        <v>8.6199999999999992</v>
      </c>
      <c r="F2223" s="3">
        <f t="shared" si="68"/>
        <v>2.178274</v>
      </c>
      <c r="G2223" s="3">
        <f t="shared" si="69"/>
        <v>10.798273999999999</v>
      </c>
    </row>
    <row r="2224" spans="1:7" x14ac:dyDescent="0.3">
      <c r="A2224" t="s">
        <v>13039</v>
      </c>
      <c r="B2224" t="s">
        <v>4475</v>
      </c>
      <c r="C2224" t="s">
        <v>4476</v>
      </c>
      <c r="D2224" s="1" t="s">
        <v>427</v>
      </c>
      <c r="E2224" s="3">
        <v>9.17</v>
      </c>
      <c r="F2224" s="3">
        <f t="shared" si="68"/>
        <v>2.3172590000000004</v>
      </c>
      <c r="G2224" s="3">
        <f t="shared" si="69"/>
        <v>11.487259</v>
      </c>
    </row>
    <row r="2225" spans="1:7" x14ac:dyDescent="0.3">
      <c r="A2225" t="s">
        <v>13039</v>
      </c>
      <c r="B2225" t="s">
        <v>4477</v>
      </c>
      <c r="C2225" t="s">
        <v>4478</v>
      </c>
      <c r="D2225" s="1" t="s">
        <v>427</v>
      </c>
      <c r="E2225" s="3">
        <v>9.83</v>
      </c>
      <c r="F2225" s="3">
        <f t="shared" si="68"/>
        <v>2.4840410000000004</v>
      </c>
      <c r="G2225" s="3">
        <f t="shared" si="69"/>
        <v>12.314041</v>
      </c>
    </row>
    <row r="2226" spans="1:7" x14ac:dyDescent="0.3">
      <c r="A2226" t="s">
        <v>13039</v>
      </c>
      <c r="B2226" t="s">
        <v>4479</v>
      </c>
      <c r="C2226" t="s">
        <v>4480</v>
      </c>
      <c r="D2226" s="1" t="s">
        <v>427</v>
      </c>
      <c r="E2226" s="3">
        <v>10.5</v>
      </c>
      <c r="F2226" s="3">
        <f t="shared" si="68"/>
        <v>2.6533500000000005</v>
      </c>
      <c r="G2226" s="3">
        <f t="shared" si="69"/>
        <v>13.15335</v>
      </c>
    </row>
    <row r="2227" spans="1:7" x14ac:dyDescent="0.3">
      <c r="A2227" t="s">
        <v>13039</v>
      </c>
      <c r="B2227" t="s">
        <v>4481</v>
      </c>
      <c r="C2227" t="s">
        <v>4482</v>
      </c>
      <c r="D2227" s="1" t="s">
        <v>427</v>
      </c>
      <c r="E2227" s="3">
        <v>11.47</v>
      </c>
      <c r="F2227" s="3">
        <f t="shared" si="68"/>
        <v>2.8984690000000004</v>
      </c>
      <c r="G2227" s="3">
        <f t="shared" si="69"/>
        <v>14.368469000000001</v>
      </c>
    </row>
    <row r="2228" spans="1:7" x14ac:dyDescent="0.3">
      <c r="A2228" t="s">
        <v>13039</v>
      </c>
      <c r="B2228" t="s">
        <v>4483</v>
      </c>
      <c r="C2228" t="s">
        <v>4484</v>
      </c>
      <c r="D2228" s="1" t="s">
        <v>427</v>
      </c>
      <c r="E2228" s="3">
        <v>12.39</v>
      </c>
      <c r="F2228" s="3">
        <f t="shared" si="68"/>
        <v>3.1309530000000008</v>
      </c>
      <c r="G2228" s="3">
        <f t="shared" si="69"/>
        <v>15.520953000000002</v>
      </c>
    </row>
    <row r="2229" spans="1:7" x14ac:dyDescent="0.3">
      <c r="A2229" t="s">
        <v>13039</v>
      </c>
      <c r="B2229" t="s">
        <v>4485</v>
      </c>
      <c r="C2229" t="s">
        <v>4486</v>
      </c>
      <c r="D2229" s="1" t="s">
        <v>427</v>
      </c>
      <c r="E2229" s="3">
        <v>13.26</v>
      </c>
      <c r="F2229" s="3">
        <f t="shared" si="68"/>
        <v>3.3508020000000003</v>
      </c>
      <c r="G2229" s="3">
        <f t="shared" si="69"/>
        <v>16.610802</v>
      </c>
    </row>
    <row r="2230" spans="1:7" x14ac:dyDescent="0.3">
      <c r="A2230" t="s">
        <v>13039</v>
      </c>
      <c r="B2230" t="s">
        <v>4487</v>
      </c>
      <c r="C2230" t="s">
        <v>4488</v>
      </c>
      <c r="D2230" s="1" t="s">
        <v>427</v>
      </c>
      <c r="E2230" s="3">
        <v>14.2</v>
      </c>
      <c r="F2230" s="3">
        <f t="shared" si="68"/>
        <v>3.5883400000000005</v>
      </c>
      <c r="G2230" s="3">
        <f t="shared" si="69"/>
        <v>17.788339999999998</v>
      </c>
    </row>
    <row r="2231" spans="1:7" x14ac:dyDescent="0.3">
      <c r="A2231" t="s">
        <v>13039</v>
      </c>
      <c r="B2231" t="s">
        <v>4489</v>
      </c>
      <c r="C2231" t="s">
        <v>4490</v>
      </c>
      <c r="D2231" s="1" t="s">
        <v>427</v>
      </c>
      <c r="E2231" s="3">
        <v>17.43</v>
      </c>
      <c r="F2231" s="3">
        <f t="shared" si="68"/>
        <v>4.4045610000000002</v>
      </c>
      <c r="G2231" s="3">
        <f t="shared" si="69"/>
        <v>21.834561000000001</v>
      </c>
    </row>
    <row r="2232" spans="1:7" x14ac:dyDescent="0.3">
      <c r="A2232" t="s">
        <v>13039</v>
      </c>
      <c r="B2232" t="s">
        <v>4491</v>
      </c>
      <c r="C2232" t="s">
        <v>4492</v>
      </c>
      <c r="D2232" s="1" t="s">
        <v>427</v>
      </c>
      <c r="E2232" s="3">
        <v>20.3</v>
      </c>
      <c r="F2232" s="3">
        <f t="shared" si="68"/>
        <v>5.1298100000000009</v>
      </c>
      <c r="G2232" s="3">
        <f t="shared" si="69"/>
        <v>25.429810000000003</v>
      </c>
    </row>
    <row r="2233" spans="1:7" x14ac:dyDescent="0.3">
      <c r="A2233" t="s">
        <v>13039</v>
      </c>
      <c r="B2233" t="s">
        <v>4493</v>
      </c>
      <c r="C2233" t="s">
        <v>4494</v>
      </c>
      <c r="D2233" s="1" t="s">
        <v>427</v>
      </c>
      <c r="E2233" s="3">
        <v>24</v>
      </c>
      <c r="F2233" s="3">
        <f t="shared" si="68"/>
        <v>6.0648000000000009</v>
      </c>
      <c r="G2233" s="3">
        <f t="shared" si="69"/>
        <v>30.064800000000002</v>
      </c>
    </row>
    <row r="2234" spans="1:7" x14ac:dyDescent="0.3">
      <c r="A2234" t="s">
        <v>13039</v>
      </c>
      <c r="B2234" t="s">
        <v>4495</v>
      </c>
      <c r="C2234" t="s">
        <v>4496</v>
      </c>
      <c r="D2234" s="1" t="s">
        <v>427</v>
      </c>
      <c r="E2234" s="3">
        <v>27.89</v>
      </c>
      <c r="F2234" s="3">
        <f t="shared" si="68"/>
        <v>7.0478030000000009</v>
      </c>
      <c r="G2234" s="3">
        <f t="shared" si="69"/>
        <v>34.937803000000002</v>
      </c>
    </row>
    <row r="2235" spans="1:7" x14ac:dyDescent="0.3">
      <c r="A2235" t="s">
        <v>13039</v>
      </c>
      <c r="B2235" t="s">
        <v>4497</v>
      </c>
      <c r="C2235" t="s">
        <v>4498</v>
      </c>
      <c r="D2235" s="1" t="s">
        <v>427</v>
      </c>
      <c r="E2235" s="3">
        <v>32.49</v>
      </c>
      <c r="F2235" s="3">
        <f t="shared" si="68"/>
        <v>8.2102230000000009</v>
      </c>
      <c r="G2235" s="3">
        <f t="shared" si="69"/>
        <v>40.700223000000001</v>
      </c>
    </row>
    <row r="2236" spans="1:7" x14ac:dyDescent="0.3">
      <c r="A2236" t="s">
        <v>13039</v>
      </c>
      <c r="B2236" t="s">
        <v>4499</v>
      </c>
      <c r="C2236" t="s">
        <v>4500</v>
      </c>
      <c r="D2236" s="1" t="s">
        <v>427</v>
      </c>
      <c r="E2236" s="3">
        <v>38.65</v>
      </c>
      <c r="F2236" s="3">
        <f t="shared" si="68"/>
        <v>9.7668550000000014</v>
      </c>
      <c r="G2236" s="3">
        <f t="shared" si="69"/>
        <v>48.416854999999998</v>
      </c>
    </row>
    <row r="2237" spans="1:7" x14ac:dyDescent="0.3">
      <c r="A2237" t="s">
        <v>13039</v>
      </c>
      <c r="B2237" t="s">
        <v>4501</v>
      </c>
      <c r="C2237" t="s">
        <v>4502</v>
      </c>
      <c r="D2237" s="1" t="s">
        <v>427</v>
      </c>
      <c r="E2237" s="3">
        <v>45</v>
      </c>
      <c r="F2237" s="3">
        <f t="shared" si="68"/>
        <v>11.371500000000001</v>
      </c>
      <c r="G2237" s="3">
        <f t="shared" si="69"/>
        <v>56.371499999999997</v>
      </c>
    </row>
    <row r="2238" spans="1:7" x14ac:dyDescent="0.3">
      <c r="A2238" t="s">
        <v>13039</v>
      </c>
      <c r="B2238" t="s">
        <v>4503</v>
      </c>
      <c r="C2238" t="s">
        <v>4504</v>
      </c>
      <c r="D2238" s="1" t="s">
        <v>427</v>
      </c>
      <c r="E2238" s="3">
        <v>52.28</v>
      </c>
      <c r="F2238" s="3">
        <f t="shared" si="68"/>
        <v>13.211156000000003</v>
      </c>
      <c r="G2238" s="3">
        <f t="shared" si="69"/>
        <v>65.491156000000004</v>
      </c>
    </row>
    <row r="2239" spans="1:7" x14ac:dyDescent="0.3">
      <c r="A2239" t="s">
        <v>13039</v>
      </c>
      <c r="B2239" t="s">
        <v>4505</v>
      </c>
      <c r="C2239" t="s">
        <v>4506</v>
      </c>
      <c r="D2239" s="1" t="s">
        <v>427</v>
      </c>
      <c r="E2239" s="3">
        <v>57.22</v>
      </c>
      <c r="F2239" s="3">
        <f t="shared" si="68"/>
        <v>14.459494000000001</v>
      </c>
      <c r="G2239" s="3">
        <f t="shared" si="69"/>
        <v>71.679494000000005</v>
      </c>
    </row>
    <row r="2240" spans="1:7" x14ac:dyDescent="0.3">
      <c r="A2240" t="s">
        <v>13039</v>
      </c>
      <c r="B2240" t="s">
        <v>4507</v>
      </c>
      <c r="C2240" t="s">
        <v>4508</v>
      </c>
      <c r="D2240" s="1" t="s">
        <v>427</v>
      </c>
      <c r="E2240" s="3">
        <v>63.24</v>
      </c>
      <c r="F2240" s="3">
        <f t="shared" si="68"/>
        <v>15.980748000000002</v>
      </c>
      <c r="G2240" s="3">
        <f t="shared" si="69"/>
        <v>79.220748</v>
      </c>
    </row>
    <row r="2241" spans="1:7" x14ac:dyDescent="0.3">
      <c r="A2241" t="s">
        <v>13039</v>
      </c>
      <c r="B2241" t="s">
        <v>4509</v>
      </c>
      <c r="C2241" t="s">
        <v>4510</v>
      </c>
      <c r="D2241" s="1" t="s">
        <v>427</v>
      </c>
      <c r="E2241" s="3">
        <v>6.05</v>
      </c>
      <c r="F2241" s="3">
        <f t="shared" si="68"/>
        <v>1.5288350000000002</v>
      </c>
      <c r="G2241" s="3">
        <f t="shared" si="69"/>
        <v>7.5788349999999998</v>
      </c>
    </row>
    <row r="2242" spans="1:7" x14ac:dyDescent="0.3">
      <c r="A2242" t="s">
        <v>13039</v>
      </c>
      <c r="B2242" t="s">
        <v>4511</v>
      </c>
      <c r="C2242" t="s">
        <v>4512</v>
      </c>
      <c r="D2242" s="1" t="s">
        <v>427</v>
      </c>
      <c r="E2242" s="3">
        <v>6.38</v>
      </c>
      <c r="F2242" s="3">
        <f t="shared" si="68"/>
        <v>1.6122260000000002</v>
      </c>
      <c r="G2242" s="3">
        <f t="shared" si="69"/>
        <v>7.9922260000000005</v>
      </c>
    </row>
    <row r="2243" spans="1:7" x14ac:dyDescent="0.3">
      <c r="A2243" t="s">
        <v>13039</v>
      </c>
      <c r="B2243" t="s">
        <v>4513</v>
      </c>
      <c r="C2243" t="s">
        <v>4514</v>
      </c>
      <c r="D2243" s="1" t="s">
        <v>427</v>
      </c>
      <c r="E2243" s="3">
        <v>6.74</v>
      </c>
      <c r="F2243" s="3">
        <f t="shared" si="68"/>
        <v>1.7031980000000002</v>
      </c>
      <c r="G2243" s="3">
        <f t="shared" si="69"/>
        <v>8.4431980000000006</v>
      </c>
    </row>
    <row r="2244" spans="1:7" x14ac:dyDescent="0.3">
      <c r="A2244" t="s">
        <v>13039</v>
      </c>
      <c r="B2244" t="s">
        <v>4515</v>
      </c>
      <c r="C2244" t="s">
        <v>4516</v>
      </c>
      <c r="D2244" s="1" t="s">
        <v>427</v>
      </c>
      <c r="E2244" s="3">
        <v>5.97</v>
      </c>
      <c r="F2244" s="3">
        <f t="shared" si="68"/>
        <v>1.5086190000000002</v>
      </c>
      <c r="G2244" s="3">
        <f t="shared" si="69"/>
        <v>7.4786190000000001</v>
      </c>
    </row>
    <row r="2245" spans="1:7" x14ac:dyDescent="0.3">
      <c r="A2245" t="s">
        <v>13039</v>
      </c>
      <c r="B2245" t="s">
        <v>4517</v>
      </c>
      <c r="C2245" t="s">
        <v>4518</v>
      </c>
      <c r="D2245" s="1" t="s">
        <v>427</v>
      </c>
      <c r="E2245" s="3">
        <v>7.58</v>
      </c>
      <c r="F2245" s="3">
        <f t="shared" si="68"/>
        <v>1.9154660000000003</v>
      </c>
      <c r="G2245" s="3">
        <f t="shared" si="69"/>
        <v>9.4954660000000004</v>
      </c>
    </row>
    <row r="2246" spans="1:7" x14ac:dyDescent="0.3">
      <c r="A2246" t="s">
        <v>13039</v>
      </c>
      <c r="B2246" t="s">
        <v>4519</v>
      </c>
      <c r="C2246" t="s">
        <v>4520</v>
      </c>
      <c r="D2246" s="1" t="s">
        <v>427</v>
      </c>
      <c r="E2246" s="3">
        <v>8.36</v>
      </c>
      <c r="F2246" s="3">
        <f t="shared" si="68"/>
        <v>2.1125720000000001</v>
      </c>
      <c r="G2246" s="3">
        <f t="shared" si="69"/>
        <v>10.472572</v>
      </c>
    </row>
    <row r="2247" spans="1:7" x14ac:dyDescent="0.3">
      <c r="A2247" t="s">
        <v>13039</v>
      </c>
      <c r="B2247" t="s">
        <v>4521</v>
      </c>
      <c r="C2247" t="s">
        <v>4522</v>
      </c>
      <c r="D2247" s="1" t="s">
        <v>427</v>
      </c>
      <c r="E2247" s="3">
        <v>8.91</v>
      </c>
      <c r="F2247" s="3">
        <f t="shared" ref="F2247:F2310" si="70">+E2247*$F$4</f>
        <v>2.2515570000000005</v>
      </c>
      <c r="G2247" s="3">
        <f t="shared" ref="G2247:G2310" si="71">+E2247+F2247</f>
        <v>11.161557</v>
      </c>
    </row>
    <row r="2248" spans="1:7" x14ac:dyDescent="0.3">
      <c r="A2248" t="s">
        <v>13039</v>
      </c>
      <c r="B2248" t="s">
        <v>4523</v>
      </c>
      <c r="C2248" t="s">
        <v>4524</v>
      </c>
      <c r="D2248" s="1" t="s">
        <v>427</v>
      </c>
      <c r="E2248" s="3">
        <v>9.42</v>
      </c>
      <c r="F2248" s="3">
        <f t="shared" si="70"/>
        <v>2.3804340000000002</v>
      </c>
      <c r="G2248" s="3">
        <f t="shared" si="71"/>
        <v>11.800433999999999</v>
      </c>
    </row>
    <row r="2249" spans="1:7" x14ac:dyDescent="0.3">
      <c r="A2249" t="s">
        <v>13039</v>
      </c>
      <c r="B2249" t="s">
        <v>4525</v>
      </c>
      <c r="C2249" t="s">
        <v>4526</v>
      </c>
      <c r="D2249" s="1" t="s">
        <v>427</v>
      </c>
      <c r="E2249" s="3">
        <v>9.8800000000000008</v>
      </c>
      <c r="F2249" s="3">
        <f t="shared" si="70"/>
        <v>2.4966760000000003</v>
      </c>
      <c r="G2249" s="3">
        <f t="shared" si="71"/>
        <v>12.376676000000002</v>
      </c>
    </row>
    <row r="2250" spans="1:7" x14ac:dyDescent="0.3">
      <c r="A2250" t="s">
        <v>13039</v>
      </c>
      <c r="B2250" t="s">
        <v>4527</v>
      </c>
      <c r="C2250" t="s">
        <v>4528</v>
      </c>
      <c r="D2250" s="1" t="s">
        <v>427</v>
      </c>
      <c r="E2250" s="3">
        <v>10.42</v>
      </c>
      <c r="F2250" s="3">
        <f t="shared" si="70"/>
        <v>2.6331340000000005</v>
      </c>
      <c r="G2250" s="3">
        <f t="shared" si="71"/>
        <v>13.053134</v>
      </c>
    </row>
    <row r="2251" spans="1:7" x14ac:dyDescent="0.3">
      <c r="A2251" t="s">
        <v>13039</v>
      </c>
      <c r="B2251" t="s">
        <v>4529</v>
      </c>
      <c r="C2251" t="s">
        <v>4530</v>
      </c>
      <c r="D2251" s="1" t="s">
        <v>427</v>
      </c>
      <c r="E2251" s="3">
        <v>11.25</v>
      </c>
      <c r="F2251" s="3">
        <f t="shared" si="70"/>
        <v>2.8428750000000003</v>
      </c>
      <c r="G2251" s="3">
        <f t="shared" si="71"/>
        <v>14.092874999999999</v>
      </c>
    </row>
    <row r="2252" spans="1:7" x14ac:dyDescent="0.3">
      <c r="A2252" t="s">
        <v>13039</v>
      </c>
      <c r="B2252" t="s">
        <v>4531</v>
      </c>
      <c r="C2252" t="s">
        <v>4532</v>
      </c>
      <c r="D2252" s="1" t="s">
        <v>427</v>
      </c>
      <c r="E2252" s="3">
        <v>11.76</v>
      </c>
      <c r="F2252" s="3">
        <f t="shared" si="70"/>
        <v>2.9717520000000004</v>
      </c>
      <c r="G2252" s="3">
        <f t="shared" si="71"/>
        <v>14.731752</v>
      </c>
    </row>
    <row r="2253" spans="1:7" x14ac:dyDescent="0.3">
      <c r="A2253" t="s">
        <v>13039</v>
      </c>
      <c r="B2253" t="s">
        <v>4533</v>
      </c>
      <c r="C2253" t="s">
        <v>4534</v>
      </c>
      <c r="D2253" s="1" t="s">
        <v>427</v>
      </c>
      <c r="E2253" s="3">
        <v>12.29</v>
      </c>
      <c r="F2253" s="3">
        <f t="shared" si="70"/>
        <v>3.1056830000000004</v>
      </c>
      <c r="G2253" s="3">
        <f t="shared" si="71"/>
        <v>15.395683</v>
      </c>
    </row>
    <row r="2254" spans="1:7" x14ac:dyDescent="0.3">
      <c r="A2254" t="s">
        <v>13039</v>
      </c>
      <c r="B2254" t="s">
        <v>4535</v>
      </c>
      <c r="C2254" t="s">
        <v>4536</v>
      </c>
      <c r="D2254" s="1" t="s">
        <v>427</v>
      </c>
      <c r="E2254" s="3">
        <v>12.83</v>
      </c>
      <c r="F2254" s="3">
        <f t="shared" si="70"/>
        <v>3.2421410000000006</v>
      </c>
      <c r="G2254" s="3">
        <f t="shared" si="71"/>
        <v>16.072141000000002</v>
      </c>
    </row>
    <row r="2255" spans="1:7" x14ac:dyDescent="0.3">
      <c r="A2255" t="s">
        <v>13039</v>
      </c>
      <c r="B2255" t="s">
        <v>4537</v>
      </c>
      <c r="C2255" t="s">
        <v>4538</v>
      </c>
      <c r="D2255" s="1" t="s">
        <v>427</v>
      </c>
      <c r="E2255" s="3">
        <v>13.88</v>
      </c>
      <c r="F2255" s="3">
        <f t="shared" si="70"/>
        <v>3.5074760000000005</v>
      </c>
      <c r="G2255" s="3">
        <f t="shared" si="71"/>
        <v>17.387475999999999</v>
      </c>
    </row>
    <row r="2256" spans="1:7" x14ac:dyDescent="0.3">
      <c r="A2256" t="s">
        <v>13039</v>
      </c>
      <c r="B2256" t="s">
        <v>4539</v>
      </c>
      <c r="C2256" t="s">
        <v>4540</v>
      </c>
      <c r="D2256" s="1" t="s">
        <v>427</v>
      </c>
      <c r="E2256" s="3">
        <v>15.11</v>
      </c>
      <c r="F2256" s="3">
        <f t="shared" si="70"/>
        <v>3.8182970000000003</v>
      </c>
      <c r="G2256" s="3">
        <f t="shared" si="71"/>
        <v>18.928297000000001</v>
      </c>
    </row>
    <row r="2257" spans="1:7" x14ac:dyDescent="0.3">
      <c r="A2257" t="s">
        <v>13039</v>
      </c>
      <c r="B2257" t="s">
        <v>4541</v>
      </c>
      <c r="C2257" t="s">
        <v>4542</v>
      </c>
      <c r="D2257" s="1" t="s">
        <v>427</v>
      </c>
      <c r="E2257" s="3">
        <v>17.38</v>
      </c>
      <c r="F2257" s="3">
        <f t="shared" si="70"/>
        <v>4.3919260000000007</v>
      </c>
      <c r="G2257" s="3">
        <f t="shared" si="71"/>
        <v>21.771926000000001</v>
      </c>
    </row>
    <row r="2258" spans="1:7" x14ac:dyDescent="0.3">
      <c r="A2258" t="s">
        <v>13039</v>
      </c>
      <c r="B2258" t="s">
        <v>4543</v>
      </c>
      <c r="C2258" t="s">
        <v>4544</v>
      </c>
      <c r="D2258" s="1" t="s">
        <v>427</v>
      </c>
      <c r="E2258" s="3">
        <v>20.05</v>
      </c>
      <c r="F2258" s="3">
        <f t="shared" si="70"/>
        <v>5.0666350000000007</v>
      </c>
      <c r="G2258" s="3">
        <f t="shared" si="71"/>
        <v>25.116635000000002</v>
      </c>
    </row>
    <row r="2259" spans="1:7" x14ac:dyDescent="0.3">
      <c r="A2259" t="s">
        <v>13039</v>
      </c>
      <c r="B2259" t="s">
        <v>4545</v>
      </c>
      <c r="C2259" t="s">
        <v>4546</v>
      </c>
      <c r="D2259" s="1" t="s">
        <v>427</v>
      </c>
      <c r="E2259" s="3">
        <v>22.87</v>
      </c>
      <c r="F2259" s="3">
        <f t="shared" si="70"/>
        <v>5.779249000000001</v>
      </c>
      <c r="G2259" s="3">
        <f t="shared" si="71"/>
        <v>28.649249000000001</v>
      </c>
    </row>
    <row r="2260" spans="1:7" x14ac:dyDescent="0.3">
      <c r="A2260" t="s">
        <v>13039</v>
      </c>
      <c r="B2260" t="s">
        <v>4547</v>
      </c>
      <c r="C2260" t="s">
        <v>4548</v>
      </c>
      <c r="D2260" s="1" t="s">
        <v>427</v>
      </c>
      <c r="E2260" s="3">
        <v>26.52</v>
      </c>
      <c r="F2260" s="3">
        <f t="shared" si="70"/>
        <v>6.7016040000000006</v>
      </c>
      <c r="G2260" s="3">
        <f t="shared" si="71"/>
        <v>33.221603999999999</v>
      </c>
    </row>
    <row r="2261" spans="1:7" x14ac:dyDescent="0.3">
      <c r="A2261" t="s">
        <v>13039</v>
      </c>
      <c r="B2261" t="s">
        <v>4549</v>
      </c>
      <c r="C2261" t="s">
        <v>4550</v>
      </c>
      <c r="D2261" s="1" t="s">
        <v>427</v>
      </c>
      <c r="E2261" s="3">
        <v>29.81</v>
      </c>
      <c r="F2261" s="3">
        <f t="shared" si="70"/>
        <v>7.5329870000000003</v>
      </c>
      <c r="G2261" s="3">
        <f t="shared" si="71"/>
        <v>37.342987000000001</v>
      </c>
    </row>
    <row r="2262" spans="1:7" x14ac:dyDescent="0.3">
      <c r="A2262" t="s">
        <v>13039</v>
      </c>
      <c r="B2262" t="s">
        <v>4551</v>
      </c>
      <c r="C2262" t="s">
        <v>4552</v>
      </c>
      <c r="D2262" s="1" t="s">
        <v>427</v>
      </c>
      <c r="E2262" s="3">
        <v>34.07</v>
      </c>
      <c r="F2262" s="3">
        <f t="shared" si="70"/>
        <v>8.6094890000000017</v>
      </c>
      <c r="G2262" s="3">
        <f t="shared" si="71"/>
        <v>42.679489000000004</v>
      </c>
    </row>
    <row r="2263" spans="1:7" x14ac:dyDescent="0.3">
      <c r="A2263" t="s">
        <v>13039</v>
      </c>
      <c r="B2263" t="s">
        <v>4553</v>
      </c>
      <c r="C2263" t="s">
        <v>4554</v>
      </c>
      <c r="D2263" s="1" t="s">
        <v>427</v>
      </c>
      <c r="E2263" s="3">
        <v>38.450000000000003</v>
      </c>
      <c r="F2263" s="3">
        <f t="shared" si="70"/>
        <v>9.7163150000000016</v>
      </c>
      <c r="G2263" s="3">
        <f t="shared" si="71"/>
        <v>48.166315000000004</v>
      </c>
    </row>
    <row r="2264" spans="1:7" x14ac:dyDescent="0.3">
      <c r="A2264" t="s">
        <v>13039</v>
      </c>
      <c r="B2264" t="s">
        <v>4555</v>
      </c>
      <c r="C2264" t="s">
        <v>4556</v>
      </c>
      <c r="D2264" s="1" t="s">
        <v>427</v>
      </c>
      <c r="E2264" s="3">
        <v>43.54</v>
      </c>
      <c r="F2264" s="3">
        <f t="shared" si="70"/>
        <v>11.002558000000001</v>
      </c>
      <c r="G2264" s="3">
        <f t="shared" si="71"/>
        <v>54.542558</v>
      </c>
    </row>
    <row r="2265" spans="1:7" x14ac:dyDescent="0.3">
      <c r="A2265" t="s">
        <v>13039</v>
      </c>
      <c r="B2265" t="s">
        <v>4557</v>
      </c>
      <c r="C2265" t="s">
        <v>4558</v>
      </c>
      <c r="D2265" s="1" t="s">
        <v>427</v>
      </c>
      <c r="E2265" s="3">
        <v>49.77</v>
      </c>
      <c r="F2265" s="3">
        <f t="shared" si="70"/>
        <v>12.576879000000002</v>
      </c>
      <c r="G2265" s="3">
        <f t="shared" si="71"/>
        <v>62.346879000000001</v>
      </c>
    </row>
    <row r="2266" spans="1:7" x14ac:dyDescent="0.3">
      <c r="A2266" t="s">
        <v>13039</v>
      </c>
      <c r="B2266" t="s">
        <v>4559</v>
      </c>
      <c r="C2266" t="s">
        <v>4560</v>
      </c>
      <c r="D2266" s="1" t="s">
        <v>427</v>
      </c>
      <c r="E2266" s="3">
        <v>55.4</v>
      </c>
      <c r="F2266" s="3">
        <f t="shared" si="70"/>
        <v>13.999580000000002</v>
      </c>
      <c r="G2266" s="3">
        <f t="shared" si="71"/>
        <v>69.39958</v>
      </c>
    </row>
    <row r="2267" spans="1:7" x14ac:dyDescent="0.3">
      <c r="A2267" t="s">
        <v>13039</v>
      </c>
      <c r="B2267" t="s">
        <v>4561</v>
      </c>
      <c r="C2267" t="s">
        <v>4562</v>
      </c>
      <c r="D2267" s="1" t="s">
        <v>427</v>
      </c>
      <c r="E2267" s="3">
        <v>62.6</v>
      </c>
      <c r="F2267" s="3">
        <f t="shared" si="70"/>
        <v>15.819020000000002</v>
      </c>
      <c r="G2267" s="3">
        <f t="shared" si="71"/>
        <v>78.419020000000003</v>
      </c>
    </row>
    <row r="2268" spans="1:7" x14ac:dyDescent="0.3">
      <c r="A2268" t="s">
        <v>13039</v>
      </c>
      <c r="B2268" t="s">
        <v>4563</v>
      </c>
      <c r="C2268" t="s">
        <v>4564</v>
      </c>
      <c r="D2268" s="1" t="s">
        <v>427</v>
      </c>
      <c r="E2268" s="3">
        <v>67.599999999999994</v>
      </c>
      <c r="F2268" s="3">
        <f t="shared" si="70"/>
        <v>17.082520000000002</v>
      </c>
      <c r="G2268" s="3">
        <f t="shared" si="71"/>
        <v>84.682519999999997</v>
      </c>
    </row>
    <row r="2269" spans="1:7" x14ac:dyDescent="0.3">
      <c r="A2269" t="s">
        <v>13039</v>
      </c>
      <c r="B2269" t="s">
        <v>4565</v>
      </c>
      <c r="C2269" t="s">
        <v>4566</v>
      </c>
      <c r="D2269" s="1" t="s">
        <v>427</v>
      </c>
      <c r="E2269" s="3">
        <v>71.88</v>
      </c>
      <c r="F2269" s="3">
        <f t="shared" si="70"/>
        <v>18.164076000000001</v>
      </c>
      <c r="G2269" s="3">
        <f t="shared" si="71"/>
        <v>90.04407599999999</v>
      </c>
    </row>
    <row r="2270" spans="1:7" x14ac:dyDescent="0.3">
      <c r="A2270" t="s">
        <v>13039</v>
      </c>
      <c r="B2270" t="s">
        <v>4567</v>
      </c>
      <c r="C2270" t="s">
        <v>4568</v>
      </c>
      <c r="D2270" s="1" t="s">
        <v>427</v>
      </c>
      <c r="E2270" s="3">
        <v>5.87</v>
      </c>
      <c r="F2270" s="3">
        <f t="shared" si="70"/>
        <v>1.4833490000000003</v>
      </c>
      <c r="G2270" s="3">
        <f t="shared" si="71"/>
        <v>7.3533490000000006</v>
      </c>
    </row>
    <row r="2271" spans="1:7" x14ac:dyDescent="0.3">
      <c r="A2271" t="s">
        <v>13039</v>
      </c>
      <c r="B2271" t="s">
        <v>4569</v>
      </c>
      <c r="C2271" t="s">
        <v>4570</v>
      </c>
      <c r="D2271" s="1" t="s">
        <v>427</v>
      </c>
      <c r="E2271" s="3">
        <v>6.49</v>
      </c>
      <c r="F2271" s="3">
        <f t="shared" si="70"/>
        <v>1.6400230000000002</v>
      </c>
      <c r="G2271" s="3">
        <f t="shared" si="71"/>
        <v>8.1300230000000013</v>
      </c>
    </row>
    <row r="2272" spans="1:7" x14ac:dyDescent="0.3">
      <c r="A2272" t="s">
        <v>13039</v>
      </c>
      <c r="B2272" t="s">
        <v>4571</v>
      </c>
      <c r="C2272" t="s">
        <v>4572</v>
      </c>
      <c r="D2272" s="1" t="s">
        <v>427</v>
      </c>
      <c r="E2272" s="3">
        <v>7.11</v>
      </c>
      <c r="F2272" s="3">
        <f t="shared" si="70"/>
        <v>1.7966970000000004</v>
      </c>
      <c r="G2272" s="3">
        <f t="shared" si="71"/>
        <v>8.9066970000000012</v>
      </c>
    </row>
    <row r="2273" spans="1:7" x14ac:dyDescent="0.3">
      <c r="A2273" t="s">
        <v>13039</v>
      </c>
      <c r="B2273" t="s">
        <v>4573</v>
      </c>
      <c r="C2273" t="s">
        <v>4574</v>
      </c>
      <c r="D2273" s="1" t="s">
        <v>427</v>
      </c>
      <c r="E2273" s="3">
        <v>5.45</v>
      </c>
      <c r="F2273" s="3">
        <f t="shared" si="70"/>
        <v>1.3772150000000003</v>
      </c>
      <c r="G2273" s="3">
        <f t="shared" si="71"/>
        <v>6.8272150000000007</v>
      </c>
    </row>
    <row r="2274" spans="1:7" x14ac:dyDescent="0.3">
      <c r="A2274" t="s">
        <v>13039</v>
      </c>
      <c r="B2274" t="s">
        <v>4575</v>
      </c>
      <c r="C2274" t="s">
        <v>4576</v>
      </c>
      <c r="D2274" s="1" t="s">
        <v>427</v>
      </c>
      <c r="E2274" s="3">
        <v>29.1</v>
      </c>
      <c r="F2274" s="3">
        <f t="shared" si="70"/>
        <v>7.3535700000000013</v>
      </c>
      <c r="G2274" s="3">
        <f t="shared" si="71"/>
        <v>36.453569999999999</v>
      </c>
    </row>
    <row r="2275" spans="1:7" x14ac:dyDescent="0.3">
      <c r="A2275" t="s">
        <v>13039</v>
      </c>
      <c r="B2275" t="s">
        <v>4577</v>
      </c>
      <c r="C2275" t="s">
        <v>4578</v>
      </c>
      <c r="D2275" s="1" t="s">
        <v>427</v>
      </c>
      <c r="E2275" s="3">
        <v>29.63</v>
      </c>
      <c r="F2275" s="3">
        <f t="shared" si="70"/>
        <v>7.4875010000000009</v>
      </c>
      <c r="G2275" s="3">
        <f t="shared" si="71"/>
        <v>37.117500999999997</v>
      </c>
    </row>
    <row r="2276" spans="1:7" x14ac:dyDescent="0.3">
      <c r="A2276" t="s">
        <v>13039</v>
      </c>
      <c r="B2276" t="s">
        <v>4579</v>
      </c>
      <c r="C2276" t="s">
        <v>4580</v>
      </c>
      <c r="D2276" s="1" t="s">
        <v>427</v>
      </c>
      <c r="E2276" s="3">
        <v>30.17</v>
      </c>
      <c r="F2276" s="3">
        <f t="shared" si="70"/>
        <v>7.6239590000000019</v>
      </c>
      <c r="G2276" s="3">
        <f t="shared" si="71"/>
        <v>37.793959000000001</v>
      </c>
    </row>
    <row r="2277" spans="1:7" x14ac:dyDescent="0.3">
      <c r="A2277" t="s">
        <v>13039</v>
      </c>
      <c r="B2277" t="s">
        <v>4581</v>
      </c>
      <c r="C2277" t="s">
        <v>4582</v>
      </c>
      <c r="D2277" s="1" t="s">
        <v>427</v>
      </c>
      <c r="E2277" s="3">
        <v>30.74</v>
      </c>
      <c r="F2277" s="3">
        <f t="shared" si="70"/>
        <v>7.7679980000000004</v>
      </c>
      <c r="G2277" s="3">
        <f t="shared" si="71"/>
        <v>38.507998000000001</v>
      </c>
    </row>
    <row r="2278" spans="1:7" x14ac:dyDescent="0.3">
      <c r="A2278" t="s">
        <v>13039</v>
      </c>
      <c r="B2278" t="s">
        <v>4583</v>
      </c>
      <c r="C2278" t="s">
        <v>4584</v>
      </c>
      <c r="D2278" s="1" t="s">
        <v>427</v>
      </c>
      <c r="E2278" s="3">
        <v>31.34</v>
      </c>
      <c r="F2278" s="3">
        <f t="shared" si="70"/>
        <v>7.9196180000000007</v>
      </c>
      <c r="G2278" s="3">
        <f t="shared" si="71"/>
        <v>39.259618000000003</v>
      </c>
    </row>
    <row r="2279" spans="1:7" x14ac:dyDescent="0.3">
      <c r="A2279" t="s">
        <v>13039</v>
      </c>
      <c r="B2279" t="s">
        <v>4585</v>
      </c>
      <c r="C2279" t="s">
        <v>4586</v>
      </c>
      <c r="D2279" s="1" t="s">
        <v>427</v>
      </c>
      <c r="E2279" s="3">
        <v>31.66</v>
      </c>
      <c r="F2279" s="3">
        <f t="shared" si="70"/>
        <v>8.0004820000000016</v>
      </c>
      <c r="G2279" s="3">
        <f t="shared" si="71"/>
        <v>39.660482000000002</v>
      </c>
    </row>
    <row r="2280" spans="1:7" x14ac:dyDescent="0.3">
      <c r="A2280" t="s">
        <v>13039</v>
      </c>
      <c r="B2280" t="s">
        <v>4587</v>
      </c>
      <c r="C2280" t="s">
        <v>4588</v>
      </c>
      <c r="D2280" s="1" t="s">
        <v>427</v>
      </c>
      <c r="E2280" s="3">
        <v>16.600000000000001</v>
      </c>
      <c r="F2280" s="3">
        <f t="shared" si="70"/>
        <v>4.1948200000000009</v>
      </c>
      <c r="G2280" s="3">
        <f t="shared" si="71"/>
        <v>20.794820000000001</v>
      </c>
    </row>
    <row r="2281" spans="1:7" x14ac:dyDescent="0.3">
      <c r="A2281" t="s">
        <v>13039</v>
      </c>
      <c r="B2281" t="s">
        <v>4589</v>
      </c>
      <c r="C2281" t="s">
        <v>4590</v>
      </c>
      <c r="D2281" s="1" t="s">
        <v>427</v>
      </c>
      <c r="E2281" s="3">
        <v>16.73</v>
      </c>
      <c r="F2281" s="3">
        <f t="shared" si="70"/>
        <v>4.2276710000000008</v>
      </c>
      <c r="G2281" s="3">
        <f t="shared" si="71"/>
        <v>20.957671000000001</v>
      </c>
    </row>
    <row r="2282" spans="1:7" x14ac:dyDescent="0.3">
      <c r="A2282" t="s">
        <v>13039</v>
      </c>
      <c r="B2282" t="s">
        <v>4591</v>
      </c>
      <c r="C2282" t="s">
        <v>4592</v>
      </c>
      <c r="D2282" s="1" t="s">
        <v>427</v>
      </c>
      <c r="E2282" s="3">
        <v>16.87</v>
      </c>
      <c r="F2282" s="3">
        <f t="shared" si="70"/>
        <v>4.2630490000000005</v>
      </c>
      <c r="G2282" s="3">
        <f t="shared" si="71"/>
        <v>21.133049</v>
      </c>
    </row>
    <row r="2283" spans="1:7" x14ac:dyDescent="0.3">
      <c r="A2283" t="s">
        <v>13039</v>
      </c>
      <c r="B2283" t="s">
        <v>4593</v>
      </c>
      <c r="C2283" t="s">
        <v>4594</v>
      </c>
      <c r="D2283" s="1" t="s">
        <v>427</v>
      </c>
      <c r="E2283" s="3">
        <v>17.010000000000002</v>
      </c>
      <c r="F2283" s="3">
        <f t="shared" si="70"/>
        <v>4.2984270000000011</v>
      </c>
      <c r="G2283" s="3">
        <f t="shared" si="71"/>
        <v>21.308427000000002</v>
      </c>
    </row>
    <row r="2284" spans="1:7" x14ac:dyDescent="0.3">
      <c r="A2284" t="s">
        <v>13039</v>
      </c>
      <c r="B2284" t="s">
        <v>4595</v>
      </c>
      <c r="C2284" t="s">
        <v>4596</v>
      </c>
      <c r="D2284" s="1" t="s">
        <v>427</v>
      </c>
      <c r="E2284" s="3">
        <v>17.170000000000002</v>
      </c>
      <c r="F2284" s="3">
        <f t="shared" si="70"/>
        <v>4.3388590000000011</v>
      </c>
      <c r="G2284" s="3">
        <f t="shared" si="71"/>
        <v>21.508859000000001</v>
      </c>
    </row>
    <row r="2285" spans="1:7" x14ac:dyDescent="0.3">
      <c r="A2285" t="s">
        <v>13039</v>
      </c>
      <c r="B2285" t="s">
        <v>4597</v>
      </c>
      <c r="C2285" t="s">
        <v>4598</v>
      </c>
      <c r="D2285" s="1" t="s">
        <v>427</v>
      </c>
      <c r="E2285" s="3">
        <v>17.25</v>
      </c>
      <c r="F2285" s="3">
        <f t="shared" si="70"/>
        <v>4.3590750000000007</v>
      </c>
      <c r="G2285" s="3">
        <f t="shared" si="71"/>
        <v>21.609075000000001</v>
      </c>
    </row>
    <row r="2286" spans="1:7" x14ac:dyDescent="0.3">
      <c r="A2286" t="s">
        <v>13039</v>
      </c>
      <c r="B2286" t="s">
        <v>4599</v>
      </c>
      <c r="C2286" t="s">
        <v>4600</v>
      </c>
      <c r="D2286" s="1" t="s">
        <v>427</v>
      </c>
      <c r="E2286" s="3">
        <v>21.78</v>
      </c>
      <c r="F2286" s="3">
        <f t="shared" si="70"/>
        <v>5.5038060000000009</v>
      </c>
      <c r="G2286" s="3">
        <f t="shared" si="71"/>
        <v>27.283806000000002</v>
      </c>
    </row>
    <row r="2287" spans="1:7" x14ac:dyDescent="0.3">
      <c r="A2287" t="s">
        <v>13039</v>
      </c>
      <c r="B2287" t="s">
        <v>4601</v>
      </c>
      <c r="C2287" t="s">
        <v>4602</v>
      </c>
      <c r="D2287" s="1" t="s">
        <v>427</v>
      </c>
      <c r="E2287" s="3">
        <v>21.9</v>
      </c>
      <c r="F2287" s="3">
        <f t="shared" si="70"/>
        <v>5.5341300000000002</v>
      </c>
      <c r="G2287" s="3">
        <f t="shared" si="71"/>
        <v>27.43413</v>
      </c>
    </row>
    <row r="2288" spans="1:7" x14ac:dyDescent="0.3">
      <c r="A2288" t="s">
        <v>13039</v>
      </c>
      <c r="B2288" t="s">
        <v>4603</v>
      </c>
      <c r="C2288" t="s">
        <v>4604</v>
      </c>
      <c r="D2288" s="1" t="s">
        <v>427</v>
      </c>
      <c r="E2288" s="3">
        <v>22.03</v>
      </c>
      <c r="F2288" s="3">
        <f t="shared" si="70"/>
        <v>5.5669810000000011</v>
      </c>
      <c r="G2288" s="3">
        <f t="shared" si="71"/>
        <v>27.596981000000003</v>
      </c>
    </row>
    <row r="2289" spans="1:7" x14ac:dyDescent="0.3">
      <c r="A2289" t="s">
        <v>13039</v>
      </c>
      <c r="B2289" t="s">
        <v>4605</v>
      </c>
      <c r="C2289" t="s">
        <v>4606</v>
      </c>
      <c r="D2289" s="1" t="s">
        <v>427</v>
      </c>
      <c r="E2289" s="3">
        <v>22.17</v>
      </c>
      <c r="F2289" s="3">
        <f t="shared" si="70"/>
        <v>5.6023590000000016</v>
      </c>
      <c r="G2289" s="3">
        <f t="shared" si="71"/>
        <v>27.772359000000002</v>
      </c>
    </row>
    <row r="2290" spans="1:7" x14ac:dyDescent="0.3">
      <c r="A2290" t="s">
        <v>13039</v>
      </c>
      <c r="B2290" t="s">
        <v>4607</v>
      </c>
      <c r="C2290" t="s">
        <v>4608</v>
      </c>
      <c r="D2290" s="1" t="s">
        <v>427</v>
      </c>
      <c r="E2290" s="3">
        <v>22.31</v>
      </c>
      <c r="F2290" s="3">
        <f t="shared" si="70"/>
        <v>5.6377370000000004</v>
      </c>
      <c r="G2290" s="3">
        <f t="shared" si="71"/>
        <v>27.947737</v>
      </c>
    </row>
    <row r="2291" spans="1:7" x14ac:dyDescent="0.3">
      <c r="A2291" t="s">
        <v>13039</v>
      </c>
      <c r="B2291" t="s">
        <v>4609</v>
      </c>
      <c r="C2291" t="s">
        <v>4610</v>
      </c>
      <c r="D2291" s="1" t="s">
        <v>427</v>
      </c>
      <c r="E2291" s="3">
        <v>22.39</v>
      </c>
      <c r="F2291" s="3">
        <f t="shared" si="70"/>
        <v>5.6579530000000009</v>
      </c>
      <c r="G2291" s="3">
        <f t="shared" si="71"/>
        <v>28.047953</v>
      </c>
    </row>
    <row r="2292" spans="1:7" x14ac:dyDescent="0.3">
      <c r="A2292" t="s">
        <v>13039</v>
      </c>
      <c r="B2292" t="s">
        <v>4611</v>
      </c>
      <c r="C2292" t="s">
        <v>4612</v>
      </c>
      <c r="D2292" s="1" t="s">
        <v>427</v>
      </c>
      <c r="E2292" s="3">
        <v>19.36</v>
      </c>
      <c r="F2292" s="3">
        <f t="shared" si="70"/>
        <v>4.8922720000000002</v>
      </c>
      <c r="G2292" s="3">
        <f t="shared" si="71"/>
        <v>24.252271999999998</v>
      </c>
    </row>
    <row r="2293" spans="1:7" x14ac:dyDescent="0.3">
      <c r="A2293" t="s">
        <v>13039</v>
      </c>
      <c r="B2293" t="s">
        <v>4613</v>
      </c>
      <c r="C2293" t="s">
        <v>4614</v>
      </c>
      <c r="D2293" s="1" t="s">
        <v>427</v>
      </c>
      <c r="E2293" s="3">
        <v>19.670000000000002</v>
      </c>
      <c r="F2293" s="3">
        <f t="shared" si="70"/>
        <v>4.9706090000000014</v>
      </c>
      <c r="G2293" s="3">
        <f t="shared" si="71"/>
        <v>24.640609000000005</v>
      </c>
    </row>
    <row r="2294" spans="1:7" x14ac:dyDescent="0.3">
      <c r="A2294" t="s">
        <v>13039</v>
      </c>
      <c r="B2294" t="s">
        <v>4615</v>
      </c>
      <c r="C2294" t="s">
        <v>4616</v>
      </c>
      <c r="D2294" s="1" t="s">
        <v>427</v>
      </c>
      <c r="E2294" s="3">
        <v>19.989999999999998</v>
      </c>
      <c r="F2294" s="3">
        <f t="shared" si="70"/>
        <v>5.0514730000000005</v>
      </c>
      <c r="G2294" s="3">
        <f t="shared" si="71"/>
        <v>25.041473</v>
      </c>
    </row>
    <row r="2295" spans="1:7" x14ac:dyDescent="0.3">
      <c r="A2295" t="s">
        <v>13039</v>
      </c>
      <c r="B2295" t="s">
        <v>4617</v>
      </c>
      <c r="C2295" t="s">
        <v>4618</v>
      </c>
      <c r="D2295" s="1" t="s">
        <v>427</v>
      </c>
      <c r="E2295" s="3">
        <v>20.329999999999998</v>
      </c>
      <c r="F2295" s="3">
        <f t="shared" si="70"/>
        <v>5.137391</v>
      </c>
      <c r="G2295" s="3">
        <f t="shared" si="71"/>
        <v>25.467390999999999</v>
      </c>
    </row>
    <row r="2296" spans="1:7" x14ac:dyDescent="0.3">
      <c r="A2296" t="s">
        <v>13039</v>
      </c>
      <c r="B2296" t="s">
        <v>4619</v>
      </c>
      <c r="C2296" t="s">
        <v>4620</v>
      </c>
      <c r="D2296" s="1" t="s">
        <v>427</v>
      </c>
      <c r="E2296" s="3">
        <v>20.68</v>
      </c>
      <c r="F2296" s="3">
        <f t="shared" si="70"/>
        <v>5.225836000000001</v>
      </c>
      <c r="G2296" s="3">
        <f t="shared" si="71"/>
        <v>25.905836000000001</v>
      </c>
    </row>
    <row r="2297" spans="1:7" x14ac:dyDescent="0.3">
      <c r="A2297" t="s">
        <v>13039</v>
      </c>
      <c r="B2297" t="s">
        <v>4621</v>
      </c>
      <c r="C2297" t="s">
        <v>4622</v>
      </c>
      <c r="D2297" s="1" t="s">
        <v>427</v>
      </c>
      <c r="E2297" s="3">
        <v>20.87</v>
      </c>
      <c r="F2297" s="3">
        <f t="shared" si="70"/>
        <v>5.2738490000000011</v>
      </c>
      <c r="G2297" s="3">
        <f t="shared" si="71"/>
        <v>26.143849000000003</v>
      </c>
    </row>
    <row r="2298" spans="1:7" x14ac:dyDescent="0.3">
      <c r="A2298" t="s">
        <v>13039</v>
      </c>
      <c r="B2298" t="s">
        <v>4623</v>
      </c>
      <c r="C2298" t="s">
        <v>4624</v>
      </c>
      <c r="D2298" s="1" t="s">
        <v>427</v>
      </c>
      <c r="E2298" s="3">
        <v>27.08</v>
      </c>
      <c r="F2298" s="3">
        <f t="shared" si="70"/>
        <v>6.8431160000000002</v>
      </c>
      <c r="G2298" s="3">
        <f t="shared" si="71"/>
        <v>33.923116</v>
      </c>
    </row>
    <row r="2299" spans="1:7" x14ac:dyDescent="0.3">
      <c r="A2299" t="s">
        <v>13039</v>
      </c>
      <c r="B2299" t="s">
        <v>4625</v>
      </c>
      <c r="C2299" t="s">
        <v>4626</v>
      </c>
      <c r="D2299" s="1" t="s">
        <v>427</v>
      </c>
      <c r="E2299" s="3">
        <v>27.2</v>
      </c>
      <c r="F2299" s="3">
        <f t="shared" si="70"/>
        <v>6.8734400000000004</v>
      </c>
      <c r="G2299" s="3">
        <f t="shared" si="71"/>
        <v>34.073439999999998</v>
      </c>
    </row>
    <row r="2300" spans="1:7" x14ac:dyDescent="0.3">
      <c r="A2300" t="s">
        <v>13039</v>
      </c>
      <c r="B2300" t="s">
        <v>4627</v>
      </c>
      <c r="C2300" t="s">
        <v>4628</v>
      </c>
      <c r="D2300" s="1" t="s">
        <v>427</v>
      </c>
      <c r="E2300" s="3">
        <v>27.33</v>
      </c>
      <c r="F2300" s="3">
        <f t="shared" si="70"/>
        <v>6.9062910000000004</v>
      </c>
      <c r="G2300" s="3">
        <f t="shared" si="71"/>
        <v>34.236291000000001</v>
      </c>
    </row>
    <row r="2301" spans="1:7" x14ac:dyDescent="0.3">
      <c r="A2301" t="s">
        <v>13039</v>
      </c>
      <c r="B2301" t="s">
        <v>4629</v>
      </c>
      <c r="C2301" t="s">
        <v>4630</v>
      </c>
      <c r="D2301" s="1" t="s">
        <v>427</v>
      </c>
      <c r="E2301" s="3">
        <v>27.46</v>
      </c>
      <c r="F2301" s="3">
        <f t="shared" si="70"/>
        <v>6.9391420000000013</v>
      </c>
      <c r="G2301" s="3">
        <f t="shared" si="71"/>
        <v>34.399142000000005</v>
      </c>
    </row>
    <row r="2302" spans="1:7" x14ac:dyDescent="0.3">
      <c r="A2302" t="s">
        <v>13039</v>
      </c>
      <c r="B2302" t="s">
        <v>4631</v>
      </c>
      <c r="C2302" t="s">
        <v>4632</v>
      </c>
      <c r="D2302" s="1" t="s">
        <v>427</v>
      </c>
      <c r="E2302" s="3">
        <v>27.59</v>
      </c>
      <c r="F2302" s="3">
        <f t="shared" si="70"/>
        <v>6.9719930000000012</v>
      </c>
      <c r="G2302" s="3">
        <f t="shared" si="71"/>
        <v>34.561993000000001</v>
      </c>
    </row>
    <row r="2303" spans="1:7" x14ac:dyDescent="0.3">
      <c r="A2303" t="s">
        <v>13039</v>
      </c>
      <c r="B2303" t="s">
        <v>4633</v>
      </c>
      <c r="C2303" t="s">
        <v>4634</v>
      </c>
      <c r="D2303" s="1" t="s">
        <v>427</v>
      </c>
      <c r="E2303" s="3">
        <v>27.67</v>
      </c>
      <c r="F2303" s="3">
        <f t="shared" si="70"/>
        <v>6.9922090000000017</v>
      </c>
      <c r="G2303" s="3">
        <f t="shared" si="71"/>
        <v>34.662209000000004</v>
      </c>
    </row>
    <row r="2304" spans="1:7" x14ac:dyDescent="0.3">
      <c r="A2304" t="s">
        <v>13039</v>
      </c>
      <c r="B2304" t="s">
        <v>4635</v>
      </c>
      <c r="C2304" t="s">
        <v>4636</v>
      </c>
      <c r="D2304" s="1" t="s">
        <v>427</v>
      </c>
      <c r="E2304" s="3">
        <v>17.760000000000002</v>
      </c>
      <c r="F2304" s="3">
        <f t="shared" si="70"/>
        <v>4.4879520000000008</v>
      </c>
      <c r="G2304" s="3">
        <f t="shared" si="71"/>
        <v>22.247952000000002</v>
      </c>
    </row>
    <row r="2305" spans="1:7" x14ac:dyDescent="0.3">
      <c r="A2305" t="s">
        <v>13039</v>
      </c>
      <c r="B2305" t="s">
        <v>4637</v>
      </c>
      <c r="C2305" t="s">
        <v>4638</v>
      </c>
      <c r="D2305" s="1" t="s">
        <v>427</v>
      </c>
      <c r="E2305" s="3">
        <v>18</v>
      </c>
      <c r="F2305" s="3">
        <f t="shared" si="70"/>
        <v>4.5486000000000004</v>
      </c>
      <c r="G2305" s="3">
        <f t="shared" si="71"/>
        <v>22.5486</v>
      </c>
    </row>
    <row r="2306" spans="1:7" x14ac:dyDescent="0.3">
      <c r="A2306" t="s">
        <v>13039</v>
      </c>
      <c r="B2306" t="s">
        <v>4639</v>
      </c>
      <c r="C2306" t="s">
        <v>4640</v>
      </c>
      <c r="D2306" s="1" t="s">
        <v>427</v>
      </c>
      <c r="E2306" s="3">
        <v>18.25</v>
      </c>
      <c r="F2306" s="3">
        <f t="shared" si="70"/>
        <v>4.6117750000000006</v>
      </c>
      <c r="G2306" s="3">
        <f t="shared" si="71"/>
        <v>22.861775000000002</v>
      </c>
    </row>
    <row r="2307" spans="1:7" x14ac:dyDescent="0.3">
      <c r="A2307" t="s">
        <v>13039</v>
      </c>
      <c r="B2307" t="s">
        <v>4641</v>
      </c>
      <c r="C2307" t="s">
        <v>4642</v>
      </c>
      <c r="D2307" s="1" t="s">
        <v>427</v>
      </c>
      <c r="E2307" s="3">
        <v>18.510000000000002</v>
      </c>
      <c r="F2307" s="3">
        <f t="shared" si="70"/>
        <v>4.6774770000000014</v>
      </c>
      <c r="G2307" s="3">
        <f t="shared" si="71"/>
        <v>23.187477000000001</v>
      </c>
    </row>
    <row r="2308" spans="1:7" x14ac:dyDescent="0.3">
      <c r="A2308" t="s">
        <v>13039</v>
      </c>
      <c r="B2308" t="s">
        <v>4643</v>
      </c>
      <c r="C2308" t="s">
        <v>4644</v>
      </c>
      <c r="D2308" s="1" t="s">
        <v>427</v>
      </c>
      <c r="E2308" s="3">
        <v>18.79</v>
      </c>
      <c r="F2308" s="3">
        <f t="shared" si="70"/>
        <v>4.7482330000000008</v>
      </c>
      <c r="G2308" s="3">
        <f t="shared" si="71"/>
        <v>23.538232999999998</v>
      </c>
    </row>
    <row r="2309" spans="1:7" x14ac:dyDescent="0.3">
      <c r="A2309" t="s">
        <v>13039</v>
      </c>
      <c r="B2309" t="s">
        <v>4645</v>
      </c>
      <c r="C2309" t="s">
        <v>4646</v>
      </c>
      <c r="D2309" s="1" t="s">
        <v>427</v>
      </c>
      <c r="E2309" s="3">
        <v>18.940000000000001</v>
      </c>
      <c r="F2309" s="3">
        <f t="shared" si="70"/>
        <v>4.7861380000000011</v>
      </c>
      <c r="G2309" s="3">
        <f t="shared" si="71"/>
        <v>23.726138000000002</v>
      </c>
    </row>
    <row r="2310" spans="1:7" x14ac:dyDescent="0.3">
      <c r="A2310" t="s">
        <v>13039</v>
      </c>
      <c r="B2310" t="s">
        <v>4647</v>
      </c>
      <c r="C2310" t="s">
        <v>4648</v>
      </c>
      <c r="D2310" s="1" t="s">
        <v>427</v>
      </c>
      <c r="E2310" s="3">
        <v>16.54</v>
      </c>
      <c r="F2310" s="3">
        <f t="shared" si="70"/>
        <v>4.1796580000000008</v>
      </c>
      <c r="G2310" s="3">
        <f t="shared" si="71"/>
        <v>20.719657999999999</v>
      </c>
    </row>
    <row r="2311" spans="1:7" x14ac:dyDescent="0.3">
      <c r="A2311" t="s">
        <v>13039</v>
      </c>
      <c r="B2311" t="s">
        <v>4649</v>
      </c>
      <c r="C2311" t="s">
        <v>4650</v>
      </c>
      <c r="D2311" s="1" t="s">
        <v>427</v>
      </c>
      <c r="E2311" s="3">
        <v>16.75</v>
      </c>
      <c r="F2311" s="3">
        <f t="shared" ref="F2311:F2374" si="72">+E2311*$F$4</f>
        <v>4.2327250000000003</v>
      </c>
      <c r="G2311" s="3">
        <f t="shared" ref="G2311:G2374" si="73">+E2311+F2311</f>
        <v>20.982725000000002</v>
      </c>
    </row>
    <row r="2312" spans="1:7" x14ac:dyDescent="0.3">
      <c r="A2312" t="s">
        <v>13039</v>
      </c>
      <c r="B2312" t="s">
        <v>4651</v>
      </c>
      <c r="C2312" t="s">
        <v>4652</v>
      </c>
      <c r="D2312" s="1" t="s">
        <v>427</v>
      </c>
      <c r="E2312" s="3">
        <v>16.97</v>
      </c>
      <c r="F2312" s="3">
        <f t="shared" si="72"/>
        <v>4.2883190000000004</v>
      </c>
      <c r="G2312" s="3">
        <f t="shared" si="73"/>
        <v>21.258319</v>
      </c>
    </row>
    <row r="2313" spans="1:7" x14ac:dyDescent="0.3">
      <c r="A2313" t="s">
        <v>13039</v>
      </c>
      <c r="B2313" t="s">
        <v>4653</v>
      </c>
      <c r="C2313" t="s">
        <v>4654</v>
      </c>
      <c r="D2313" s="1" t="s">
        <v>427</v>
      </c>
      <c r="E2313" s="3">
        <v>17.190000000000001</v>
      </c>
      <c r="F2313" s="3">
        <f t="shared" si="72"/>
        <v>4.3439130000000006</v>
      </c>
      <c r="G2313" s="3">
        <f t="shared" si="73"/>
        <v>21.533913000000002</v>
      </c>
    </row>
    <row r="2314" spans="1:7" x14ac:dyDescent="0.3">
      <c r="A2314" t="s">
        <v>13039</v>
      </c>
      <c r="B2314" t="s">
        <v>4655</v>
      </c>
      <c r="C2314" t="s">
        <v>4656</v>
      </c>
      <c r="D2314" s="1" t="s">
        <v>427</v>
      </c>
      <c r="E2314" s="3">
        <v>17.43</v>
      </c>
      <c r="F2314" s="3">
        <f t="shared" si="72"/>
        <v>4.4045610000000002</v>
      </c>
      <c r="G2314" s="3">
        <f t="shared" si="73"/>
        <v>21.834561000000001</v>
      </c>
    </row>
    <row r="2315" spans="1:7" x14ac:dyDescent="0.3">
      <c r="A2315" t="s">
        <v>13039</v>
      </c>
      <c r="B2315" t="s">
        <v>4657</v>
      </c>
      <c r="C2315" t="s">
        <v>4658</v>
      </c>
      <c r="D2315" s="1" t="s">
        <v>427</v>
      </c>
      <c r="E2315" s="3">
        <v>17.559999999999999</v>
      </c>
      <c r="F2315" s="3">
        <f t="shared" si="72"/>
        <v>4.4374120000000001</v>
      </c>
      <c r="G2315" s="3">
        <f t="shared" si="73"/>
        <v>21.997411999999997</v>
      </c>
    </row>
    <row r="2316" spans="1:7" x14ac:dyDescent="0.3">
      <c r="A2316" t="s">
        <v>13039</v>
      </c>
      <c r="B2316" t="s">
        <v>4659</v>
      </c>
      <c r="C2316" t="s">
        <v>4660</v>
      </c>
      <c r="D2316" s="1" t="s">
        <v>427</v>
      </c>
      <c r="E2316" s="3">
        <v>18.11</v>
      </c>
      <c r="F2316" s="3">
        <f t="shared" si="72"/>
        <v>4.5763970000000009</v>
      </c>
      <c r="G2316" s="3">
        <f t="shared" si="73"/>
        <v>22.686396999999999</v>
      </c>
    </row>
    <row r="2317" spans="1:7" x14ac:dyDescent="0.3">
      <c r="A2317" t="s">
        <v>13039</v>
      </c>
      <c r="B2317" t="s">
        <v>4661</v>
      </c>
      <c r="C2317" t="s">
        <v>4662</v>
      </c>
      <c r="D2317" s="1" t="s">
        <v>427</v>
      </c>
      <c r="E2317" s="3">
        <v>18.29</v>
      </c>
      <c r="F2317" s="3">
        <f t="shared" si="72"/>
        <v>4.6218830000000004</v>
      </c>
      <c r="G2317" s="3">
        <f t="shared" si="73"/>
        <v>22.911883</v>
      </c>
    </row>
    <row r="2318" spans="1:7" x14ac:dyDescent="0.3">
      <c r="A2318" t="s">
        <v>13039</v>
      </c>
      <c r="B2318" t="s">
        <v>4663</v>
      </c>
      <c r="C2318" t="s">
        <v>4664</v>
      </c>
      <c r="D2318" s="1" t="s">
        <v>427</v>
      </c>
      <c r="E2318" s="3">
        <v>18.48</v>
      </c>
      <c r="F2318" s="3">
        <f t="shared" si="72"/>
        <v>4.6698960000000005</v>
      </c>
      <c r="G2318" s="3">
        <f t="shared" si="73"/>
        <v>23.149896000000002</v>
      </c>
    </row>
    <row r="2319" spans="1:7" x14ac:dyDescent="0.3">
      <c r="A2319" t="s">
        <v>13039</v>
      </c>
      <c r="B2319" t="s">
        <v>4665</v>
      </c>
      <c r="C2319" t="s">
        <v>4666</v>
      </c>
      <c r="D2319" s="1" t="s">
        <v>427</v>
      </c>
      <c r="E2319" s="3">
        <v>18.68</v>
      </c>
      <c r="F2319" s="3">
        <f t="shared" si="72"/>
        <v>4.7204360000000003</v>
      </c>
      <c r="G2319" s="3">
        <f t="shared" si="73"/>
        <v>23.400435999999999</v>
      </c>
    </row>
    <row r="2320" spans="1:7" x14ac:dyDescent="0.3">
      <c r="A2320" t="s">
        <v>13039</v>
      </c>
      <c r="B2320" t="s">
        <v>4667</v>
      </c>
      <c r="C2320" t="s">
        <v>4668</v>
      </c>
      <c r="D2320" s="1" t="s">
        <v>427</v>
      </c>
      <c r="E2320" s="3">
        <v>18.89</v>
      </c>
      <c r="F2320" s="3">
        <f t="shared" si="72"/>
        <v>4.7735030000000007</v>
      </c>
      <c r="G2320" s="3">
        <f t="shared" si="73"/>
        <v>23.663503000000002</v>
      </c>
    </row>
    <row r="2321" spans="1:7" x14ac:dyDescent="0.3">
      <c r="A2321" t="s">
        <v>13039</v>
      </c>
      <c r="B2321" t="s">
        <v>4669</v>
      </c>
      <c r="C2321" t="s">
        <v>4670</v>
      </c>
      <c r="D2321" s="1" t="s">
        <v>427</v>
      </c>
      <c r="E2321" s="3">
        <v>19</v>
      </c>
      <c r="F2321" s="3">
        <f t="shared" si="72"/>
        <v>4.8013000000000003</v>
      </c>
      <c r="G2321" s="3">
        <f t="shared" si="73"/>
        <v>23.801300000000001</v>
      </c>
    </row>
    <row r="2322" spans="1:7" x14ac:dyDescent="0.3">
      <c r="A2322" t="s">
        <v>13039</v>
      </c>
      <c r="B2322" t="s">
        <v>4671</v>
      </c>
      <c r="C2322" t="s">
        <v>4672</v>
      </c>
      <c r="D2322" s="1" t="s">
        <v>427</v>
      </c>
      <c r="E2322" s="3">
        <v>40.44</v>
      </c>
      <c r="F2322" s="3">
        <f t="shared" si="72"/>
        <v>10.219188000000001</v>
      </c>
      <c r="G2322" s="3">
        <f t="shared" si="73"/>
        <v>50.659188</v>
      </c>
    </row>
    <row r="2323" spans="1:7" x14ac:dyDescent="0.3">
      <c r="A2323" t="s">
        <v>13039</v>
      </c>
      <c r="B2323" t="s">
        <v>4673</v>
      </c>
      <c r="C2323" t="s">
        <v>4674</v>
      </c>
      <c r="D2323" s="1" t="s">
        <v>427</v>
      </c>
      <c r="E2323" s="3">
        <v>41.22</v>
      </c>
      <c r="F2323" s="3">
        <f t="shared" si="72"/>
        <v>10.416294000000001</v>
      </c>
      <c r="G2323" s="3">
        <f t="shared" si="73"/>
        <v>51.636293999999999</v>
      </c>
    </row>
    <row r="2324" spans="1:7" x14ac:dyDescent="0.3">
      <c r="A2324" t="s">
        <v>13039</v>
      </c>
      <c r="B2324" t="s">
        <v>4675</v>
      </c>
      <c r="C2324" t="s">
        <v>4676</v>
      </c>
      <c r="D2324" s="1" t="s">
        <v>427</v>
      </c>
      <c r="E2324" s="3">
        <v>42.01</v>
      </c>
      <c r="F2324" s="3">
        <f t="shared" si="72"/>
        <v>10.615927000000001</v>
      </c>
      <c r="G2324" s="3">
        <f t="shared" si="73"/>
        <v>52.625926999999997</v>
      </c>
    </row>
    <row r="2325" spans="1:7" x14ac:dyDescent="0.3">
      <c r="A2325" t="s">
        <v>13039</v>
      </c>
      <c r="B2325" t="s">
        <v>4677</v>
      </c>
      <c r="C2325" t="s">
        <v>4678</v>
      </c>
      <c r="D2325" s="1" t="s">
        <v>427</v>
      </c>
      <c r="E2325" s="3">
        <v>42.85</v>
      </c>
      <c r="F2325" s="3">
        <f t="shared" si="72"/>
        <v>10.828195000000003</v>
      </c>
      <c r="G2325" s="3">
        <f t="shared" si="73"/>
        <v>53.678195000000002</v>
      </c>
    </row>
    <row r="2326" spans="1:7" x14ac:dyDescent="0.3">
      <c r="A2326" t="s">
        <v>13039</v>
      </c>
      <c r="B2326" t="s">
        <v>4679</v>
      </c>
      <c r="C2326" t="s">
        <v>4680</v>
      </c>
      <c r="D2326" s="1" t="s">
        <v>427</v>
      </c>
      <c r="E2326" s="3">
        <v>43.73</v>
      </c>
      <c r="F2326" s="3">
        <f t="shared" si="72"/>
        <v>11.050571000000001</v>
      </c>
      <c r="G2326" s="3">
        <f t="shared" si="73"/>
        <v>54.780570999999995</v>
      </c>
    </row>
    <row r="2327" spans="1:7" x14ac:dyDescent="0.3">
      <c r="A2327" t="s">
        <v>13039</v>
      </c>
      <c r="B2327" t="s">
        <v>4681</v>
      </c>
      <c r="C2327" t="s">
        <v>4682</v>
      </c>
      <c r="D2327" s="1" t="s">
        <v>427</v>
      </c>
      <c r="E2327" s="3">
        <v>44.19</v>
      </c>
      <c r="F2327" s="3">
        <f t="shared" si="72"/>
        <v>11.166813000000001</v>
      </c>
      <c r="G2327" s="3">
        <f t="shared" si="73"/>
        <v>55.356813000000002</v>
      </c>
    </row>
    <row r="2328" spans="1:7" x14ac:dyDescent="0.3">
      <c r="A2328" t="s">
        <v>13039</v>
      </c>
      <c r="B2328" t="s">
        <v>4683</v>
      </c>
      <c r="C2328" t="s">
        <v>4684</v>
      </c>
      <c r="D2328" s="1" t="s">
        <v>427</v>
      </c>
      <c r="E2328" s="3">
        <v>27.03</v>
      </c>
      <c r="F2328" s="3">
        <f t="shared" si="72"/>
        <v>6.8304810000000016</v>
      </c>
      <c r="G2328" s="3">
        <f t="shared" si="73"/>
        <v>33.860481</v>
      </c>
    </row>
    <row r="2329" spans="1:7" x14ac:dyDescent="0.3">
      <c r="A2329" t="s">
        <v>13039</v>
      </c>
      <c r="B2329" t="s">
        <v>4685</v>
      </c>
      <c r="C2329" t="s">
        <v>4686</v>
      </c>
      <c r="D2329" s="1" t="s">
        <v>427</v>
      </c>
      <c r="E2329" s="3">
        <v>34.22</v>
      </c>
      <c r="F2329" s="3">
        <f t="shared" si="72"/>
        <v>8.6473940000000002</v>
      </c>
      <c r="G2329" s="3">
        <f t="shared" si="73"/>
        <v>42.867393999999997</v>
      </c>
    </row>
    <row r="2330" spans="1:7" x14ac:dyDescent="0.3">
      <c r="A2330" t="s">
        <v>13039</v>
      </c>
      <c r="B2330" t="s">
        <v>4687</v>
      </c>
      <c r="C2330" t="s">
        <v>4688</v>
      </c>
      <c r="D2330" s="1" t="s">
        <v>427</v>
      </c>
      <c r="E2330" s="3">
        <v>42.96</v>
      </c>
      <c r="F2330" s="3">
        <f t="shared" si="72"/>
        <v>10.855992000000002</v>
      </c>
      <c r="G2330" s="3">
        <f t="shared" si="73"/>
        <v>53.815992000000001</v>
      </c>
    </row>
    <row r="2331" spans="1:7" x14ac:dyDescent="0.3">
      <c r="A2331" t="s">
        <v>13039</v>
      </c>
      <c r="B2331" t="s">
        <v>4689</v>
      </c>
      <c r="C2331" t="s">
        <v>4690</v>
      </c>
      <c r="D2331" s="1" t="s">
        <v>427</v>
      </c>
      <c r="E2331" s="3">
        <v>52.73</v>
      </c>
      <c r="F2331" s="3">
        <f t="shared" si="72"/>
        <v>13.324871000000002</v>
      </c>
      <c r="G2331" s="3">
        <f t="shared" si="73"/>
        <v>66.054870999999991</v>
      </c>
    </row>
    <row r="2332" spans="1:7" x14ac:dyDescent="0.3">
      <c r="A2332" t="s">
        <v>13039</v>
      </c>
      <c r="B2332" t="s">
        <v>4691</v>
      </c>
      <c r="C2332" t="s">
        <v>4692</v>
      </c>
      <c r="D2332" s="1" t="s">
        <v>427</v>
      </c>
      <c r="E2332" s="3">
        <v>63.56</v>
      </c>
      <c r="F2332" s="3">
        <f t="shared" si="72"/>
        <v>16.061612000000004</v>
      </c>
      <c r="G2332" s="3">
        <f t="shared" si="73"/>
        <v>79.621611999999999</v>
      </c>
    </row>
    <row r="2333" spans="1:7" x14ac:dyDescent="0.3">
      <c r="A2333" t="s">
        <v>13039</v>
      </c>
      <c r="B2333" t="s">
        <v>4693</v>
      </c>
      <c r="C2333" t="s">
        <v>4694</v>
      </c>
      <c r="D2333" s="1" t="s">
        <v>427</v>
      </c>
      <c r="E2333" s="3">
        <v>74.38</v>
      </c>
      <c r="F2333" s="3">
        <f t="shared" si="72"/>
        <v>18.795826000000002</v>
      </c>
      <c r="G2333" s="3">
        <f t="shared" si="73"/>
        <v>93.175826000000001</v>
      </c>
    </row>
    <row r="2334" spans="1:7" x14ac:dyDescent="0.3">
      <c r="A2334" t="s">
        <v>13039</v>
      </c>
      <c r="B2334" t="s">
        <v>4695</v>
      </c>
      <c r="C2334" t="s">
        <v>4696</v>
      </c>
      <c r="D2334" s="1" t="s">
        <v>427</v>
      </c>
      <c r="E2334" s="3">
        <v>12.67</v>
      </c>
      <c r="F2334" s="3">
        <f t="shared" si="72"/>
        <v>3.2017090000000006</v>
      </c>
      <c r="G2334" s="3">
        <f t="shared" si="73"/>
        <v>15.871709000000001</v>
      </c>
    </row>
    <row r="2335" spans="1:7" x14ac:dyDescent="0.3">
      <c r="A2335" t="s">
        <v>13039</v>
      </c>
      <c r="B2335" t="s">
        <v>4697</v>
      </c>
      <c r="C2335" t="s">
        <v>4698</v>
      </c>
      <c r="D2335" s="1" t="s">
        <v>427</v>
      </c>
      <c r="E2335" s="3">
        <v>14.61</v>
      </c>
      <c r="F2335" s="3">
        <f t="shared" si="72"/>
        <v>3.6919470000000003</v>
      </c>
      <c r="G2335" s="3">
        <f t="shared" si="73"/>
        <v>18.301946999999998</v>
      </c>
    </row>
    <row r="2336" spans="1:7" x14ac:dyDescent="0.3">
      <c r="A2336" t="s">
        <v>13039</v>
      </c>
      <c r="B2336" t="s">
        <v>4699</v>
      </c>
      <c r="C2336" t="s">
        <v>4700</v>
      </c>
      <c r="D2336" s="1" t="s">
        <v>427</v>
      </c>
      <c r="E2336" s="3">
        <v>18.13</v>
      </c>
      <c r="F2336" s="3">
        <f t="shared" si="72"/>
        <v>4.5814510000000004</v>
      </c>
      <c r="G2336" s="3">
        <f t="shared" si="73"/>
        <v>22.711451</v>
      </c>
    </row>
    <row r="2337" spans="1:7" x14ac:dyDescent="0.3">
      <c r="A2337" t="s">
        <v>13039</v>
      </c>
      <c r="B2337" t="s">
        <v>4701</v>
      </c>
      <c r="C2337" t="s">
        <v>4702</v>
      </c>
      <c r="D2337" s="1" t="s">
        <v>427</v>
      </c>
      <c r="E2337" s="3">
        <v>11.66</v>
      </c>
      <c r="F2337" s="3">
        <f t="shared" si="72"/>
        <v>2.9464820000000005</v>
      </c>
      <c r="G2337" s="3">
        <f t="shared" si="73"/>
        <v>14.606482</v>
      </c>
    </row>
    <row r="2338" spans="1:7" x14ac:dyDescent="0.3">
      <c r="A2338" t="s">
        <v>13039</v>
      </c>
      <c r="B2338" t="s">
        <v>4703</v>
      </c>
      <c r="C2338" t="s">
        <v>4704</v>
      </c>
      <c r="D2338" s="1" t="s">
        <v>427</v>
      </c>
      <c r="E2338" s="3">
        <v>30.04</v>
      </c>
      <c r="F2338" s="3">
        <f t="shared" si="72"/>
        <v>7.5911080000000011</v>
      </c>
      <c r="G2338" s="3">
        <f t="shared" si="73"/>
        <v>37.631107999999998</v>
      </c>
    </row>
    <row r="2339" spans="1:7" x14ac:dyDescent="0.3">
      <c r="A2339" t="s">
        <v>13039</v>
      </c>
      <c r="B2339" t="s">
        <v>4705</v>
      </c>
      <c r="C2339" t="s">
        <v>4706</v>
      </c>
      <c r="D2339" s="1" t="s">
        <v>427</v>
      </c>
      <c r="E2339" s="3">
        <v>40.53</v>
      </c>
      <c r="F2339" s="3">
        <f t="shared" si="72"/>
        <v>10.241931000000001</v>
      </c>
      <c r="G2339" s="3">
        <f t="shared" si="73"/>
        <v>50.771931000000002</v>
      </c>
    </row>
    <row r="2340" spans="1:7" x14ac:dyDescent="0.3">
      <c r="A2340" t="s">
        <v>13039</v>
      </c>
      <c r="B2340" t="s">
        <v>4707</v>
      </c>
      <c r="C2340" t="s">
        <v>4708</v>
      </c>
      <c r="D2340" s="1" t="s">
        <v>427</v>
      </c>
      <c r="E2340" s="3">
        <v>9.84</v>
      </c>
      <c r="F2340" s="3">
        <f t="shared" si="72"/>
        <v>2.4865680000000001</v>
      </c>
      <c r="G2340" s="3">
        <f t="shared" si="73"/>
        <v>12.326568</v>
      </c>
    </row>
    <row r="2341" spans="1:7" x14ac:dyDescent="0.3">
      <c r="A2341" t="s">
        <v>13039</v>
      </c>
      <c r="B2341" t="s">
        <v>4709</v>
      </c>
      <c r="C2341" t="s">
        <v>4710</v>
      </c>
      <c r="D2341" s="1" t="s">
        <v>427</v>
      </c>
      <c r="E2341" s="3">
        <v>14.32</v>
      </c>
      <c r="F2341" s="3">
        <f t="shared" si="72"/>
        <v>3.6186640000000008</v>
      </c>
      <c r="G2341" s="3">
        <f t="shared" si="73"/>
        <v>17.938664000000003</v>
      </c>
    </row>
    <row r="2342" spans="1:7" x14ac:dyDescent="0.3">
      <c r="A2342" t="s">
        <v>13039</v>
      </c>
      <c r="B2342" t="s">
        <v>4711</v>
      </c>
      <c r="C2342" t="s">
        <v>4712</v>
      </c>
      <c r="D2342" s="1" t="s">
        <v>427</v>
      </c>
      <c r="E2342" s="3">
        <v>21.76</v>
      </c>
      <c r="F2342" s="3">
        <f t="shared" si="72"/>
        <v>5.4987520000000014</v>
      </c>
      <c r="G2342" s="3">
        <f t="shared" si="73"/>
        <v>27.258752000000001</v>
      </c>
    </row>
    <row r="2343" spans="1:7" x14ac:dyDescent="0.3">
      <c r="A2343" t="s">
        <v>13039</v>
      </c>
      <c r="B2343" t="s">
        <v>4713</v>
      </c>
      <c r="C2343" t="s">
        <v>4714</v>
      </c>
      <c r="D2343" s="1" t="s">
        <v>427</v>
      </c>
      <c r="E2343" s="3">
        <v>9.07</v>
      </c>
      <c r="F2343" s="3">
        <f t="shared" si="72"/>
        <v>2.2919890000000005</v>
      </c>
      <c r="G2343" s="3">
        <f t="shared" si="73"/>
        <v>11.361989000000001</v>
      </c>
    </row>
    <row r="2344" spans="1:7" x14ac:dyDescent="0.3">
      <c r="A2344" t="s">
        <v>13039</v>
      </c>
      <c r="B2344" t="s">
        <v>4715</v>
      </c>
      <c r="C2344" t="s">
        <v>4716</v>
      </c>
      <c r="D2344" s="1" t="s">
        <v>427</v>
      </c>
      <c r="E2344" s="3">
        <v>9.5299999999999994</v>
      </c>
      <c r="F2344" s="3">
        <f t="shared" si="72"/>
        <v>2.4082310000000002</v>
      </c>
      <c r="G2344" s="3">
        <f t="shared" si="73"/>
        <v>11.938231</v>
      </c>
    </row>
    <row r="2345" spans="1:7" x14ac:dyDescent="0.3">
      <c r="A2345" t="s">
        <v>13039</v>
      </c>
      <c r="B2345" t="s">
        <v>4717</v>
      </c>
      <c r="C2345" t="s">
        <v>4718</v>
      </c>
      <c r="D2345" s="1" t="s">
        <v>427</v>
      </c>
      <c r="E2345" s="3">
        <v>46.19</v>
      </c>
      <c r="F2345" s="3">
        <f t="shared" si="72"/>
        <v>11.672213000000001</v>
      </c>
      <c r="G2345" s="3">
        <f t="shared" si="73"/>
        <v>57.862212999999997</v>
      </c>
    </row>
    <row r="2346" spans="1:7" x14ac:dyDescent="0.3">
      <c r="A2346" t="s">
        <v>13039</v>
      </c>
      <c r="B2346" t="s">
        <v>4719</v>
      </c>
      <c r="C2346" t="s">
        <v>4720</v>
      </c>
      <c r="D2346" s="1" t="s">
        <v>427</v>
      </c>
      <c r="E2346" s="3">
        <v>56.29</v>
      </c>
      <c r="F2346" s="3">
        <f t="shared" si="72"/>
        <v>14.224483000000001</v>
      </c>
      <c r="G2346" s="3">
        <f t="shared" si="73"/>
        <v>70.514482999999998</v>
      </c>
    </row>
    <row r="2347" spans="1:7" x14ac:dyDescent="0.3">
      <c r="A2347" t="s">
        <v>13039</v>
      </c>
      <c r="B2347" t="s">
        <v>4721</v>
      </c>
      <c r="C2347" t="s">
        <v>4722</v>
      </c>
      <c r="D2347" s="1" t="s">
        <v>427</v>
      </c>
      <c r="E2347" s="3">
        <v>13.42</v>
      </c>
      <c r="F2347" s="3">
        <f t="shared" si="72"/>
        <v>3.3912340000000003</v>
      </c>
      <c r="G2347" s="3">
        <f t="shared" si="73"/>
        <v>16.811233999999999</v>
      </c>
    </row>
    <row r="2348" spans="1:7" x14ac:dyDescent="0.3">
      <c r="A2348" t="s">
        <v>13039</v>
      </c>
      <c r="B2348" t="s">
        <v>4723</v>
      </c>
      <c r="C2348" t="s">
        <v>4724</v>
      </c>
      <c r="D2348" s="1" t="s">
        <v>427</v>
      </c>
      <c r="E2348" s="3">
        <v>22.07</v>
      </c>
      <c r="F2348" s="3">
        <f t="shared" si="72"/>
        <v>5.5770890000000009</v>
      </c>
      <c r="G2348" s="3">
        <f t="shared" si="73"/>
        <v>27.647089000000001</v>
      </c>
    </row>
    <row r="2349" spans="1:7" x14ac:dyDescent="0.3">
      <c r="A2349" t="s">
        <v>13039</v>
      </c>
      <c r="B2349" t="s">
        <v>4725</v>
      </c>
      <c r="C2349" t="s">
        <v>4726</v>
      </c>
      <c r="D2349" s="1" t="s">
        <v>427</v>
      </c>
      <c r="E2349" s="3">
        <v>33.03</v>
      </c>
      <c r="F2349" s="3">
        <f t="shared" si="72"/>
        <v>8.346681000000002</v>
      </c>
      <c r="G2349" s="3">
        <f t="shared" si="73"/>
        <v>41.376681000000005</v>
      </c>
    </row>
    <row r="2350" spans="1:7" x14ac:dyDescent="0.3">
      <c r="A2350" t="s">
        <v>13039</v>
      </c>
      <c r="B2350" t="s">
        <v>4727</v>
      </c>
      <c r="C2350" t="s">
        <v>4728</v>
      </c>
      <c r="D2350" s="1" t="s">
        <v>427</v>
      </c>
      <c r="E2350" s="3">
        <v>36.47</v>
      </c>
      <c r="F2350" s="3">
        <f t="shared" si="72"/>
        <v>9.2159690000000012</v>
      </c>
      <c r="G2350" s="3">
        <f t="shared" si="73"/>
        <v>45.685969</v>
      </c>
    </row>
    <row r="2351" spans="1:7" x14ac:dyDescent="0.3">
      <c r="A2351" t="s">
        <v>13039</v>
      </c>
      <c r="B2351" t="s">
        <v>4729</v>
      </c>
      <c r="C2351" t="s">
        <v>4730</v>
      </c>
      <c r="D2351" s="1" t="s">
        <v>427</v>
      </c>
      <c r="E2351" s="3">
        <v>47.11</v>
      </c>
      <c r="F2351" s="3">
        <f t="shared" si="72"/>
        <v>11.904697000000002</v>
      </c>
      <c r="G2351" s="3">
        <f t="shared" si="73"/>
        <v>59.014696999999998</v>
      </c>
    </row>
    <row r="2352" spans="1:7" x14ac:dyDescent="0.3">
      <c r="A2352" t="s">
        <v>13039</v>
      </c>
      <c r="B2352" t="s">
        <v>4731</v>
      </c>
      <c r="C2352" t="s">
        <v>4732</v>
      </c>
      <c r="D2352" s="1" t="s">
        <v>427</v>
      </c>
      <c r="E2352" s="3">
        <v>60.56</v>
      </c>
      <c r="F2352" s="3">
        <f t="shared" si="72"/>
        <v>15.303512000000003</v>
      </c>
      <c r="G2352" s="3">
        <f t="shared" si="73"/>
        <v>75.863512</v>
      </c>
    </row>
    <row r="2353" spans="1:7" x14ac:dyDescent="0.3">
      <c r="A2353" t="s">
        <v>13039</v>
      </c>
      <c r="B2353" t="s">
        <v>4733</v>
      </c>
      <c r="C2353" t="s">
        <v>4734</v>
      </c>
      <c r="D2353" s="1" t="s">
        <v>427</v>
      </c>
      <c r="E2353" s="3">
        <v>65.73</v>
      </c>
      <c r="F2353" s="3">
        <f t="shared" si="72"/>
        <v>16.609971000000002</v>
      </c>
      <c r="G2353" s="3">
        <f t="shared" si="73"/>
        <v>82.339971000000006</v>
      </c>
    </row>
    <row r="2354" spans="1:7" x14ac:dyDescent="0.3">
      <c r="A2354" t="s">
        <v>13039</v>
      </c>
      <c r="B2354" t="s">
        <v>4735</v>
      </c>
      <c r="C2354" t="s">
        <v>4736</v>
      </c>
      <c r="D2354" s="1" t="s">
        <v>427</v>
      </c>
      <c r="E2354" s="3">
        <v>16.739999999999998</v>
      </c>
      <c r="F2354" s="3">
        <f t="shared" si="72"/>
        <v>4.2301980000000006</v>
      </c>
      <c r="G2354" s="3">
        <f t="shared" si="73"/>
        <v>20.970198</v>
      </c>
    </row>
    <row r="2355" spans="1:7" x14ac:dyDescent="0.3">
      <c r="A2355" t="s">
        <v>13039</v>
      </c>
      <c r="B2355" t="s">
        <v>4737</v>
      </c>
      <c r="C2355" t="s">
        <v>4738</v>
      </c>
      <c r="D2355" s="1" t="s">
        <v>427</v>
      </c>
      <c r="E2355" s="3">
        <v>21.47</v>
      </c>
      <c r="F2355" s="3">
        <f t="shared" si="72"/>
        <v>5.4254690000000005</v>
      </c>
      <c r="G2355" s="3">
        <f t="shared" si="73"/>
        <v>26.895468999999999</v>
      </c>
    </row>
    <row r="2356" spans="1:7" x14ac:dyDescent="0.3">
      <c r="A2356" t="s">
        <v>13039</v>
      </c>
      <c r="B2356" t="s">
        <v>4739</v>
      </c>
      <c r="C2356" t="s">
        <v>4740</v>
      </c>
      <c r="D2356" s="1" t="s">
        <v>427</v>
      </c>
      <c r="E2356" s="3">
        <v>27.41</v>
      </c>
      <c r="F2356" s="3">
        <f t="shared" si="72"/>
        <v>6.9265070000000009</v>
      </c>
      <c r="G2356" s="3">
        <f t="shared" si="73"/>
        <v>34.336506999999997</v>
      </c>
    </row>
    <row r="2357" spans="1:7" x14ac:dyDescent="0.3">
      <c r="A2357" t="s">
        <v>13039</v>
      </c>
      <c r="B2357" t="s">
        <v>4741</v>
      </c>
      <c r="C2357" t="s">
        <v>4742</v>
      </c>
      <c r="D2357" s="1" t="s">
        <v>427</v>
      </c>
      <c r="E2357" s="3">
        <v>11.82</v>
      </c>
      <c r="F2357" s="3">
        <f t="shared" si="72"/>
        <v>2.9869140000000005</v>
      </c>
      <c r="G2357" s="3">
        <f t="shared" si="73"/>
        <v>14.806914000000001</v>
      </c>
    </row>
    <row r="2358" spans="1:7" x14ac:dyDescent="0.3">
      <c r="A2358" t="s">
        <v>13039</v>
      </c>
      <c r="B2358" t="s">
        <v>4743</v>
      </c>
      <c r="C2358" t="s">
        <v>4744</v>
      </c>
      <c r="D2358" s="1" t="s">
        <v>427</v>
      </c>
      <c r="E2358" s="3">
        <v>27.18</v>
      </c>
      <c r="F2358" s="3">
        <f t="shared" si="72"/>
        <v>6.868386000000001</v>
      </c>
      <c r="G2358" s="3">
        <f t="shared" si="73"/>
        <v>34.048386000000001</v>
      </c>
    </row>
    <row r="2359" spans="1:7" x14ac:dyDescent="0.3">
      <c r="A2359" t="s">
        <v>13039</v>
      </c>
      <c r="B2359" t="s">
        <v>4745</v>
      </c>
      <c r="C2359" t="s">
        <v>4746</v>
      </c>
      <c r="D2359" s="1" t="s">
        <v>427</v>
      </c>
      <c r="E2359" s="3">
        <v>27.72</v>
      </c>
      <c r="F2359" s="3">
        <f t="shared" si="72"/>
        <v>7.0048440000000003</v>
      </c>
      <c r="G2359" s="3">
        <f t="shared" si="73"/>
        <v>34.724843999999997</v>
      </c>
    </row>
    <row r="2360" spans="1:7" x14ac:dyDescent="0.3">
      <c r="A2360" t="s">
        <v>13039</v>
      </c>
      <c r="B2360" t="s">
        <v>4747</v>
      </c>
      <c r="C2360" t="s">
        <v>4748</v>
      </c>
      <c r="D2360" s="1" t="s">
        <v>427</v>
      </c>
      <c r="E2360" s="3">
        <v>28.28</v>
      </c>
      <c r="F2360" s="3">
        <f t="shared" si="72"/>
        <v>7.1463560000000017</v>
      </c>
      <c r="G2360" s="3">
        <f t="shared" si="73"/>
        <v>35.426356000000006</v>
      </c>
    </row>
    <row r="2361" spans="1:7" x14ac:dyDescent="0.3">
      <c r="A2361" t="s">
        <v>13039</v>
      </c>
      <c r="B2361" t="s">
        <v>4749</v>
      </c>
      <c r="C2361" t="s">
        <v>4750</v>
      </c>
      <c r="D2361" s="1" t="s">
        <v>427</v>
      </c>
      <c r="E2361" s="3">
        <v>28.86</v>
      </c>
      <c r="F2361" s="3">
        <f t="shared" si="72"/>
        <v>7.2929220000000008</v>
      </c>
      <c r="G2361" s="3">
        <f t="shared" si="73"/>
        <v>36.152922000000004</v>
      </c>
    </row>
    <row r="2362" spans="1:7" x14ac:dyDescent="0.3">
      <c r="A2362" t="s">
        <v>13039</v>
      </c>
      <c r="B2362" t="s">
        <v>4751</v>
      </c>
      <c r="C2362" t="s">
        <v>4752</v>
      </c>
      <c r="D2362" s="1" t="s">
        <v>427</v>
      </c>
      <c r="E2362" s="3">
        <v>29.48</v>
      </c>
      <c r="F2362" s="3">
        <f t="shared" si="72"/>
        <v>7.4495960000000014</v>
      </c>
      <c r="G2362" s="3">
        <f t="shared" si="73"/>
        <v>36.929596000000004</v>
      </c>
    </row>
    <row r="2363" spans="1:7" x14ac:dyDescent="0.3">
      <c r="A2363" t="s">
        <v>13039</v>
      </c>
      <c r="B2363" t="s">
        <v>4753</v>
      </c>
      <c r="C2363" t="s">
        <v>4754</v>
      </c>
      <c r="D2363" s="1" t="s">
        <v>427</v>
      </c>
      <c r="E2363" s="3">
        <v>29.81</v>
      </c>
      <c r="F2363" s="3">
        <f t="shared" si="72"/>
        <v>7.5329870000000003</v>
      </c>
      <c r="G2363" s="3">
        <f t="shared" si="73"/>
        <v>37.342987000000001</v>
      </c>
    </row>
    <row r="2364" spans="1:7" x14ac:dyDescent="0.3">
      <c r="A2364" t="s">
        <v>13039</v>
      </c>
      <c r="B2364" t="s">
        <v>4755</v>
      </c>
      <c r="C2364" t="s">
        <v>4756</v>
      </c>
      <c r="D2364" s="1" t="s">
        <v>427</v>
      </c>
      <c r="E2364" s="3">
        <v>15.19</v>
      </c>
      <c r="F2364" s="3">
        <f t="shared" si="72"/>
        <v>3.8385130000000003</v>
      </c>
      <c r="G2364" s="3">
        <f t="shared" si="73"/>
        <v>19.028513</v>
      </c>
    </row>
    <row r="2365" spans="1:7" x14ac:dyDescent="0.3">
      <c r="A2365" t="s">
        <v>13039</v>
      </c>
      <c r="B2365" t="s">
        <v>4757</v>
      </c>
      <c r="C2365" t="s">
        <v>4758</v>
      </c>
      <c r="D2365" s="1" t="s">
        <v>427</v>
      </c>
      <c r="E2365" s="3">
        <v>15.33</v>
      </c>
      <c r="F2365" s="3">
        <f t="shared" si="72"/>
        <v>3.8738910000000004</v>
      </c>
      <c r="G2365" s="3">
        <f t="shared" si="73"/>
        <v>19.203890999999999</v>
      </c>
    </row>
    <row r="2366" spans="1:7" x14ac:dyDescent="0.3">
      <c r="A2366" t="s">
        <v>13039</v>
      </c>
      <c r="B2366" t="s">
        <v>4759</v>
      </c>
      <c r="C2366" t="s">
        <v>4760</v>
      </c>
      <c r="D2366" s="1" t="s">
        <v>427</v>
      </c>
      <c r="E2366" s="3">
        <v>15.47</v>
      </c>
      <c r="F2366" s="3">
        <f t="shared" si="72"/>
        <v>3.9092690000000005</v>
      </c>
      <c r="G2366" s="3">
        <f t="shared" si="73"/>
        <v>19.379269000000001</v>
      </c>
    </row>
    <row r="2367" spans="1:7" x14ac:dyDescent="0.3">
      <c r="A2367" t="s">
        <v>13039</v>
      </c>
      <c r="B2367" t="s">
        <v>4761</v>
      </c>
      <c r="C2367" t="s">
        <v>4762</v>
      </c>
      <c r="D2367" s="1" t="s">
        <v>427</v>
      </c>
      <c r="E2367" s="3">
        <v>15.62</v>
      </c>
      <c r="F2367" s="3">
        <f t="shared" si="72"/>
        <v>3.9471740000000004</v>
      </c>
      <c r="G2367" s="3">
        <f t="shared" si="73"/>
        <v>19.567174000000001</v>
      </c>
    </row>
    <row r="2368" spans="1:7" x14ac:dyDescent="0.3">
      <c r="A2368" t="s">
        <v>13039</v>
      </c>
      <c r="B2368" t="s">
        <v>4763</v>
      </c>
      <c r="C2368" t="s">
        <v>4764</v>
      </c>
      <c r="D2368" s="1" t="s">
        <v>427</v>
      </c>
      <c r="E2368" s="3">
        <v>15.77</v>
      </c>
      <c r="F2368" s="3">
        <f t="shared" si="72"/>
        <v>3.9850790000000003</v>
      </c>
      <c r="G2368" s="3">
        <f t="shared" si="73"/>
        <v>19.755078999999999</v>
      </c>
    </row>
    <row r="2369" spans="1:7" x14ac:dyDescent="0.3">
      <c r="A2369" t="s">
        <v>13039</v>
      </c>
      <c r="B2369" t="s">
        <v>4765</v>
      </c>
      <c r="C2369" t="s">
        <v>4766</v>
      </c>
      <c r="D2369" s="1" t="s">
        <v>427</v>
      </c>
      <c r="E2369" s="3">
        <v>15.86</v>
      </c>
      <c r="F2369" s="3">
        <f t="shared" si="72"/>
        <v>4.007822</v>
      </c>
      <c r="G2369" s="3">
        <f t="shared" si="73"/>
        <v>19.867822</v>
      </c>
    </row>
    <row r="2370" spans="1:7" x14ac:dyDescent="0.3">
      <c r="A2370" t="s">
        <v>13039</v>
      </c>
      <c r="B2370" t="s">
        <v>4767</v>
      </c>
      <c r="C2370" t="s">
        <v>4768</v>
      </c>
      <c r="D2370" s="1" t="s">
        <v>427</v>
      </c>
      <c r="E2370" s="3">
        <v>19.760000000000002</v>
      </c>
      <c r="F2370" s="3">
        <f t="shared" si="72"/>
        <v>4.9933520000000007</v>
      </c>
      <c r="G2370" s="3">
        <f t="shared" si="73"/>
        <v>24.753352000000003</v>
      </c>
    </row>
    <row r="2371" spans="1:7" x14ac:dyDescent="0.3">
      <c r="A2371" t="s">
        <v>13039</v>
      </c>
      <c r="B2371" t="s">
        <v>4769</v>
      </c>
      <c r="C2371" t="s">
        <v>4770</v>
      </c>
      <c r="D2371" s="1" t="s">
        <v>427</v>
      </c>
      <c r="E2371" s="3">
        <v>19.88</v>
      </c>
      <c r="F2371" s="3">
        <f t="shared" si="72"/>
        <v>5.023676</v>
      </c>
      <c r="G2371" s="3">
        <f t="shared" si="73"/>
        <v>24.903675999999997</v>
      </c>
    </row>
    <row r="2372" spans="1:7" x14ac:dyDescent="0.3">
      <c r="A2372" t="s">
        <v>13039</v>
      </c>
      <c r="B2372" t="s">
        <v>4771</v>
      </c>
      <c r="C2372" t="s">
        <v>4772</v>
      </c>
      <c r="D2372" s="1" t="s">
        <v>427</v>
      </c>
      <c r="E2372" s="3">
        <v>20.02</v>
      </c>
      <c r="F2372" s="3">
        <f t="shared" si="72"/>
        <v>5.0590540000000006</v>
      </c>
      <c r="G2372" s="3">
        <f t="shared" si="73"/>
        <v>25.079053999999999</v>
      </c>
    </row>
    <row r="2373" spans="1:7" x14ac:dyDescent="0.3">
      <c r="A2373" t="s">
        <v>13039</v>
      </c>
      <c r="B2373" t="s">
        <v>4773</v>
      </c>
      <c r="C2373" t="s">
        <v>4774</v>
      </c>
      <c r="D2373" s="1" t="s">
        <v>427</v>
      </c>
      <c r="E2373" s="3">
        <v>20.149999999999999</v>
      </c>
      <c r="F2373" s="3">
        <f t="shared" si="72"/>
        <v>5.0919050000000006</v>
      </c>
      <c r="G2373" s="3">
        <f t="shared" si="73"/>
        <v>25.241904999999999</v>
      </c>
    </row>
    <row r="2374" spans="1:7" x14ac:dyDescent="0.3">
      <c r="A2374" t="s">
        <v>13039</v>
      </c>
      <c r="B2374" t="s">
        <v>4775</v>
      </c>
      <c r="C2374" t="s">
        <v>4776</v>
      </c>
      <c r="D2374" s="1" t="s">
        <v>427</v>
      </c>
      <c r="E2374" s="3">
        <v>20.3</v>
      </c>
      <c r="F2374" s="3">
        <f t="shared" si="72"/>
        <v>5.1298100000000009</v>
      </c>
      <c r="G2374" s="3">
        <f t="shared" si="73"/>
        <v>25.429810000000003</v>
      </c>
    </row>
    <row r="2375" spans="1:7" x14ac:dyDescent="0.3">
      <c r="A2375" t="s">
        <v>13039</v>
      </c>
      <c r="B2375" t="s">
        <v>4777</v>
      </c>
      <c r="C2375" t="s">
        <v>4778</v>
      </c>
      <c r="D2375" s="1" t="s">
        <v>427</v>
      </c>
      <c r="E2375" s="3">
        <v>20.38</v>
      </c>
      <c r="F2375" s="3">
        <f t="shared" ref="F2375:F2438" si="74">+E2375*$F$4</f>
        <v>5.1500260000000004</v>
      </c>
      <c r="G2375" s="3">
        <f t="shared" ref="G2375:G2438" si="75">+E2375+F2375</f>
        <v>25.530025999999999</v>
      </c>
    </row>
    <row r="2376" spans="1:7" x14ac:dyDescent="0.3">
      <c r="A2376" t="s">
        <v>13039</v>
      </c>
      <c r="B2376" t="s">
        <v>4779</v>
      </c>
      <c r="C2376" t="s">
        <v>4780</v>
      </c>
      <c r="D2376" s="1" t="s">
        <v>427</v>
      </c>
      <c r="E2376" s="3">
        <v>18.05</v>
      </c>
      <c r="F2376" s="3">
        <f t="shared" si="74"/>
        <v>4.5612350000000008</v>
      </c>
      <c r="G2376" s="3">
        <f t="shared" si="75"/>
        <v>22.611235000000001</v>
      </c>
    </row>
    <row r="2377" spans="1:7" x14ac:dyDescent="0.3">
      <c r="A2377" t="s">
        <v>13039</v>
      </c>
      <c r="B2377" t="s">
        <v>4781</v>
      </c>
      <c r="C2377" t="s">
        <v>4782</v>
      </c>
      <c r="D2377" s="1" t="s">
        <v>427</v>
      </c>
      <c r="E2377" s="3">
        <v>18.37</v>
      </c>
      <c r="F2377" s="3">
        <f t="shared" si="74"/>
        <v>4.6420990000000009</v>
      </c>
      <c r="G2377" s="3">
        <f t="shared" si="75"/>
        <v>23.012099000000003</v>
      </c>
    </row>
    <row r="2378" spans="1:7" x14ac:dyDescent="0.3">
      <c r="A2378" t="s">
        <v>13039</v>
      </c>
      <c r="B2378" t="s">
        <v>4783</v>
      </c>
      <c r="C2378" t="s">
        <v>4784</v>
      </c>
      <c r="D2378" s="1" t="s">
        <v>427</v>
      </c>
      <c r="E2378" s="3">
        <v>18.690000000000001</v>
      </c>
      <c r="F2378" s="3">
        <f t="shared" si="74"/>
        <v>4.7229630000000009</v>
      </c>
      <c r="G2378" s="3">
        <f t="shared" si="75"/>
        <v>23.412963000000001</v>
      </c>
    </row>
    <row r="2379" spans="1:7" x14ac:dyDescent="0.3">
      <c r="A2379" t="s">
        <v>13039</v>
      </c>
      <c r="B2379" t="s">
        <v>4785</v>
      </c>
      <c r="C2379" t="s">
        <v>4786</v>
      </c>
      <c r="D2379" s="1" t="s">
        <v>427</v>
      </c>
      <c r="E2379" s="3">
        <v>19.03</v>
      </c>
      <c r="F2379" s="3">
        <f t="shared" si="74"/>
        <v>4.8088810000000013</v>
      </c>
      <c r="G2379" s="3">
        <f t="shared" si="75"/>
        <v>23.838881000000001</v>
      </c>
    </row>
    <row r="2380" spans="1:7" x14ac:dyDescent="0.3">
      <c r="A2380" t="s">
        <v>13039</v>
      </c>
      <c r="B2380" t="s">
        <v>4787</v>
      </c>
      <c r="C2380" t="s">
        <v>4788</v>
      </c>
      <c r="D2380" s="1" t="s">
        <v>427</v>
      </c>
      <c r="E2380" s="3">
        <v>19.399999999999999</v>
      </c>
      <c r="F2380" s="3">
        <f t="shared" si="74"/>
        <v>4.90238</v>
      </c>
      <c r="G2380" s="3">
        <f t="shared" si="75"/>
        <v>24.302379999999999</v>
      </c>
    </row>
    <row r="2381" spans="1:7" x14ac:dyDescent="0.3">
      <c r="A2381" t="s">
        <v>13039</v>
      </c>
      <c r="B2381" t="s">
        <v>4789</v>
      </c>
      <c r="C2381" t="s">
        <v>4790</v>
      </c>
      <c r="D2381" s="1" t="s">
        <v>427</v>
      </c>
      <c r="E2381" s="3">
        <v>19.59</v>
      </c>
      <c r="F2381" s="3">
        <f t="shared" si="74"/>
        <v>4.9503930000000009</v>
      </c>
      <c r="G2381" s="3">
        <f t="shared" si="75"/>
        <v>24.540393000000002</v>
      </c>
    </row>
    <row r="2382" spans="1:7" x14ac:dyDescent="0.3">
      <c r="A2382" t="s">
        <v>13039</v>
      </c>
      <c r="B2382" t="s">
        <v>4791</v>
      </c>
      <c r="C2382" t="s">
        <v>4792</v>
      </c>
      <c r="D2382" s="1" t="s">
        <v>427</v>
      </c>
      <c r="E2382" s="3">
        <v>24.45</v>
      </c>
      <c r="F2382" s="3">
        <f t="shared" si="74"/>
        <v>6.1785150000000009</v>
      </c>
      <c r="G2382" s="3">
        <f t="shared" si="75"/>
        <v>30.628515</v>
      </c>
    </row>
    <row r="2383" spans="1:7" x14ac:dyDescent="0.3">
      <c r="A2383" t="s">
        <v>13039</v>
      </c>
      <c r="B2383" t="s">
        <v>4793</v>
      </c>
      <c r="C2383" t="s">
        <v>4794</v>
      </c>
      <c r="D2383" s="1" t="s">
        <v>427</v>
      </c>
      <c r="E2383" s="3">
        <v>24.57</v>
      </c>
      <c r="F2383" s="3">
        <f t="shared" si="74"/>
        <v>6.2088390000000011</v>
      </c>
      <c r="G2383" s="3">
        <f t="shared" si="75"/>
        <v>30.778839000000001</v>
      </c>
    </row>
    <row r="2384" spans="1:7" x14ac:dyDescent="0.3">
      <c r="A2384" t="s">
        <v>13039</v>
      </c>
      <c r="B2384" t="s">
        <v>4795</v>
      </c>
      <c r="C2384" t="s">
        <v>4796</v>
      </c>
      <c r="D2384" s="1" t="s">
        <v>427</v>
      </c>
      <c r="E2384" s="3">
        <v>24.7</v>
      </c>
      <c r="F2384" s="3">
        <f t="shared" si="74"/>
        <v>6.2416900000000011</v>
      </c>
      <c r="G2384" s="3">
        <f t="shared" si="75"/>
        <v>30.941690000000001</v>
      </c>
    </row>
    <row r="2385" spans="1:7" x14ac:dyDescent="0.3">
      <c r="A2385" t="s">
        <v>13039</v>
      </c>
      <c r="B2385" t="s">
        <v>4797</v>
      </c>
      <c r="C2385" t="s">
        <v>4798</v>
      </c>
      <c r="D2385" s="1" t="s">
        <v>427</v>
      </c>
      <c r="E2385" s="3">
        <v>24.83</v>
      </c>
      <c r="F2385" s="3">
        <f t="shared" si="74"/>
        <v>6.2745410000000001</v>
      </c>
      <c r="G2385" s="3">
        <f t="shared" si="75"/>
        <v>31.104540999999998</v>
      </c>
    </row>
    <row r="2386" spans="1:7" x14ac:dyDescent="0.3">
      <c r="A2386" t="s">
        <v>13039</v>
      </c>
      <c r="B2386" t="s">
        <v>4799</v>
      </c>
      <c r="C2386" t="s">
        <v>4800</v>
      </c>
      <c r="D2386" s="1" t="s">
        <v>427</v>
      </c>
      <c r="E2386" s="3">
        <v>24.97</v>
      </c>
      <c r="F2386" s="3">
        <f t="shared" si="74"/>
        <v>6.3099190000000007</v>
      </c>
      <c r="G2386" s="3">
        <f t="shared" si="75"/>
        <v>31.279919</v>
      </c>
    </row>
    <row r="2387" spans="1:7" x14ac:dyDescent="0.3">
      <c r="A2387" t="s">
        <v>13039</v>
      </c>
      <c r="B2387" t="s">
        <v>4801</v>
      </c>
      <c r="C2387" t="s">
        <v>4802</v>
      </c>
      <c r="D2387" s="1" t="s">
        <v>427</v>
      </c>
      <c r="E2387" s="3">
        <v>25.05</v>
      </c>
      <c r="F2387" s="3">
        <f t="shared" si="74"/>
        <v>6.3301350000000012</v>
      </c>
      <c r="G2387" s="3">
        <f t="shared" si="75"/>
        <v>31.380135000000003</v>
      </c>
    </row>
    <row r="2388" spans="1:7" x14ac:dyDescent="0.3">
      <c r="A2388" t="s">
        <v>13039</v>
      </c>
      <c r="B2388" t="s">
        <v>4803</v>
      </c>
      <c r="C2388" t="s">
        <v>4804</v>
      </c>
      <c r="D2388" s="1" t="s">
        <v>427</v>
      </c>
      <c r="E2388" s="3">
        <v>16.46</v>
      </c>
      <c r="F2388" s="3">
        <f t="shared" si="74"/>
        <v>4.1594420000000012</v>
      </c>
      <c r="G2388" s="3">
        <f t="shared" si="75"/>
        <v>20.619442000000003</v>
      </c>
    </row>
    <row r="2389" spans="1:7" x14ac:dyDescent="0.3">
      <c r="A2389" t="s">
        <v>13039</v>
      </c>
      <c r="B2389" t="s">
        <v>4805</v>
      </c>
      <c r="C2389" t="s">
        <v>4806</v>
      </c>
      <c r="D2389" s="1" t="s">
        <v>427</v>
      </c>
      <c r="E2389" s="3">
        <v>16.71</v>
      </c>
      <c r="F2389" s="3">
        <f t="shared" si="74"/>
        <v>4.2226170000000005</v>
      </c>
      <c r="G2389" s="3">
        <f t="shared" si="75"/>
        <v>20.932617</v>
      </c>
    </row>
    <row r="2390" spans="1:7" x14ac:dyDescent="0.3">
      <c r="A2390" t="s">
        <v>13039</v>
      </c>
      <c r="B2390" t="s">
        <v>4807</v>
      </c>
      <c r="C2390" t="s">
        <v>4808</v>
      </c>
      <c r="D2390" s="1" t="s">
        <v>427</v>
      </c>
      <c r="E2390" s="3">
        <v>16.97</v>
      </c>
      <c r="F2390" s="3">
        <f t="shared" si="74"/>
        <v>4.2883190000000004</v>
      </c>
      <c r="G2390" s="3">
        <f t="shared" si="75"/>
        <v>21.258319</v>
      </c>
    </row>
    <row r="2391" spans="1:7" x14ac:dyDescent="0.3">
      <c r="A2391" t="s">
        <v>13039</v>
      </c>
      <c r="B2391" t="s">
        <v>4809</v>
      </c>
      <c r="C2391" t="s">
        <v>4810</v>
      </c>
      <c r="D2391" s="1" t="s">
        <v>427</v>
      </c>
      <c r="E2391" s="3">
        <v>17.239999999999998</v>
      </c>
      <c r="F2391" s="3">
        <f t="shared" si="74"/>
        <v>4.3565480000000001</v>
      </c>
      <c r="G2391" s="3">
        <f t="shared" si="75"/>
        <v>21.596547999999999</v>
      </c>
    </row>
    <row r="2392" spans="1:7" x14ac:dyDescent="0.3">
      <c r="A2392" t="s">
        <v>13039</v>
      </c>
      <c r="B2392" t="s">
        <v>4811</v>
      </c>
      <c r="C2392" t="s">
        <v>4812</v>
      </c>
      <c r="D2392" s="1" t="s">
        <v>427</v>
      </c>
      <c r="E2392" s="3">
        <v>17.52</v>
      </c>
      <c r="F2392" s="3">
        <f t="shared" si="74"/>
        <v>4.4273040000000004</v>
      </c>
      <c r="G2392" s="3">
        <f t="shared" si="75"/>
        <v>21.947303999999999</v>
      </c>
    </row>
    <row r="2393" spans="1:7" x14ac:dyDescent="0.3">
      <c r="A2393" t="s">
        <v>13039</v>
      </c>
      <c r="B2393" t="s">
        <v>4813</v>
      </c>
      <c r="C2393" t="s">
        <v>4814</v>
      </c>
      <c r="D2393" s="1" t="s">
        <v>427</v>
      </c>
      <c r="E2393" s="3">
        <v>17.670000000000002</v>
      </c>
      <c r="F2393" s="3">
        <f t="shared" si="74"/>
        <v>4.4652090000000006</v>
      </c>
      <c r="G2393" s="3">
        <f t="shared" si="75"/>
        <v>22.135209000000003</v>
      </c>
    </row>
    <row r="2394" spans="1:7" x14ac:dyDescent="0.3">
      <c r="A2394" t="s">
        <v>13039</v>
      </c>
      <c r="B2394" t="s">
        <v>4815</v>
      </c>
      <c r="C2394" t="s">
        <v>4816</v>
      </c>
      <c r="D2394" s="1" t="s">
        <v>427</v>
      </c>
      <c r="E2394" s="3">
        <v>15.31</v>
      </c>
      <c r="F2394" s="3">
        <f t="shared" si="74"/>
        <v>3.8688370000000005</v>
      </c>
      <c r="G2394" s="3">
        <f t="shared" si="75"/>
        <v>19.178837000000001</v>
      </c>
    </row>
    <row r="2395" spans="1:7" x14ac:dyDescent="0.3">
      <c r="A2395" t="s">
        <v>13039</v>
      </c>
      <c r="B2395" t="s">
        <v>4817</v>
      </c>
      <c r="C2395" t="s">
        <v>4818</v>
      </c>
      <c r="D2395" s="1" t="s">
        <v>427</v>
      </c>
      <c r="E2395" s="3">
        <v>15.52</v>
      </c>
      <c r="F2395" s="3">
        <f t="shared" si="74"/>
        <v>3.9219040000000005</v>
      </c>
      <c r="G2395" s="3">
        <f t="shared" si="75"/>
        <v>19.441904000000001</v>
      </c>
    </row>
    <row r="2396" spans="1:7" x14ac:dyDescent="0.3">
      <c r="A2396" t="s">
        <v>13039</v>
      </c>
      <c r="B2396" t="s">
        <v>4819</v>
      </c>
      <c r="C2396" t="s">
        <v>4820</v>
      </c>
      <c r="D2396" s="1" t="s">
        <v>427</v>
      </c>
      <c r="E2396" s="3">
        <v>15.74</v>
      </c>
      <c r="F2396" s="3">
        <f t="shared" si="74"/>
        <v>3.9774980000000006</v>
      </c>
      <c r="G2396" s="3">
        <f t="shared" si="75"/>
        <v>19.717497999999999</v>
      </c>
    </row>
    <row r="2397" spans="1:7" x14ac:dyDescent="0.3">
      <c r="A2397" t="s">
        <v>13039</v>
      </c>
      <c r="B2397" t="s">
        <v>4821</v>
      </c>
      <c r="C2397" t="s">
        <v>4822</v>
      </c>
      <c r="D2397" s="1" t="s">
        <v>427</v>
      </c>
      <c r="E2397" s="3">
        <v>15.97</v>
      </c>
      <c r="F2397" s="3">
        <f t="shared" si="74"/>
        <v>4.0356190000000005</v>
      </c>
      <c r="G2397" s="3">
        <f t="shared" si="75"/>
        <v>20.005619000000003</v>
      </c>
    </row>
    <row r="2398" spans="1:7" x14ac:dyDescent="0.3">
      <c r="A2398" t="s">
        <v>13039</v>
      </c>
      <c r="B2398" t="s">
        <v>4823</v>
      </c>
      <c r="C2398" t="s">
        <v>4824</v>
      </c>
      <c r="D2398" s="1" t="s">
        <v>427</v>
      </c>
      <c r="E2398" s="3">
        <v>16.22</v>
      </c>
      <c r="F2398" s="3">
        <f t="shared" si="74"/>
        <v>4.0987940000000007</v>
      </c>
      <c r="G2398" s="3">
        <f t="shared" si="75"/>
        <v>20.318794</v>
      </c>
    </row>
    <row r="2399" spans="1:7" x14ac:dyDescent="0.3">
      <c r="A2399" t="s">
        <v>13039</v>
      </c>
      <c r="B2399" t="s">
        <v>4825</v>
      </c>
      <c r="C2399" t="s">
        <v>4826</v>
      </c>
      <c r="D2399" s="1" t="s">
        <v>427</v>
      </c>
      <c r="E2399" s="3">
        <v>16.350000000000001</v>
      </c>
      <c r="F2399" s="3">
        <f t="shared" si="74"/>
        <v>4.1316450000000007</v>
      </c>
      <c r="G2399" s="3">
        <f t="shared" si="75"/>
        <v>20.481645</v>
      </c>
    </row>
    <row r="2400" spans="1:7" x14ac:dyDescent="0.3">
      <c r="A2400" t="s">
        <v>13039</v>
      </c>
      <c r="B2400" t="s">
        <v>4827</v>
      </c>
      <c r="C2400" t="s">
        <v>4828</v>
      </c>
      <c r="D2400" s="1" t="s">
        <v>427</v>
      </c>
      <c r="E2400" s="3">
        <v>16.64</v>
      </c>
      <c r="F2400" s="3">
        <f t="shared" si="74"/>
        <v>4.2049280000000007</v>
      </c>
      <c r="G2400" s="3">
        <f t="shared" si="75"/>
        <v>20.844928000000003</v>
      </c>
    </row>
    <row r="2401" spans="1:7" x14ac:dyDescent="0.3">
      <c r="A2401" t="s">
        <v>13039</v>
      </c>
      <c r="B2401" t="s">
        <v>4829</v>
      </c>
      <c r="C2401" t="s">
        <v>4830</v>
      </c>
      <c r="D2401" s="1" t="s">
        <v>427</v>
      </c>
      <c r="E2401" s="3">
        <v>16.829999999999998</v>
      </c>
      <c r="F2401" s="3">
        <f t="shared" si="74"/>
        <v>4.2529409999999999</v>
      </c>
      <c r="G2401" s="3">
        <f t="shared" si="75"/>
        <v>21.082940999999998</v>
      </c>
    </row>
    <row r="2402" spans="1:7" x14ac:dyDescent="0.3">
      <c r="A2402" t="s">
        <v>13039</v>
      </c>
      <c r="B2402" t="s">
        <v>4831</v>
      </c>
      <c r="C2402" t="s">
        <v>4832</v>
      </c>
      <c r="D2402" s="1" t="s">
        <v>427</v>
      </c>
      <c r="E2402" s="3">
        <v>17.02</v>
      </c>
      <c r="F2402" s="3">
        <f t="shared" si="74"/>
        <v>4.3009540000000008</v>
      </c>
      <c r="G2402" s="3">
        <f t="shared" si="75"/>
        <v>21.320954</v>
      </c>
    </row>
    <row r="2403" spans="1:7" x14ac:dyDescent="0.3">
      <c r="A2403" t="s">
        <v>13039</v>
      </c>
      <c r="B2403" t="s">
        <v>4833</v>
      </c>
      <c r="C2403" t="s">
        <v>4834</v>
      </c>
      <c r="D2403" s="1" t="s">
        <v>427</v>
      </c>
      <c r="E2403" s="3">
        <v>17.22</v>
      </c>
      <c r="F2403" s="3">
        <f t="shared" si="74"/>
        <v>4.3514940000000006</v>
      </c>
      <c r="G2403" s="3">
        <f t="shared" si="75"/>
        <v>21.571494000000001</v>
      </c>
    </row>
    <row r="2404" spans="1:7" x14ac:dyDescent="0.3">
      <c r="A2404" t="s">
        <v>13039</v>
      </c>
      <c r="B2404" t="s">
        <v>4835</v>
      </c>
      <c r="C2404" t="s">
        <v>4836</v>
      </c>
      <c r="D2404" s="1" t="s">
        <v>427</v>
      </c>
      <c r="E2404" s="3">
        <v>17.440000000000001</v>
      </c>
      <c r="F2404" s="3">
        <f t="shared" si="74"/>
        <v>4.4070880000000008</v>
      </c>
      <c r="G2404" s="3">
        <f t="shared" si="75"/>
        <v>21.847088000000003</v>
      </c>
    </row>
    <row r="2405" spans="1:7" x14ac:dyDescent="0.3">
      <c r="A2405" t="s">
        <v>13039</v>
      </c>
      <c r="B2405" t="s">
        <v>4837</v>
      </c>
      <c r="C2405" t="s">
        <v>4838</v>
      </c>
      <c r="D2405" s="1" t="s">
        <v>427</v>
      </c>
      <c r="E2405" s="3">
        <v>17.55</v>
      </c>
      <c r="F2405" s="3">
        <f t="shared" si="74"/>
        <v>4.4348850000000004</v>
      </c>
      <c r="G2405" s="3">
        <f t="shared" si="75"/>
        <v>21.984885000000002</v>
      </c>
    </row>
    <row r="2406" spans="1:7" x14ac:dyDescent="0.3">
      <c r="A2406" t="s">
        <v>13039</v>
      </c>
      <c r="B2406" t="s">
        <v>4839</v>
      </c>
      <c r="C2406" t="s">
        <v>4840</v>
      </c>
      <c r="D2406" s="1" t="s">
        <v>427</v>
      </c>
      <c r="E2406" s="3">
        <v>37.67</v>
      </c>
      <c r="F2406" s="3">
        <f t="shared" si="74"/>
        <v>9.5192090000000018</v>
      </c>
      <c r="G2406" s="3">
        <f t="shared" si="75"/>
        <v>47.189209000000005</v>
      </c>
    </row>
    <row r="2407" spans="1:7" x14ac:dyDescent="0.3">
      <c r="A2407" t="s">
        <v>13039</v>
      </c>
      <c r="B2407" t="s">
        <v>4841</v>
      </c>
      <c r="C2407" t="s">
        <v>4842</v>
      </c>
      <c r="D2407" s="1" t="s">
        <v>427</v>
      </c>
      <c r="E2407" s="3">
        <v>38.47</v>
      </c>
      <c r="F2407" s="3">
        <f t="shared" si="74"/>
        <v>9.721369000000001</v>
      </c>
      <c r="G2407" s="3">
        <f t="shared" si="75"/>
        <v>48.191369000000002</v>
      </c>
    </row>
    <row r="2408" spans="1:7" x14ac:dyDescent="0.3">
      <c r="A2408" t="s">
        <v>13039</v>
      </c>
      <c r="B2408" t="s">
        <v>4843</v>
      </c>
      <c r="C2408" t="s">
        <v>4844</v>
      </c>
      <c r="D2408" s="1" t="s">
        <v>427</v>
      </c>
      <c r="E2408" s="3">
        <v>39.28</v>
      </c>
      <c r="F2408" s="3">
        <f t="shared" si="74"/>
        <v>9.9260560000000009</v>
      </c>
      <c r="G2408" s="3">
        <f t="shared" si="75"/>
        <v>49.206056000000004</v>
      </c>
    </row>
    <row r="2409" spans="1:7" x14ac:dyDescent="0.3">
      <c r="A2409" t="s">
        <v>13039</v>
      </c>
      <c r="B2409" t="s">
        <v>4845</v>
      </c>
      <c r="C2409" t="s">
        <v>4846</v>
      </c>
      <c r="D2409" s="1" t="s">
        <v>427</v>
      </c>
      <c r="E2409" s="3">
        <v>40.130000000000003</v>
      </c>
      <c r="F2409" s="3">
        <f t="shared" si="74"/>
        <v>10.140851000000001</v>
      </c>
      <c r="G2409" s="3">
        <f t="shared" si="75"/>
        <v>50.270851000000008</v>
      </c>
    </row>
    <row r="2410" spans="1:7" x14ac:dyDescent="0.3">
      <c r="A2410" t="s">
        <v>13039</v>
      </c>
      <c r="B2410" t="s">
        <v>4847</v>
      </c>
      <c r="C2410" t="s">
        <v>4848</v>
      </c>
      <c r="D2410" s="1" t="s">
        <v>427</v>
      </c>
      <c r="E2410" s="3">
        <v>41.03</v>
      </c>
      <c r="F2410" s="3">
        <f t="shared" si="74"/>
        <v>10.368281000000001</v>
      </c>
      <c r="G2410" s="3">
        <f t="shared" si="75"/>
        <v>51.398281000000004</v>
      </c>
    </row>
    <row r="2411" spans="1:7" x14ac:dyDescent="0.3">
      <c r="A2411" t="s">
        <v>13039</v>
      </c>
      <c r="B2411" t="s">
        <v>4849</v>
      </c>
      <c r="C2411" t="s">
        <v>4850</v>
      </c>
      <c r="D2411" s="1" t="s">
        <v>427</v>
      </c>
      <c r="E2411" s="3">
        <v>41.51</v>
      </c>
      <c r="F2411" s="3">
        <f t="shared" si="74"/>
        <v>10.489577000000001</v>
      </c>
      <c r="G2411" s="3">
        <f t="shared" si="75"/>
        <v>51.999577000000002</v>
      </c>
    </row>
    <row r="2412" spans="1:7" x14ac:dyDescent="0.3">
      <c r="A2412" t="s">
        <v>13039</v>
      </c>
      <c r="B2412" t="s">
        <v>4851</v>
      </c>
      <c r="C2412" t="s">
        <v>4852</v>
      </c>
      <c r="D2412" s="1" t="s">
        <v>427</v>
      </c>
      <c r="E2412" s="3">
        <v>11.43</v>
      </c>
      <c r="F2412" s="3">
        <f t="shared" si="74"/>
        <v>2.8883610000000002</v>
      </c>
      <c r="G2412" s="3">
        <f t="shared" si="75"/>
        <v>14.318360999999999</v>
      </c>
    </row>
    <row r="2413" spans="1:7" x14ac:dyDescent="0.3">
      <c r="A2413" t="s">
        <v>13039</v>
      </c>
      <c r="B2413" t="s">
        <v>4853</v>
      </c>
      <c r="C2413" t="s">
        <v>4854</v>
      </c>
      <c r="D2413" s="1" t="s">
        <v>427</v>
      </c>
      <c r="E2413" s="3">
        <v>12.24</v>
      </c>
      <c r="F2413" s="3">
        <f t="shared" si="74"/>
        <v>3.0930480000000005</v>
      </c>
      <c r="G2413" s="3">
        <f t="shared" si="75"/>
        <v>15.333048000000002</v>
      </c>
    </row>
    <row r="2414" spans="1:7" x14ac:dyDescent="0.3">
      <c r="A2414" t="s">
        <v>13039</v>
      </c>
      <c r="B2414" t="s">
        <v>4855</v>
      </c>
      <c r="C2414" t="s">
        <v>4856</v>
      </c>
      <c r="D2414" s="1" t="s">
        <v>427</v>
      </c>
      <c r="E2414" s="3">
        <v>13.05</v>
      </c>
      <c r="F2414" s="3">
        <f t="shared" si="74"/>
        <v>3.2977350000000007</v>
      </c>
      <c r="G2414" s="3">
        <f t="shared" si="75"/>
        <v>16.347735</v>
      </c>
    </row>
    <row r="2415" spans="1:7" x14ac:dyDescent="0.3">
      <c r="A2415" t="s">
        <v>13039</v>
      </c>
      <c r="B2415" t="s">
        <v>4857</v>
      </c>
      <c r="C2415" t="s">
        <v>4858</v>
      </c>
      <c r="D2415" s="1" t="s">
        <v>427</v>
      </c>
      <c r="E2415" s="3">
        <v>14.43</v>
      </c>
      <c r="F2415" s="3">
        <f t="shared" si="74"/>
        <v>3.6464610000000004</v>
      </c>
      <c r="G2415" s="3">
        <f t="shared" si="75"/>
        <v>18.076461000000002</v>
      </c>
    </row>
    <row r="2416" spans="1:7" x14ac:dyDescent="0.3">
      <c r="A2416" t="s">
        <v>13039</v>
      </c>
      <c r="B2416" t="s">
        <v>4859</v>
      </c>
      <c r="C2416" t="s">
        <v>4860</v>
      </c>
      <c r="D2416" s="1" t="s">
        <v>427</v>
      </c>
      <c r="E2416" s="3">
        <v>16.52</v>
      </c>
      <c r="F2416" s="3">
        <f t="shared" si="74"/>
        <v>4.1746040000000004</v>
      </c>
      <c r="G2416" s="3">
        <f t="shared" si="75"/>
        <v>20.694603999999998</v>
      </c>
    </row>
    <row r="2417" spans="1:7" x14ac:dyDescent="0.3">
      <c r="A2417" t="s">
        <v>13039</v>
      </c>
      <c r="B2417" t="s">
        <v>4861</v>
      </c>
      <c r="C2417" t="s">
        <v>4862</v>
      </c>
      <c r="D2417" s="1" t="s">
        <v>427</v>
      </c>
      <c r="E2417" s="3">
        <v>19.75</v>
      </c>
      <c r="F2417" s="3">
        <f t="shared" si="74"/>
        <v>4.990825000000001</v>
      </c>
      <c r="G2417" s="3">
        <f t="shared" si="75"/>
        <v>24.740825000000001</v>
      </c>
    </row>
    <row r="2418" spans="1:7" x14ac:dyDescent="0.3">
      <c r="A2418" t="s">
        <v>13039</v>
      </c>
      <c r="B2418" t="s">
        <v>4863</v>
      </c>
      <c r="C2418" t="s">
        <v>4864</v>
      </c>
      <c r="D2418" s="1" t="s">
        <v>427</v>
      </c>
      <c r="E2418" s="3">
        <v>23.36</v>
      </c>
      <c r="F2418" s="3">
        <f t="shared" si="74"/>
        <v>5.9030720000000008</v>
      </c>
      <c r="G2418" s="3">
        <f t="shared" si="75"/>
        <v>29.263072000000001</v>
      </c>
    </row>
    <row r="2419" spans="1:7" x14ac:dyDescent="0.3">
      <c r="A2419" t="s">
        <v>13039</v>
      </c>
      <c r="B2419" t="s">
        <v>4865</v>
      </c>
      <c r="C2419" t="s">
        <v>4866</v>
      </c>
      <c r="D2419" s="1" t="s">
        <v>427</v>
      </c>
      <c r="E2419" s="3">
        <v>27.58</v>
      </c>
      <c r="F2419" s="3">
        <f t="shared" si="74"/>
        <v>6.9694660000000006</v>
      </c>
      <c r="G2419" s="3">
        <f t="shared" si="75"/>
        <v>34.549465999999995</v>
      </c>
    </row>
    <row r="2420" spans="1:7" x14ac:dyDescent="0.3">
      <c r="A2420" t="s">
        <v>13039</v>
      </c>
      <c r="B2420" t="s">
        <v>4867</v>
      </c>
      <c r="C2420" t="s">
        <v>4868</v>
      </c>
      <c r="D2420" s="1" t="s">
        <v>427</v>
      </c>
      <c r="E2420" s="3">
        <v>32.369999999999997</v>
      </c>
      <c r="F2420" s="3">
        <f t="shared" si="74"/>
        <v>8.1798990000000007</v>
      </c>
      <c r="G2420" s="3">
        <f t="shared" si="75"/>
        <v>40.549898999999996</v>
      </c>
    </row>
    <row r="2421" spans="1:7" x14ac:dyDescent="0.3">
      <c r="A2421" t="s">
        <v>13039</v>
      </c>
      <c r="B2421" t="s">
        <v>4869</v>
      </c>
      <c r="C2421" t="s">
        <v>4870</v>
      </c>
      <c r="D2421" s="1" t="s">
        <v>427</v>
      </c>
      <c r="E2421" s="3">
        <v>37.64</v>
      </c>
      <c r="F2421" s="3">
        <f t="shared" si="74"/>
        <v>9.5116280000000017</v>
      </c>
      <c r="G2421" s="3">
        <f t="shared" si="75"/>
        <v>47.151628000000002</v>
      </c>
    </row>
    <row r="2422" spans="1:7" x14ac:dyDescent="0.3">
      <c r="A2422" t="s">
        <v>13039</v>
      </c>
      <c r="B2422" t="s">
        <v>4871</v>
      </c>
      <c r="C2422" t="s">
        <v>4872</v>
      </c>
      <c r="D2422" s="1" t="s">
        <v>427</v>
      </c>
      <c r="E2422" s="3">
        <v>43.54</v>
      </c>
      <c r="F2422" s="3">
        <f t="shared" si="74"/>
        <v>11.002558000000001</v>
      </c>
      <c r="G2422" s="3">
        <f t="shared" si="75"/>
        <v>54.542558</v>
      </c>
    </row>
    <row r="2423" spans="1:7" x14ac:dyDescent="0.3">
      <c r="A2423" t="s">
        <v>13039</v>
      </c>
      <c r="B2423" t="s">
        <v>4873</v>
      </c>
      <c r="C2423" t="s">
        <v>4874</v>
      </c>
      <c r="D2423" s="1" t="s">
        <v>427</v>
      </c>
      <c r="E2423" s="3">
        <v>50.74</v>
      </c>
      <c r="F2423" s="3">
        <f t="shared" si="74"/>
        <v>12.821998000000002</v>
      </c>
      <c r="G2423" s="3">
        <f t="shared" si="75"/>
        <v>63.561998000000003</v>
      </c>
    </row>
    <row r="2424" spans="1:7" x14ac:dyDescent="0.3">
      <c r="A2424" t="s">
        <v>13039</v>
      </c>
      <c r="B2424" t="s">
        <v>4875</v>
      </c>
      <c r="C2424" t="s">
        <v>4876</v>
      </c>
      <c r="D2424" s="1" t="s">
        <v>427</v>
      </c>
      <c r="E2424" s="3">
        <v>57.1</v>
      </c>
      <c r="F2424" s="3">
        <f t="shared" si="74"/>
        <v>14.429170000000003</v>
      </c>
      <c r="G2424" s="3">
        <f t="shared" si="75"/>
        <v>71.529170000000008</v>
      </c>
    </row>
    <row r="2425" spans="1:7" x14ac:dyDescent="0.3">
      <c r="A2425" t="s">
        <v>13039</v>
      </c>
      <c r="B2425" t="s">
        <v>4877</v>
      </c>
      <c r="C2425" t="s">
        <v>4878</v>
      </c>
      <c r="D2425" s="1" t="s">
        <v>427</v>
      </c>
      <c r="E2425" s="3">
        <v>65.39</v>
      </c>
      <c r="F2425" s="3">
        <f t="shared" si="74"/>
        <v>16.524053000000002</v>
      </c>
      <c r="G2425" s="3">
        <f t="shared" si="75"/>
        <v>81.914052999999996</v>
      </c>
    </row>
    <row r="2426" spans="1:7" x14ac:dyDescent="0.3">
      <c r="A2426" t="s">
        <v>13039</v>
      </c>
      <c r="B2426" t="s">
        <v>4879</v>
      </c>
      <c r="C2426" t="s">
        <v>4880</v>
      </c>
      <c r="D2426" s="1" t="s">
        <v>427</v>
      </c>
      <c r="E2426" s="3">
        <v>70.86</v>
      </c>
      <c r="F2426" s="3">
        <f t="shared" si="74"/>
        <v>17.906322000000003</v>
      </c>
      <c r="G2426" s="3">
        <f t="shared" si="75"/>
        <v>88.766322000000002</v>
      </c>
    </row>
    <row r="2427" spans="1:7" x14ac:dyDescent="0.3">
      <c r="A2427" t="s">
        <v>13039</v>
      </c>
      <c r="B2427" t="s">
        <v>4881</v>
      </c>
      <c r="C2427" t="s">
        <v>4882</v>
      </c>
      <c r="D2427" s="1" t="s">
        <v>427</v>
      </c>
      <c r="E2427" s="3">
        <v>8.74</v>
      </c>
      <c r="F2427" s="3">
        <f t="shared" si="74"/>
        <v>2.2085980000000003</v>
      </c>
      <c r="G2427" s="3">
        <f t="shared" si="75"/>
        <v>10.948598</v>
      </c>
    </row>
    <row r="2428" spans="1:7" x14ac:dyDescent="0.3">
      <c r="A2428" t="s">
        <v>13039</v>
      </c>
      <c r="B2428" t="s">
        <v>4883</v>
      </c>
      <c r="C2428" t="s">
        <v>4884</v>
      </c>
      <c r="D2428" s="1" t="s">
        <v>427</v>
      </c>
      <c r="E2428" s="3">
        <v>9.59</v>
      </c>
      <c r="F2428" s="3">
        <f t="shared" si="74"/>
        <v>2.4233930000000004</v>
      </c>
      <c r="G2428" s="3">
        <f t="shared" si="75"/>
        <v>12.013393000000001</v>
      </c>
    </row>
    <row r="2429" spans="1:7" x14ac:dyDescent="0.3">
      <c r="A2429" t="s">
        <v>13039</v>
      </c>
      <c r="B2429" t="s">
        <v>4885</v>
      </c>
      <c r="C2429" t="s">
        <v>4886</v>
      </c>
      <c r="D2429" s="1" t="s">
        <v>427</v>
      </c>
      <c r="E2429" s="3">
        <v>10.32</v>
      </c>
      <c r="F2429" s="3">
        <f t="shared" si="74"/>
        <v>2.6078640000000006</v>
      </c>
      <c r="G2429" s="3">
        <f t="shared" si="75"/>
        <v>12.927864000000001</v>
      </c>
    </row>
    <row r="2430" spans="1:7" x14ac:dyDescent="0.3">
      <c r="A2430" t="s">
        <v>13039</v>
      </c>
      <c r="B2430" t="s">
        <v>4887</v>
      </c>
      <c r="C2430" t="s">
        <v>4888</v>
      </c>
      <c r="D2430" s="1" t="s">
        <v>427</v>
      </c>
      <c r="E2430" s="3">
        <v>8.3800000000000008</v>
      </c>
      <c r="F2430" s="3">
        <f t="shared" si="74"/>
        <v>2.1176260000000005</v>
      </c>
      <c r="G2430" s="3">
        <f t="shared" si="75"/>
        <v>10.497626</v>
      </c>
    </row>
    <row r="2431" spans="1:7" x14ac:dyDescent="0.3">
      <c r="A2431" t="s">
        <v>13039</v>
      </c>
      <c r="B2431" t="s">
        <v>4889</v>
      </c>
      <c r="C2431" t="s">
        <v>4890</v>
      </c>
      <c r="D2431" s="1" t="s">
        <v>427</v>
      </c>
      <c r="E2431" s="3">
        <v>13.74</v>
      </c>
      <c r="F2431" s="3">
        <f t="shared" si="74"/>
        <v>3.4720980000000004</v>
      </c>
      <c r="G2431" s="3">
        <f t="shared" si="75"/>
        <v>17.212098000000001</v>
      </c>
    </row>
    <row r="2432" spans="1:7" x14ac:dyDescent="0.3">
      <c r="A2432" t="s">
        <v>13039</v>
      </c>
      <c r="B2432" t="s">
        <v>4891</v>
      </c>
      <c r="C2432" t="s">
        <v>4892</v>
      </c>
      <c r="D2432" s="1" t="s">
        <v>427</v>
      </c>
      <c r="E2432" s="3">
        <v>17.059999999999999</v>
      </c>
      <c r="F2432" s="3">
        <f t="shared" si="74"/>
        <v>4.3110620000000006</v>
      </c>
      <c r="G2432" s="3">
        <f t="shared" si="75"/>
        <v>21.371061999999998</v>
      </c>
    </row>
    <row r="2433" spans="1:7" x14ac:dyDescent="0.3">
      <c r="A2433" t="s">
        <v>13039</v>
      </c>
      <c r="B2433" t="s">
        <v>4893</v>
      </c>
      <c r="C2433" t="s">
        <v>4894</v>
      </c>
      <c r="D2433" s="1" t="s">
        <v>427</v>
      </c>
      <c r="E2433" s="3">
        <v>22.16</v>
      </c>
      <c r="F2433" s="3">
        <f t="shared" si="74"/>
        <v>5.599832000000001</v>
      </c>
      <c r="G2433" s="3">
        <f t="shared" si="75"/>
        <v>27.759832000000003</v>
      </c>
    </row>
    <row r="2434" spans="1:7" x14ac:dyDescent="0.3">
      <c r="A2434" t="s">
        <v>13039</v>
      </c>
      <c r="B2434" t="s">
        <v>4895</v>
      </c>
      <c r="C2434" t="s">
        <v>4896</v>
      </c>
      <c r="D2434" s="1" t="s">
        <v>427</v>
      </c>
      <c r="E2434" s="3">
        <v>8.43</v>
      </c>
      <c r="F2434" s="3">
        <f t="shared" si="74"/>
        <v>2.1302610000000004</v>
      </c>
      <c r="G2434" s="3">
        <f t="shared" si="75"/>
        <v>10.560261000000001</v>
      </c>
    </row>
    <row r="2435" spans="1:7" x14ac:dyDescent="0.3">
      <c r="A2435" t="s">
        <v>13039</v>
      </c>
      <c r="B2435" t="s">
        <v>4897</v>
      </c>
      <c r="C2435" t="s">
        <v>4898</v>
      </c>
      <c r="D2435" s="1" t="s">
        <v>427</v>
      </c>
      <c r="E2435" s="3">
        <v>9.3699999999999992</v>
      </c>
      <c r="F2435" s="3">
        <f t="shared" si="74"/>
        <v>2.3677990000000002</v>
      </c>
      <c r="G2435" s="3">
        <f t="shared" si="75"/>
        <v>11.737798999999999</v>
      </c>
    </row>
    <row r="2436" spans="1:7" x14ac:dyDescent="0.3">
      <c r="A2436" t="s">
        <v>13039</v>
      </c>
      <c r="B2436" t="s">
        <v>4899</v>
      </c>
      <c r="C2436" t="s">
        <v>4900</v>
      </c>
      <c r="D2436" s="1" t="s">
        <v>427</v>
      </c>
      <c r="E2436" s="3">
        <v>11.09</v>
      </c>
      <c r="F2436" s="3">
        <f t="shared" si="74"/>
        <v>2.8024430000000002</v>
      </c>
      <c r="G2436" s="3">
        <f t="shared" si="75"/>
        <v>13.892443</v>
      </c>
    </row>
    <row r="2437" spans="1:7" x14ac:dyDescent="0.3">
      <c r="A2437" t="s">
        <v>13039</v>
      </c>
      <c r="B2437" t="s">
        <v>4901</v>
      </c>
      <c r="C2437" t="s">
        <v>4902</v>
      </c>
      <c r="D2437" s="1" t="s">
        <v>427</v>
      </c>
      <c r="E2437" s="3">
        <v>8.15</v>
      </c>
      <c r="F2437" s="3">
        <f t="shared" si="74"/>
        <v>2.0595050000000006</v>
      </c>
      <c r="G2437" s="3">
        <f t="shared" si="75"/>
        <v>10.209505</v>
      </c>
    </row>
    <row r="2438" spans="1:7" x14ac:dyDescent="0.3">
      <c r="A2438" t="s">
        <v>13039</v>
      </c>
      <c r="B2438" t="s">
        <v>4903</v>
      </c>
      <c r="C2438" t="s">
        <v>4904</v>
      </c>
      <c r="D2438" s="1" t="s">
        <v>427</v>
      </c>
      <c r="E2438" s="3">
        <v>12.13</v>
      </c>
      <c r="F2438" s="3">
        <f t="shared" si="74"/>
        <v>3.0652510000000008</v>
      </c>
      <c r="G2438" s="3">
        <f t="shared" si="75"/>
        <v>15.195251000000003</v>
      </c>
    </row>
    <row r="2439" spans="1:7" x14ac:dyDescent="0.3">
      <c r="A2439" t="s">
        <v>13039</v>
      </c>
      <c r="B2439" t="s">
        <v>4905</v>
      </c>
      <c r="C2439" t="s">
        <v>4906</v>
      </c>
      <c r="D2439" s="1" t="s">
        <v>427</v>
      </c>
      <c r="E2439" s="3">
        <v>16.170000000000002</v>
      </c>
      <c r="F2439" s="3">
        <f t="shared" ref="F2439:F2502" si="76">+E2439*$F$4</f>
        <v>4.0861590000000012</v>
      </c>
      <c r="G2439" s="3">
        <f t="shared" ref="G2439:G2502" si="77">+E2439+F2439</f>
        <v>20.256159000000004</v>
      </c>
    </row>
    <row r="2440" spans="1:7" x14ac:dyDescent="0.3">
      <c r="A2440" t="s">
        <v>13039</v>
      </c>
      <c r="B2440" t="s">
        <v>4907</v>
      </c>
      <c r="C2440" t="s">
        <v>4908</v>
      </c>
      <c r="D2440" s="1" t="s">
        <v>427</v>
      </c>
      <c r="E2440" s="3">
        <v>20.92</v>
      </c>
      <c r="F2440" s="3">
        <f t="shared" si="76"/>
        <v>5.2864840000000015</v>
      </c>
      <c r="G2440" s="3">
        <f t="shared" si="77"/>
        <v>26.206484000000003</v>
      </c>
    </row>
    <row r="2441" spans="1:7" x14ac:dyDescent="0.3">
      <c r="A2441" t="s">
        <v>13039</v>
      </c>
      <c r="B2441" t="s">
        <v>4909</v>
      </c>
      <c r="C2441" t="s">
        <v>4910</v>
      </c>
      <c r="D2441" s="1" t="s">
        <v>427</v>
      </c>
      <c r="E2441" s="3">
        <v>27.21</v>
      </c>
      <c r="F2441" s="3">
        <f t="shared" si="76"/>
        <v>6.8759670000000011</v>
      </c>
      <c r="G2441" s="3">
        <f t="shared" si="77"/>
        <v>34.085967000000004</v>
      </c>
    </row>
    <row r="2442" spans="1:7" x14ac:dyDescent="0.3">
      <c r="A2442" t="s">
        <v>13039</v>
      </c>
      <c r="B2442" t="s">
        <v>4911</v>
      </c>
      <c r="C2442" t="s">
        <v>4912</v>
      </c>
      <c r="D2442" s="1" t="s">
        <v>427</v>
      </c>
      <c r="E2442" s="3">
        <v>35.270000000000003</v>
      </c>
      <c r="F2442" s="3">
        <f t="shared" si="76"/>
        <v>8.9127290000000023</v>
      </c>
      <c r="G2442" s="3">
        <f t="shared" si="77"/>
        <v>44.182729000000009</v>
      </c>
    </row>
    <row r="2443" spans="1:7" x14ac:dyDescent="0.3">
      <c r="A2443" t="s">
        <v>13039</v>
      </c>
      <c r="B2443" t="s">
        <v>4913</v>
      </c>
      <c r="C2443" t="s">
        <v>4914</v>
      </c>
      <c r="D2443" s="1" t="s">
        <v>427</v>
      </c>
      <c r="E2443" s="3">
        <v>43.33</v>
      </c>
      <c r="F2443" s="3">
        <f t="shared" si="76"/>
        <v>10.949491000000002</v>
      </c>
      <c r="G2443" s="3">
        <f t="shared" si="77"/>
        <v>54.279491</v>
      </c>
    </row>
    <row r="2444" spans="1:7" x14ac:dyDescent="0.3">
      <c r="A2444" t="s">
        <v>13039</v>
      </c>
      <c r="B2444" t="s">
        <v>4915</v>
      </c>
      <c r="C2444" t="s">
        <v>4916</v>
      </c>
      <c r="D2444" s="1" t="s">
        <v>427</v>
      </c>
      <c r="E2444" s="3">
        <v>49.55</v>
      </c>
      <c r="F2444" s="3">
        <f t="shared" si="76"/>
        <v>12.521285000000001</v>
      </c>
      <c r="G2444" s="3">
        <f t="shared" si="77"/>
        <v>62.071284999999996</v>
      </c>
    </row>
    <row r="2445" spans="1:7" x14ac:dyDescent="0.3">
      <c r="A2445" t="s">
        <v>13039</v>
      </c>
      <c r="B2445" t="s">
        <v>4917</v>
      </c>
      <c r="C2445" t="s">
        <v>4918</v>
      </c>
      <c r="D2445" s="1" t="s">
        <v>427</v>
      </c>
      <c r="E2445" s="3">
        <v>7.48</v>
      </c>
      <c r="F2445" s="3">
        <f t="shared" si="76"/>
        <v>1.8901960000000004</v>
      </c>
      <c r="G2445" s="3">
        <f t="shared" si="77"/>
        <v>9.370196</v>
      </c>
    </row>
    <row r="2446" spans="1:7" x14ac:dyDescent="0.3">
      <c r="A2446" t="s">
        <v>13039</v>
      </c>
      <c r="B2446" t="s">
        <v>4919</v>
      </c>
      <c r="C2446" t="s">
        <v>4920</v>
      </c>
      <c r="D2446" s="1" t="s">
        <v>427</v>
      </c>
      <c r="E2446" s="3">
        <v>8.02</v>
      </c>
      <c r="F2446" s="3">
        <f t="shared" si="76"/>
        <v>2.0266540000000002</v>
      </c>
      <c r="G2446" s="3">
        <f t="shared" si="77"/>
        <v>10.046654</v>
      </c>
    </row>
    <row r="2447" spans="1:7" x14ac:dyDescent="0.3">
      <c r="A2447" t="s">
        <v>13039</v>
      </c>
      <c r="B2447" t="s">
        <v>4921</v>
      </c>
      <c r="C2447" t="s">
        <v>4922</v>
      </c>
      <c r="D2447" s="1" t="s">
        <v>427</v>
      </c>
      <c r="E2447" s="3">
        <v>9.08</v>
      </c>
      <c r="F2447" s="3">
        <f t="shared" si="76"/>
        <v>2.2945160000000002</v>
      </c>
      <c r="G2447" s="3">
        <f t="shared" si="77"/>
        <v>11.374516</v>
      </c>
    </row>
    <row r="2448" spans="1:7" x14ac:dyDescent="0.3">
      <c r="A2448" t="s">
        <v>13039</v>
      </c>
      <c r="B2448" t="s">
        <v>4923</v>
      </c>
      <c r="C2448" t="s">
        <v>4924</v>
      </c>
      <c r="D2448" s="1" t="s">
        <v>427</v>
      </c>
      <c r="E2448" s="3">
        <v>7.31</v>
      </c>
      <c r="F2448" s="3">
        <f t="shared" si="76"/>
        <v>1.8472370000000002</v>
      </c>
      <c r="G2448" s="3">
        <f t="shared" si="77"/>
        <v>9.1572370000000003</v>
      </c>
    </row>
    <row r="2449" spans="1:7" x14ac:dyDescent="0.3">
      <c r="A2449" t="s">
        <v>13039</v>
      </c>
      <c r="B2449" t="s">
        <v>4925</v>
      </c>
      <c r="C2449" t="s">
        <v>4926</v>
      </c>
      <c r="D2449" s="1" t="s">
        <v>427</v>
      </c>
      <c r="E2449" s="3">
        <v>13.06</v>
      </c>
      <c r="F2449" s="3">
        <f t="shared" si="76"/>
        <v>3.3002620000000005</v>
      </c>
      <c r="G2449" s="3">
        <f t="shared" si="77"/>
        <v>16.360262000000002</v>
      </c>
    </row>
    <row r="2450" spans="1:7" x14ac:dyDescent="0.3">
      <c r="A2450" t="s">
        <v>13039</v>
      </c>
      <c r="B2450" t="s">
        <v>4927</v>
      </c>
      <c r="C2450" t="s">
        <v>4928</v>
      </c>
      <c r="D2450" s="1" t="s">
        <v>427</v>
      </c>
      <c r="E2450" s="3">
        <v>15.13</v>
      </c>
      <c r="F2450" s="3">
        <f t="shared" si="76"/>
        <v>3.8233510000000006</v>
      </c>
      <c r="G2450" s="3">
        <f t="shared" si="77"/>
        <v>18.953351000000001</v>
      </c>
    </row>
    <row r="2451" spans="1:7" x14ac:dyDescent="0.3">
      <c r="A2451" t="s">
        <v>13039</v>
      </c>
      <c r="B2451" t="s">
        <v>4929</v>
      </c>
      <c r="C2451" t="s">
        <v>4930</v>
      </c>
      <c r="D2451" s="1" t="s">
        <v>427</v>
      </c>
      <c r="E2451" s="3">
        <v>17.46</v>
      </c>
      <c r="F2451" s="3">
        <f t="shared" si="76"/>
        <v>4.4121420000000011</v>
      </c>
      <c r="G2451" s="3">
        <f t="shared" si="77"/>
        <v>21.872142000000004</v>
      </c>
    </row>
    <row r="2452" spans="1:7" x14ac:dyDescent="0.3">
      <c r="A2452" t="s">
        <v>13039</v>
      </c>
      <c r="B2452" t="s">
        <v>4931</v>
      </c>
      <c r="C2452" t="s">
        <v>4932</v>
      </c>
      <c r="D2452" s="1" t="s">
        <v>427</v>
      </c>
      <c r="E2452" s="3">
        <v>20.76</v>
      </c>
      <c r="F2452" s="3">
        <f t="shared" si="76"/>
        <v>5.2460520000000015</v>
      </c>
      <c r="G2452" s="3">
        <f t="shared" si="77"/>
        <v>26.006052000000004</v>
      </c>
    </row>
    <row r="2453" spans="1:7" x14ac:dyDescent="0.3">
      <c r="A2453" t="s">
        <v>13039</v>
      </c>
      <c r="B2453" t="s">
        <v>4933</v>
      </c>
      <c r="C2453" t="s">
        <v>4934</v>
      </c>
      <c r="D2453" s="1" t="s">
        <v>427</v>
      </c>
      <c r="E2453" s="3">
        <v>25.91</v>
      </c>
      <c r="F2453" s="3">
        <f t="shared" si="76"/>
        <v>6.5474570000000005</v>
      </c>
      <c r="G2453" s="3">
        <f t="shared" si="77"/>
        <v>32.457456999999998</v>
      </c>
    </row>
    <row r="2454" spans="1:7" x14ac:dyDescent="0.3">
      <c r="A2454" t="s">
        <v>13039</v>
      </c>
      <c r="B2454" t="s">
        <v>4935</v>
      </c>
      <c r="C2454" t="s">
        <v>4936</v>
      </c>
      <c r="D2454" s="1" t="s">
        <v>427</v>
      </c>
      <c r="E2454" s="3">
        <v>31.79</v>
      </c>
      <c r="F2454" s="3">
        <f t="shared" si="76"/>
        <v>8.0333330000000007</v>
      </c>
      <c r="G2454" s="3">
        <f t="shared" si="77"/>
        <v>39.823332999999998</v>
      </c>
    </row>
    <row r="2455" spans="1:7" x14ac:dyDescent="0.3">
      <c r="A2455" t="s">
        <v>13039</v>
      </c>
      <c r="B2455" t="s">
        <v>4937</v>
      </c>
      <c r="C2455" t="s">
        <v>4938</v>
      </c>
      <c r="D2455" s="1" t="s">
        <v>427</v>
      </c>
      <c r="E2455" s="3">
        <v>38.270000000000003</v>
      </c>
      <c r="F2455" s="3">
        <f t="shared" si="76"/>
        <v>9.670829000000003</v>
      </c>
      <c r="G2455" s="3">
        <f t="shared" si="77"/>
        <v>47.940829000000008</v>
      </c>
    </row>
    <row r="2456" spans="1:7" x14ac:dyDescent="0.3">
      <c r="A2456" t="s">
        <v>13039</v>
      </c>
      <c r="B2456" t="s">
        <v>4939</v>
      </c>
      <c r="C2456" t="s">
        <v>4940</v>
      </c>
      <c r="D2456" s="1" t="s">
        <v>427</v>
      </c>
      <c r="E2456" s="3">
        <v>45.75</v>
      </c>
      <c r="F2456" s="3">
        <f t="shared" si="76"/>
        <v>11.561025000000001</v>
      </c>
      <c r="G2456" s="3">
        <f t="shared" si="77"/>
        <v>57.311025000000001</v>
      </c>
    </row>
    <row r="2457" spans="1:7" x14ac:dyDescent="0.3">
      <c r="A2457" t="s">
        <v>13039</v>
      </c>
      <c r="B2457" t="s">
        <v>4941</v>
      </c>
      <c r="C2457" t="s">
        <v>4942</v>
      </c>
      <c r="D2457" s="1" t="s">
        <v>427</v>
      </c>
      <c r="E2457" s="3">
        <v>54.72</v>
      </c>
      <c r="F2457" s="3">
        <f t="shared" si="76"/>
        <v>13.827744000000001</v>
      </c>
      <c r="G2457" s="3">
        <f t="shared" si="77"/>
        <v>68.547743999999994</v>
      </c>
    </row>
    <row r="2458" spans="1:7" x14ac:dyDescent="0.3">
      <c r="A2458" t="s">
        <v>13039</v>
      </c>
      <c r="B2458" t="s">
        <v>4943</v>
      </c>
      <c r="C2458" t="s">
        <v>4944</v>
      </c>
      <c r="D2458" s="1" t="s">
        <v>427</v>
      </c>
      <c r="E2458" s="3">
        <v>58.5</v>
      </c>
      <c r="F2458" s="3">
        <f t="shared" si="76"/>
        <v>14.782950000000001</v>
      </c>
      <c r="G2458" s="3">
        <f t="shared" si="77"/>
        <v>73.28295</v>
      </c>
    </row>
    <row r="2459" spans="1:7" x14ac:dyDescent="0.3">
      <c r="A2459" t="s">
        <v>13039</v>
      </c>
      <c r="B2459" t="s">
        <v>4945</v>
      </c>
      <c r="C2459" t="s">
        <v>4946</v>
      </c>
      <c r="D2459" s="1" t="s">
        <v>427</v>
      </c>
      <c r="E2459" s="3">
        <v>7.71</v>
      </c>
      <c r="F2459" s="3">
        <f t="shared" si="76"/>
        <v>1.9483170000000003</v>
      </c>
      <c r="G2459" s="3">
        <f t="shared" si="77"/>
        <v>9.6583170000000003</v>
      </c>
    </row>
    <row r="2460" spans="1:7" x14ac:dyDescent="0.3">
      <c r="A2460" t="s">
        <v>13039</v>
      </c>
      <c r="B2460" t="s">
        <v>4947</v>
      </c>
      <c r="C2460" t="s">
        <v>4948</v>
      </c>
      <c r="D2460" s="1" t="s">
        <v>427</v>
      </c>
      <c r="E2460" s="3">
        <v>9.09</v>
      </c>
      <c r="F2460" s="3">
        <f t="shared" si="76"/>
        <v>2.2970430000000004</v>
      </c>
      <c r="G2460" s="3">
        <f t="shared" si="77"/>
        <v>11.387043</v>
      </c>
    </row>
    <row r="2461" spans="1:7" x14ac:dyDescent="0.3">
      <c r="A2461" t="s">
        <v>13039</v>
      </c>
      <c r="B2461" t="s">
        <v>4949</v>
      </c>
      <c r="C2461" t="s">
        <v>4950</v>
      </c>
      <c r="D2461" s="1" t="s">
        <v>427</v>
      </c>
      <c r="E2461" s="3">
        <v>10.78</v>
      </c>
      <c r="F2461" s="3">
        <f t="shared" si="76"/>
        <v>2.7241060000000004</v>
      </c>
      <c r="G2461" s="3">
        <f t="shared" si="77"/>
        <v>13.504106</v>
      </c>
    </row>
    <row r="2462" spans="1:7" x14ac:dyDescent="0.3">
      <c r="A2462" t="s">
        <v>13039</v>
      </c>
      <c r="B2462" t="s">
        <v>4951</v>
      </c>
      <c r="C2462" t="s">
        <v>4952</v>
      </c>
      <c r="D2462" s="1" t="s">
        <v>427</v>
      </c>
      <c r="E2462" s="3">
        <v>6.81</v>
      </c>
      <c r="F2462" s="3">
        <f t="shared" si="76"/>
        <v>1.7208870000000001</v>
      </c>
      <c r="G2462" s="3">
        <f t="shared" si="77"/>
        <v>8.5308869999999999</v>
      </c>
    </row>
    <row r="2463" spans="1:7" x14ac:dyDescent="0.3">
      <c r="A2463" t="s">
        <v>13039</v>
      </c>
      <c r="B2463" t="s">
        <v>4953</v>
      </c>
      <c r="C2463" t="s">
        <v>4954</v>
      </c>
      <c r="D2463" s="1" t="s">
        <v>427</v>
      </c>
      <c r="E2463" s="3">
        <v>27.49</v>
      </c>
      <c r="F2463" s="3">
        <f t="shared" si="76"/>
        <v>6.9467230000000004</v>
      </c>
      <c r="G2463" s="3">
        <f t="shared" si="77"/>
        <v>34.436723000000001</v>
      </c>
    </row>
    <row r="2464" spans="1:7" x14ac:dyDescent="0.3">
      <c r="A2464" t="s">
        <v>13039</v>
      </c>
      <c r="B2464" t="s">
        <v>4955</v>
      </c>
      <c r="C2464" t="s">
        <v>4956</v>
      </c>
      <c r="D2464" s="1" t="s">
        <v>427</v>
      </c>
      <c r="E2464" s="3">
        <v>28.02</v>
      </c>
      <c r="F2464" s="3">
        <f t="shared" si="76"/>
        <v>7.0806540000000009</v>
      </c>
      <c r="G2464" s="3">
        <f t="shared" si="77"/>
        <v>35.100653999999999</v>
      </c>
    </row>
    <row r="2465" spans="1:7" x14ac:dyDescent="0.3">
      <c r="A2465" t="s">
        <v>13039</v>
      </c>
      <c r="B2465" t="s">
        <v>4957</v>
      </c>
      <c r="C2465" t="s">
        <v>4958</v>
      </c>
      <c r="D2465" s="1" t="s">
        <v>427</v>
      </c>
      <c r="E2465" s="3">
        <v>28.57</v>
      </c>
      <c r="F2465" s="3">
        <f t="shared" si="76"/>
        <v>7.2196390000000008</v>
      </c>
      <c r="G2465" s="3">
        <f t="shared" si="77"/>
        <v>35.789639000000001</v>
      </c>
    </row>
    <row r="2466" spans="1:7" x14ac:dyDescent="0.3">
      <c r="A2466" t="s">
        <v>13039</v>
      </c>
      <c r="B2466" t="s">
        <v>4959</v>
      </c>
      <c r="C2466" t="s">
        <v>4960</v>
      </c>
      <c r="D2466" s="1" t="s">
        <v>427</v>
      </c>
      <c r="E2466" s="3">
        <v>29.14</v>
      </c>
      <c r="F2466" s="3">
        <f t="shared" si="76"/>
        <v>7.3636780000000011</v>
      </c>
      <c r="G2466" s="3">
        <f t="shared" si="77"/>
        <v>36.503678000000001</v>
      </c>
    </row>
    <row r="2467" spans="1:7" x14ac:dyDescent="0.3">
      <c r="A2467" t="s">
        <v>13039</v>
      </c>
      <c r="B2467" t="s">
        <v>4961</v>
      </c>
      <c r="C2467" t="s">
        <v>4962</v>
      </c>
      <c r="D2467" s="1" t="s">
        <v>427</v>
      </c>
      <c r="E2467" s="3">
        <v>29.75</v>
      </c>
      <c r="F2467" s="3">
        <f t="shared" si="76"/>
        <v>7.5178250000000011</v>
      </c>
      <c r="G2467" s="3">
        <f t="shared" si="77"/>
        <v>37.267825000000002</v>
      </c>
    </row>
    <row r="2468" spans="1:7" x14ac:dyDescent="0.3">
      <c r="A2468" t="s">
        <v>13039</v>
      </c>
      <c r="B2468" t="s">
        <v>4963</v>
      </c>
      <c r="C2468" t="s">
        <v>4964</v>
      </c>
      <c r="D2468" s="1" t="s">
        <v>427</v>
      </c>
      <c r="E2468" s="3">
        <v>30.07</v>
      </c>
      <c r="F2468" s="3">
        <f t="shared" si="76"/>
        <v>7.5986890000000011</v>
      </c>
      <c r="G2468" s="3">
        <f t="shared" si="77"/>
        <v>37.668689000000001</v>
      </c>
    </row>
    <row r="2469" spans="1:7" x14ac:dyDescent="0.3">
      <c r="A2469" t="s">
        <v>13039</v>
      </c>
      <c r="B2469" t="s">
        <v>4965</v>
      </c>
      <c r="C2469" t="s">
        <v>4966</v>
      </c>
      <c r="D2469" s="1" t="s">
        <v>427</v>
      </c>
      <c r="E2469" s="3">
        <v>15.47</v>
      </c>
      <c r="F2469" s="3">
        <f t="shared" si="76"/>
        <v>3.9092690000000005</v>
      </c>
      <c r="G2469" s="3">
        <f t="shared" si="77"/>
        <v>19.379269000000001</v>
      </c>
    </row>
    <row r="2470" spans="1:7" x14ac:dyDescent="0.3">
      <c r="A2470" t="s">
        <v>13039</v>
      </c>
      <c r="B2470" t="s">
        <v>4967</v>
      </c>
      <c r="C2470" t="s">
        <v>4968</v>
      </c>
      <c r="D2470" s="1" t="s">
        <v>427</v>
      </c>
      <c r="E2470" s="3">
        <v>15.6</v>
      </c>
      <c r="F2470" s="3">
        <f t="shared" si="76"/>
        <v>3.9421200000000005</v>
      </c>
      <c r="G2470" s="3">
        <f t="shared" si="77"/>
        <v>19.542120000000001</v>
      </c>
    </row>
    <row r="2471" spans="1:7" x14ac:dyDescent="0.3">
      <c r="A2471" t="s">
        <v>13039</v>
      </c>
      <c r="B2471" t="s">
        <v>4969</v>
      </c>
      <c r="C2471" t="s">
        <v>4970</v>
      </c>
      <c r="D2471" s="1" t="s">
        <v>427</v>
      </c>
      <c r="E2471" s="3">
        <v>15.74</v>
      </c>
      <c r="F2471" s="3">
        <f t="shared" si="76"/>
        <v>3.9774980000000006</v>
      </c>
      <c r="G2471" s="3">
        <f t="shared" si="77"/>
        <v>19.717497999999999</v>
      </c>
    </row>
    <row r="2472" spans="1:7" x14ac:dyDescent="0.3">
      <c r="A2472" t="s">
        <v>13039</v>
      </c>
      <c r="B2472" t="s">
        <v>4971</v>
      </c>
      <c r="C2472" t="s">
        <v>4972</v>
      </c>
      <c r="D2472" s="1" t="s">
        <v>427</v>
      </c>
      <c r="E2472" s="3">
        <v>15.89</v>
      </c>
      <c r="F2472" s="3">
        <f t="shared" si="76"/>
        <v>4.0154030000000009</v>
      </c>
      <c r="G2472" s="3">
        <f t="shared" si="77"/>
        <v>19.905403</v>
      </c>
    </row>
    <row r="2473" spans="1:7" x14ac:dyDescent="0.3">
      <c r="A2473" t="s">
        <v>13039</v>
      </c>
      <c r="B2473" t="s">
        <v>4973</v>
      </c>
      <c r="C2473" t="s">
        <v>4974</v>
      </c>
      <c r="D2473" s="1" t="s">
        <v>427</v>
      </c>
      <c r="E2473" s="3">
        <v>16.04</v>
      </c>
      <c r="F2473" s="3">
        <f t="shared" si="76"/>
        <v>4.0533080000000004</v>
      </c>
      <c r="G2473" s="3">
        <f t="shared" si="77"/>
        <v>20.093308</v>
      </c>
    </row>
    <row r="2474" spans="1:7" x14ac:dyDescent="0.3">
      <c r="A2474" t="s">
        <v>13039</v>
      </c>
      <c r="B2474" t="s">
        <v>4975</v>
      </c>
      <c r="C2474" t="s">
        <v>4976</v>
      </c>
      <c r="D2474" s="1" t="s">
        <v>427</v>
      </c>
      <c r="E2474" s="3">
        <v>16.12</v>
      </c>
      <c r="F2474" s="3">
        <f t="shared" si="76"/>
        <v>4.0735240000000008</v>
      </c>
      <c r="G2474" s="3">
        <f t="shared" si="77"/>
        <v>20.193524000000004</v>
      </c>
    </row>
    <row r="2475" spans="1:7" x14ac:dyDescent="0.3">
      <c r="A2475" t="s">
        <v>13039</v>
      </c>
      <c r="B2475" t="s">
        <v>4977</v>
      </c>
      <c r="C2475" t="s">
        <v>4978</v>
      </c>
      <c r="D2475" s="1" t="s">
        <v>427</v>
      </c>
      <c r="E2475" s="3">
        <v>20.18</v>
      </c>
      <c r="F2475" s="3">
        <f t="shared" si="76"/>
        <v>5.0994860000000006</v>
      </c>
      <c r="G2475" s="3">
        <f t="shared" si="77"/>
        <v>25.279485999999999</v>
      </c>
    </row>
    <row r="2476" spans="1:7" x14ac:dyDescent="0.3">
      <c r="A2476" t="s">
        <v>13039</v>
      </c>
      <c r="B2476" t="s">
        <v>4979</v>
      </c>
      <c r="C2476" t="s">
        <v>4980</v>
      </c>
      <c r="D2476" s="1" t="s">
        <v>427</v>
      </c>
      <c r="E2476" s="3">
        <v>20.309999999999999</v>
      </c>
      <c r="F2476" s="3">
        <f t="shared" si="76"/>
        <v>5.1323370000000006</v>
      </c>
      <c r="G2476" s="3">
        <f t="shared" si="77"/>
        <v>25.442336999999998</v>
      </c>
    </row>
    <row r="2477" spans="1:7" x14ac:dyDescent="0.3">
      <c r="A2477" t="s">
        <v>13039</v>
      </c>
      <c r="B2477" t="s">
        <v>4981</v>
      </c>
      <c r="C2477" t="s">
        <v>4982</v>
      </c>
      <c r="D2477" s="1" t="s">
        <v>427</v>
      </c>
      <c r="E2477" s="3">
        <v>20.440000000000001</v>
      </c>
      <c r="F2477" s="3">
        <f t="shared" si="76"/>
        <v>5.1651880000000014</v>
      </c>
      <c r="G2477" s="3">
        <f t="shared" si="77"/>
        <v>25.605188000000002</v>
      </c>
    </row>
    <row r="2478" spans="1:7" x14ac:dyDescent="0.3">
      <c r="A2478" t="s">
        <v>13039</v>
      </c>
      <c r="B2478" t="s">
        <v>4983</v>
      </c>
      <c r="C2478" t="s">
        <v>4984</v>
      </c>
      <c r="D2478" s="1" t="s">
        <v>427</v>
      </c>
      <c r="E2478" s="3">
        <v>20.57</v>
      </c>
      <c r="F2478" s="3">
        <f t="shared" si="76"/>
        <v>5.1980390000000005</v>
      </c>
      <c r="G2478" s="3">
        <f t="shared" si="77"/>
        <v>25.768039000000002</v>
      </c>
    </row>
    <row r="2479" spans="1:7" x14ac:dyDescent="0.3">
      <c r="A2479" t="s">
        <v>13039</v>
      </c>
      <c r="B2479" t="s">
        <v>4985</v>
      </c>
      <c r="C2479" t="s">
        <v>4986</v>
      </c>
      <c r="D2479" s="1" t="s">
        <v>427</v>
      </c>
      <c r="E2479" s="3">
        <v>20.71</v>
      </c>
      <c r="F2479" s="3">
        <f t="shared" si="76"/>
        <v>5.2334170000000011</v>
      </c>
      <c r="G2479" s="3">
        <f t="shared" si="77"/>
        <v>25.943417000000004</v>
      </c>
    </row>
    <row r="2480" spans="1:7" x14ac:dyDescent="0.3">
      <c r="A2480" t="s">
        <v>13039</v>
      </c>
      <c r="B2480" t="s">
        <v>4987</v>
      </c>
      <c r="C2480" t="s">
        <v>4988</v>
      </c>
      <c r="D2480" s="1" t="s">
        <v>427</v>
      </c>
      <c r="E2480" s="3">
        <v>20.79</v>
      </c>
      <c r="F2480" s="3">
        <f t="shared" si="76"/>
        <v>5.2536330000000007</v>
      </c>
      <c r="G2480" s="3">
        <f t="shared" si="77"/>
        <v>26.043633</v>
      </c>
    </row>
    <row r="2481" spans="1:7" x14ac:dyDescent="0.3">
      <c r="A2481" t="s">
        <v>13039</v>
      </c>
      <c r="B2481" t="s">
        <v>4989</v>
      </c>
      <c r="C2481" t="s">
        <v>4990</v>
      </c>
      <c r="D2481" s="1" t="s">
        <v>427</v>
      </c>
      <c r="E2481" s="3">
        <v>18.27</v>
      </c>
      <c r="F2481" s="3">
        <f t="shared" si="76"/>
        <v>4.616829000000001</v>
      </c>
      <c r="G2481" s="3">
        <f t="shared" si="77"/>
        <v>22.886828999999999</v>
      </c>
    </row>
    <row r="2482" spans="1:7" x14ac:dyDescent="0.3">
      <c r="A2482" t="s">
        <v>13039</v>
      </c>
      <c r="B2482" t="s">
        <v>4991</v>
      </c>
      <c r="C2482" t="s">
        <v>4992</v>
      </c>
      <c r="D2482" s="1" t="s">
        <v>427</v>
      </c>
      <c r="E2482" s="3">
        <v>18.579999999999998</v>
      </c>
      <c r="F2482" s="3">
        <f t="shared" si="76"/>
        <v>4.6951660000000004</v>
      </c>
      <c r="G2482" s="3">
        <f t="shared" si="77"/>
        <v>23.275165999999999</v>
      </c>
    </row>
    <row r="2483" spans="1:7" x14ac:dyDescent="0.3">
      <c r="A2483" t="s">
        <v>13039</v>
      </c>
      <c r="B2483" t="s">
        <v>4993</v>
      </c>
      <c r="C2483" t="s">
        <v>4994</v>
      </c>
      <c r="D2483" s="1" t="s">
        <v>427</v>
      </c>
      <c r="E2483" s="3">
        <v>18.899999999999999</v>
      </c>
      <c r="F2483" s="3">
        <f t="shared" si="76"/>
        <v>4.7760300000000004</v>
      </c>
      <c r="G2483" s="3">
        <f t="shared" si="77"/>
        <v>23.676029999999997</v>
      </c>
    </row>
    <row r="2484" spans="1:7" x14ac:dyDescent="0.3">
      <c r="A2484" t="s">
        <v>13039</v>
      </c>
      <c r="B2484" t="s">
        <v>4995</v>
      </c>
      <c r="C2484" t="s">
        <v>4996</v>
      </c>
      <c r="D2484" s="1" t="s">
        <v>427</v>
      </c>
      <c r="E2484" s="3">
        <v>19.239999999999998</v>
      </c>
      <c r="F2484" s="3">
        <f t="shared" si="76"/>
        <v>4.8619479999999999</v>
      </c>
      <c r="G2484" s="3">
        <f t="shared" si="77"/>
        <v>24.101948</v>
      </c>
    </row>
    <row r="2485" spans="1:7" x14ac:dyDescent="0.3">
      <c r="A2485" t="s">
        <v>13039</v>
      </c>
      <c r="B2485" t="s">
        <v>4997</v>
      </c>
      <c r="C2485" t="s">
        <v>4998</v>
      </c>
      <c r="D2485" s="1" t="s">
        <v>427</v>
      </c>
      <c r="E2485" s="3">
        <v>19.59</v>
      </c>
      <c r="F2485" s="3">
        <f t="shared" si="76"/>
        <v>4.9503930000000009</v>
      </c>
      <c r="G2485" s="3">
        <f t="shared" si="77"/>
        <v>24.540393000000002</v>
      </c>
    </row>
    <row r="2486" spans="1:7" x14ac:dyDescent="0.3">
      <c r="A2486" t="s">
        <v>13039</v>
      </c>
      <c r="B2486" t="s">
        <v>4999</v>
      </c>
      <c r="C2486" t="s">
        <v>5000</v>
      </c>
      <c r="D2486" s="1" t="s">
        <v>427</v>
      </c>
      <c r="E2486" s="3">
        <v>19.78</v>
      </c>
      <c r="F2486" s="3">
        <f t="shared" si="76"/>
        <v>4.998406000000001</v>
      </c>
      <c r="G2486" s="3">
        <f t="shared" si="77"/>
        <v>24.778406000000004</v>
      </c>
    </row>
    <row r="2487" spans="1:7" x14ac:dyDescent="0.3">
      <c r="A2487" t="s">
        <v>13039</v>
      </c>
      <c r="B2487" t="s">
        <v>5001</v>
      </c>
      <c r="C2487" t="s">
        <v>5002</v>
      </c>
      <c r="D2487" s="1" t="s">
        <v>427</v>
      </c>
      <c r="E2487" s="3">
        <v>25.01</v>
      </c>
      <c r="F2487" s="3">
        <f t="shared" si="76"/>
        <v>6.3200270000000014</v>
      </c>
      <c r="G2487" s="3">
        <f t="shared" si="77"/>
        <v>31.330027000000001</v>
      </c>
    </row>
    <row r="2488" spans="1:7" x14ac:dyDescent="0.3">
      <c r="A2488" t="s">
        <v>13039</v>
      </c>
      <c r="B2488" t="s">
        <v>5003</v>
      </c>
      <c r="C2488" t="s">
        <v>5004</v>
      </c>
      <c r="D2488" s="1" t="s">
        <v>427</v>
      </c>
      <c r="E2488" s="3">
        <v>25.13</v>
      </c>
      <c r="F2488" s="3">
        <f t="shared" si="76"/>
        <v>6.3503510000000007</v>
      </c>
      <c r="G2488" s="3">
        <f t="shared" si="77"/>
        <v>31.480350999999999</v>
      </c>
    </row>
    <row r="2489" spans="1:7" x14ac:dyDescent="0.3">
      <c r="A2489" t="s">
        <v>13039</v>
      </c>
      <c r="B2489" t="s">
        <v>5005</v>
      </c>
      <c r="C2489" t="s">
        <v>5006</v>
      </c>
      <c r="D2489" s="1" t="s">
        <v>427</v>
      </c>
      <c r="E2489" s="3">
        <v>25.26</v>
      </c>
      <c r="F2489" s="3">
        <f t="shared" si="76"/>
        <v>6.3832020000000016</v>
      </c>
      <c r="G2489" s="3">
        <f t="shared" si="77"/>
        <v>31.643202000000002</v>
      </c>
    </row>
    <row r="2490" spans="1:7" x14ac:dyDescent="0.3">
      <c r="A2490" t="s">
        <v>13039</v>
      </c>
      <c r="B2490" t="s">
        <v>5007</v>
      </c>
      <c r="C2490" t="s">
        <v>5008</v>
      </c>
      <c r="D2490" s="1" t="s">
        <v>427</v>
      </c>
      <c r="E2490" s="3">
        <v>25.39</v>
      </c>
      <c r="F2490" s="3">
        <f t="shared" si="76"/>
        <v>6.4160530000000007</v>
      </c>
      <c r="G2490" s="3">
        <f t="shared" si="77"/>
        <v>31.806053000000002</v>
      </c>
    </row>
    <row r="2491" spans="1:7" x14ac:dyDescent="0.3">
      <c r="A2491" t="s">
        <v>13039</v>
      </c>
      <c r="B2491" t="s">
        <v>5009</v>
      </c>
      <c r="C2491" t="s">
        <v>5010</v>
      </c>
      <c r="D2491" s="1" t="s">
        <v>427</v>
      </c>
      <c r="E2491" s="3">
        <v>25.53</v>
      </c>
      <c r="F2491" s="3">
        <f t="shared" si="76"/>
        <v>6.4514310000000012</v>
      </c>
      <c r="G2491" s="3">
        <f t="shared" si="77"/>
        <v>31.981431000000001</v>
      </c>
    </row>
    <row r="2492" spans="1:7" x14ac:dyDescent="0.3">
      <c r="A2492" t="s">
        <v>13039</v>
      </c>
      <c r="B2492" t="s">
        <v>5011</v>
      </c>
      <c r="C2492" t="s">
        <v>5012</v>
      </c>
      <c r="D2492" s="1" t="s">
        <v>427</v>
      </c>
      <c r="E2492" s="3">
        <v>25.6</v>
      </c>
      <c r="F2492" s="3">
        <f t="shared" si="76"/>
        <v>6.4691200000000011</v>
      </c>
      <c r="G2492" s="3">
        <f t="shared" si="77"/>
        <v>32.069120000000005</v>
      </c>
    </row>
    <row r="2493" spans="1:7" x14ac:dyDescent="0.3">
      <c r="A2493" t="s">
        <v>13039</v>
      </c>
      <c r="B2493" t="s">
        <v>5013</v>
      </c>
      <c r="C2493" t="s">
        <v>5014</v>
      </c>
      <c r="D2493" s="1" t="s">
        <v>427</v>
      </c>
      <c r="E2493" s="3">
        <v>16.690000000000001</v>
      </c>
      <c r="F2493" s="3">
        <f t="shared" si="76"/>
        <v>4.2175630000000011</v>
      </c>
      <c r="G2493" s="3">
        <f t="shared" si="77"/>
        <v>20.907563000000003</v>
      </c>
    </row>
    <row r="2494" spans="1:7" x14ac:dyDescent="0.3">
      <c r="A2494" t="s">
        <v>13039</v>
      </c>
      <c r="B2494" t="s">
        <v>5015</v>
      </c>
      <c r="C2494" t="s">
        <v>5016</v>
      </c>
      <c r="D2494" s="1" t="s">
        <v>427</v>
      </c>
      <c r="E2494" s="3">
        <v>16.940000000000001</v>
      </c>
      <c r="F2494" s="3">
        <f t="shared" si="76"/>
        <v>4.2807380000000013</v>
      </c>
      <c r="G2494" s="3">
        <f t="shared" si="77"/>
        <v>21.220738000000004</v>
      </c>
    </row>
    <row r="2495" spans="1:7" x14ac:dyDescent="0.3">
      <c r="A2495" t="s">
        <v>13039</v>
      </c>
      <c r="B2495" t="s">
        <v>5017</v>
      </c>
      <c r="C2495" t="s">
        <v>5018</v>
      </c>
      <c r="D2495" s="1" t="s">
        <v>427</v>
      </c>
      <c r="E2495" s="3">
        <v>17.190000000000001</v>
      </c>
      <c r="F2495" s="3">
        <f t="shared" si="76"/>
        <v>4.3439130000000006</v>
      </c>
      <c r="G2495" s="3">
        <f t="shared" si="77"/>
        <v>21.533913000000002</v>
      </c>
    </row>
    <row r="2496" spans="1:7" x14ac:dyDescent="0.3">
      <c r="A2496" t="s">
        <v>13039</v>
      </c>
      <c r="B2496" t="s">
        <v>5019</v>
      </c>
      <c r="C2496" t="s">
        <v>5020</v>
      </c>
      <c r="D2496" s="1" t="s">
        <v>427</v>
      </c>
      <c r="E2496" s="3">
        <v>17.45</v>
      </c>
      <c r="F2496" s="3">
        <f t="shared" si="76"/>
        <v>4.4096150000000005</v>
      </c>
      <c r="G2496" s="3">
        <f t="shared" si="77"/>
        <v>21.859614999999998</v>
      </c>
    </row>
    <row r="2497" spans="1:7" x14ac:dyDescent="0.3">
      <c r="A2497" t="s">
        <v>13039</v>
      </c>
      <c r="B2497" t="s">
        <v>5021</v>
      </c>
      <c r="C2497" t="s">
        <v>5022</v>
      </c>
      <c r="D2497" s="1" t="s">
        <v>427</v>
      </c>
      <c r="E2497" s="3">
        <v>17.73</v>
      </c>
      <c r="F2497" s="3">
        <f t="shared" si="76"/>
        <v>4.4803710000000008</v>
      </c>
      <c r="G2497" s="3">
        <f t="shared" si="77"/>
        <v>22.210371000000002</v>
      </c>
    </row>
    <row r="2498" spans="1:7" x14ac:dyDescent="0.3">
      <c r="A2498" t="s">
        <v>13039</v>
      </c>
      <c r="B2498" t="s">
        <v>5023</v>
      </c>
      <c r="C2498" t="s">
        <v>5024</v>
      </c>
      <c r="D2498" s="1" t="s">
        <v>427</v>
      </c>
      <c r="E2498" s="3">
        <v>17.88</v>
      </c>
      <c r="F2498" s="3">
        <f t="shared" si="76"/>
        <v>4.5182760000000002</v>
      </c>
      <c r="G2498" s="3">
        <f t="shared" si="77"/>
        <v>22.398275999999999</v>
      </c>
    </row>
    <row r="2499" spans="1:7" x14ac:dyDescent="0.3">
      <c r="A2499" t="s">
        <v>13039</v>
      </c>
      <c r="B2499" t="s">
        <v>5025</v>
      </c>
      <c r="C2499" t="s">
        <v>5026</v>
      </c>
      <c r="D2499" s="1" t="s">
        <v>427</v>
      </c>
      <c r="E2499" s="3">
        <v>15.53</v>
      </c>
      <c r="F2499" s="3">
        <f t="shared" si="76"/>
        <v>3.9244310000000002</v>
      </c>
      <c r="G2499" s="3">
        <f t="shared" si="77"/>
        <v>19.454431</v>
      </c>
    </row>
    <row r="2500" spans="1:7" x14ac:dyDescent="0.3">
      <c r="A2500" t="s">
        <v>13039</v>
      </c>
      <c r="B2500" t="s">
        <v>5027</v>
      </c>
      <c r="C2500" t="s">
        <v>5028</v>
      </c>
      <c r="D2500" s="1" t="s">
        <v>427</v>
      </c>
      <c r="E2500" s="3">
        <v>15.74</v>
      </c>
      <c r="F2500" s="3">
        <f t="shared" si="76"/>
        <v>3.9774980000000006</v>
      </c>
      <c r="G2500" s="3">
        <f t="shared" si="77"/>
        <v>19.717497999999999</v>
      </c>
    </row>
    <row r="2501" spans="1:7" x14ac:dyDescent="0.3">
      <c r="A2501" t="s">
        <v>13039</v>
      </c>
      <c r="B2501" t="s">
        <v>5029</v>
      </c>
      <c r="C2501" t="s">
        <v>5030</v>
      </c>
      <c r="D2501" s="1" t="s">
        <v>427</v>
      </c>
      <c r="E2501" s="3">
        <v>15.96</v>
      </c>
      <c r="F2501" s="3">
        <f t="shared" si="76"/>
        <v>4.0330920000000008</v>
      </c>
      <c r="G2501" s="3">
        <f t="shared" si="77"/>
        <v>19.993092000000001</v>
      </c>
    </row>
    <row r="2502" spans="1:7" x14ac:dyDescent="0.3">
      <c r="A2502" t="s">
        <v>13039</v>
      </c>
      <c r="B2502" t="s">
        <v>5031</v>
      </c>
      <c r="C2502" t="s">
        <v>5032</v>
      </c>
      <c r="D2502" s="1" t="s">
        <v>427</v>
      </c>
      <c r="E2502" s="3">
        <v>16.18</v>
      </c>
      <c r="F2502" s="3">
        <f t="shared" si="76"/>
        <v>4.0886860000000009</v>
      </c>
      <c r="G2502" s="3">
        <f t="shared" si="77"/>
        <v>20.268686000000002</v>
      </c>
    </row>
    <row r="2503" spans="1:7" x14ac:dyDescent="0.3">
      <c r="A2503" t="s">
        <v>13039</v>
      </c>
      <c r="B2503" t="s">
        <v>5033</v>
      </c>
      <c r="C2503" t="s">
        <v>5034</v>
      </c>
      <c r="D2503" s="1" t="s">
        <v>427</v>
      </c>
      <c r="E2503" s="3">
        <v>16.420000000000002</v>
      </c>
      <c r="F2503" s="3">
        <f t="shared" ref="F2503:F2566" si="78">+E2503*$F$4</f>
        <v>4.1493340000000014</v>
      </c>
      <c r="G2503" s="3">
        <f t="shared" ref="G2503:G2566" si="79">+E2503+F2503</f>
        <v>20.569334000000005</v>
      </c>
    </row>
    <row r="2504" spans="1:7" x14ac:dyDescent="0.3">
      <c r="A2504" t="s">
        <v>13039</v>
      </c>
      <c r="B2504" t="s">
        <v>5035</v>
      </c>
      <c r="C2504" t="s">
        <v>5036</v>
      </c>
      <c r="D2504" s="1" t="s">
        <v>427</v>
      </c>
      <c r="E2504" s="3">
        <v>16.55</v>
      </c>
      <c r="F2504" s="3">
        <f t="shared" si="78"/>
        <v>4.1821850000000005</v>
      </c>
      <c r="G2504" s="3">
        <f t="shared" si="79"/>
        <v>20.732185000000001</v>
      </c>
    </row>
    <row r="2505" spans="1:7" x14ac:dyDescent="0.3">
      <c r="A2505" t="s">
        <v>13039</v>
      </c>
      <c r="B2505" t="s">
        <v>5037</v>
      </c>
      <c r="C2505" t="s">
        <v>5038</v>
      </c>
      <c r="D2505" s="1" t="s">
        <v>427</v>
      </c>
      <c r="E2505" s="3">
        <v>16.920000000000002</v>
      </c>
      <c r="F2505" s="3">
        <f t="shared" si="78"/>
        <v>4.2756840000000009</v>
      </c>
      <c r="G2505" s="3">
        <f t="shared" si="79"/>
        <v>21.195684000000004</v>
      </c>
    </row>
    <row r="2506" spans="1:7" x14ac:dyDescent="0.3">
      <c r="A2506" t="s">
        <v>13039</v>
      </c>
      <c r="B2506" t="s">
        <v>5039</v>
      </c>
      <c r="C2506" t="s">
        <v>5040</v>
      </c>
      <c r="D2506" s="1" t="s">
        <v>427</v>
      </c>
      <c r="E2506" s="3">
        <v>17.11</v>
      </c>
      <c r="F2506" s="3">
        <f t="shared" si="78"/>
        <v>4.3236970000000001</v>
      </c>
      <c r="G2506" s="3">
        <f t="shared" si="79"/>
        <v>21.433696999999999</v>
      </c>
    </row>
    <row r="2507" spans="1:7" x14ac:dyDescent="0.3">
      <c r="A2507" t="s">
        <v>13039</v>
      </c>
      <c r="B2507" t="s">
        <v>5041</v>
      </c>
      <c r="C2507" t="s">
        <v>5042</v>
      </c>
      <c r="D2507" s="1" t="s">
        <v>427</v>
      </c>
      <c r="E2507" s="3">
        <v>17.3</v>
      </c>
      <c r="F2507" s="3">
        <f t="shared" si="78"/>
        <v>4.3717100000000011</v>
      </c>
      <c r="G2507" s="3">
        <f t="shared" si="79"/>
        <v>21.671710000000001</v>
      </c>
    </row>
    <row r="2508" spans="1:7" x14ac:dyDescent="0.3">
      <c r="A2508" t="s">
        <v>13039</v>
      </c>
      <c r="B2508" t="s">
        <v>5043</v>
      </c>
      <c r="C2508" t="s">
        <v>5044</v>
      </c>
      <c r="D2508" s="1" t="s">
        <v>427</v>
      </c>
      <c r="E2508" s="3">
        <v>17.5</v>
      </c>
      <c r="F2508" s="3">
        <f t="shared" si="78"/>
        <v>4.4222500000000009</v>
      </c>
      <c r="G2508" s="3">
        <f t="shared" si="79"/>
        <v>21.922250000000002</v>
      </c>
    </row>
    <row r="2509" spans="1:7" x14ac:dyDescent="0.3">
      <c r="A2509" t="s">
        <v>13039</v>
      </c>
      <c r="B2509" t="s">
        <v>5045</v>
      </c>
      <c r="C2509" t="s">
        <v>5046</v>
      </c>
      <c r="D2509" s="1" t="s">
        <v>427</v>
      </c>
      <c r="E2509" s="3">
        <v>17.71</v>
      </c>
      <c r="F2509" s="3">
        <f t="shared" si="78"/>
        <v>4.4753170000000004</v>
      </c>
      <c r="G2509" s="3">
        <f t="shared" si="79"/>
        <v>22.185317000000001</v>
      </c>
    </row>
    <row r="2510" spans="1:7" x14ac:dyDescent="0.3">
      <c r="A2510" t="s">
        <v>13039</v>
      </c>
      <c r="B2510" t="s">
        <v>5047</v>
      </c>
      <c r="C2510" t="s">
        <v>5048</v>
      </c>
      <c r="D2510" s="1" t="s">
        <v>427</v>
      </c>
      <c r="E2510" s="3">
        <v>17.82</v>
      </c>
      <c r="F2510" s="3">
        <f t="shared" si="78"/>
        <v>4.5031140000000009</v>
      </c>
      <c r="G2510" s="3">
        <f t="shared" si="79"/>
        <v>22.323114</v>
      </c>
    </row>
    <row r="2511" spans="1:7" x14ac:dyDescent="0.3">
      <c r="A2511" t="s">
        <v>13039</v>
      </c>
      <c r="B2511" t="s">
        <v>5049</v>
      </c>
      <c r="C2511" t="s">
        <v>5050</v>
      </c>
      <c r="D2511" s="1" t="s">
        <v>427</v>
      </c>
      <c r="E2511" s="3">
        <v>38.130000000000003</v>
      </c>
      <c r="F2511" s="3">
        <f t="shared" si="78"/>
        <v>9.6354510000000015</v>
      </c>
      <c r="G2511" s="3">
        <f t="shared" si="79"/>
        <v>47.765451000000006</v>
      </c>
    </row>
    <row r="2512" spans="1:7" x14ac:dyDescent="0.3">
      <c r="A2512" t="s">
        <v>13039</v>
      </c>
      <c r="B2512" t="s">
        <v>5051</v>
      </c>
      <c r="C2512" t="s">
        <v>5052</v>
      </c>
      <c r="D2512" s="1" t="s">
        <v>427</v>
      </c>
      <c r="E2512" s="3">
        <v>38.909999999999997</v>
      </c>
      <c r="F2512" s="3">
        <f t="shared" si="78"/>
        <v>9.8325570000000013</v>
      </c>
      <c r="G2512" s="3">
        <f t="shared" si="79"/>
        <v>48.742556999999998</v>
      </c>
    </row>
    <row r="2513" spans="1:7" x14ac:dyDescent="0.3">
      <c r="A2513" t="s">
        <v>13039</v>
      </c>
      <c r="B2513" t="s">
        <v>5053</v>
      </c>
      <c r="C2513" t="s">
        <v>5054</v>
      </c>
      <c r="D2513" s="1" t="s">
        <v>427</v>
      </c>
      <c r="E2513" s="3">
        <v>39.71</v>
      </c>
      <c r="F2513" s="3">
        <f t="shared" si="78"/>
        <v>10.034717000000002</v>
      </c>
      <c r="G2513" s="3">
        <f t="shared" si="79"/>
        <v>49.744717000000001</v>
      </c>
    </row>
    <row r="2514" spans="1:7" x14ac:dyDescent="0.3">
      <c r="A2514" t="s">
        <v>13039</v>
      </c>
      <c r="B2514" t="s">
        <v>5055</v>
      </c>
      <c r="C2514" t="s">
        <v>5056</v>
      </c>
      <c r="D2514" s="1" t="s">
        <v>427</v>
      </c>
      <c r="E2514" s="3">
        <v>40.549999999999997</v>
      </c>
      <c r="F2514" s="3">
        <f t="shared" si="78"/>
        <v>10.246985</v>
      </c>
      <c r="G2514" s="3">
        <f t="shared" si="79"/>
        <v>50.796984999999999</v>
      </c>
    </row>
    <row r="2515" spans="1:7" x14ac:dyDescent="0.3">
      <c r="A2515" t="s">
        <v>13039</v>
      </c>
      <c r="B2515" t="s">
        <v>5057</v>
      </c>
      <c r="C2515" t="s">
        <v>5058</v>
      </c>
      <c r="D2515" s="1" t="s">
        <v>427</v>
      </c>
      <c r="E2515" s="3">
        <v>41.44</v>
      </c>
      <c r="F2515" s="3">
        <f t="shared" si="78"/>
        <v>10.471888000000002</v>
      </c>
      <c r="G2515" s="3">
        <f t="shared" si="79"/>
        <v>51.911887999999998</v>
      </c>
    </row>
    <row r="2516" spans="1:7" x14ac:dyDescent="0.3">
      <c r="A2516" t="s">
        <v>13039</v>
      </c>
      <c r="B2516" t="s">
        <v>5059</v>
      </c>
      <c r="C2516" t="s">
        <v>5060</v>
      </c>
      <c r="D2516" s="1" t="s">
        <v>427</v>
      </c>
      <c r="E2516" s="3">
        <v>41.9</v>
      </c>
      <c r="F2516" s="3">
        <f t="shared" si="78"/>
        <v>10.588130000000001</v>
      </c>
      <c r="G2516" s="3">
        <f t="shared" si="79"/>
        <v>52.488129999999998</v>
      </c>
    </row>
    <row r="2517" spans="1:7" x14ac:dyDescent="0.3">
      <c r="A2517" t="s">
        <v>13039</v>
      </c>
      <c r="B2517" t="s">
        <v>5061</v>
      </c>
      <c r="C2517" t="s">
        <v>5062</v>
      </c>
      <c r="D2517" s="1" t="s">
        <v>427</v>
      </c>
      <c r="E2517" s="3">
        <v>18.43</v>
      </c>
      <c r="F2517" s="3">
        <f t="shared" si="78"/>
        <v>4.657261000000001</v>
      </c>
      <c r="G2517" s="3">
        <f t="shared" si="79"/>
        <v>23.087261000000002</v>
      </c>
    </row>
    <row r="2518" spans="1:7" x14ac:dyDescent="0.3">
      <c r="A2518" t="s">
        <v>13039</v>
      </c>
      <c r="B2518" t="s">
        <v>5063</v>
      </c>
      <c r="C2518" t="s">
        <v>5064</v>
      </c>
      <c r="D2518" s="1" t="s">
        <v>427</v>
      </c>
      <c r="E2518" s="3">
        <v>20.18</v>
      </c>
      <c r="F2518" s="3">
        <f t="shared" si="78"/>
        <v>5.0994860000000006</v>
      </c>
      <c r="G2518" s="3">
        <f t="shared" si="79"/>
        <v>25.279485999999999</v>
      </c>
    </row>
    <row r="2519" spans="1:7" x14ac:dyDescent="0.3">
      <c r="A2519" t="s">
        <v>13039</v>
      </c>
      <c r="B2519" t="s">
        <v>5065</v>
      </c>
      <c r="C2519" t="s">
        <v>5066</v>
      </c>
      <c r="D2519" s="1" t="s">
        <v>427</v>
      </c>
      <c r="E2519" s="3">
        <v>20.5</v>
      </c>
      <c r="F2519" s="3">
        <f t="shared" si="78"/>
        <v>5.1803500000000007</v>
      </c>
      <c r="G2519" s="3">
        <f t="shared" si="79"/>
        <v>25.680350000000001</v>
      </c>
    </row>
    <row r="2520" spans="1:7" x14ac:dyDescent="0.3">
      <c r="A2520" t="s">
        <v>13039</v>
      </c>
      <c r="B2520" t="s">
        <v>5067</v>
      </c>
      <c r="C2520" t="s">
        <v>5068</v>
      </c>
      <c r="D2520" s="1" t="s">
        <v>427</v>
      </c>
      <c r="E2520" s="3">
        <v>20.82</v>
      </c>
      <c r="F2520" s="3">
        <f t="shared" si="78"/>
        <v>5.2612140000000007</v>
      </c>
      <c r="G2520" s="3">
        <f t="shared" si="79"/>
        <v>26.081214000000003</v>
      </c>
    </row>
    <row r="2521" spans="1:7" x14ac:dyDescent="0.3">
      <c r="A2521" t="s">
        <v>13039</v>
      </c>
      <c r="B2521" t="s">
        <v>5069</v>
      </c>
      <c r="C2521" t="s">
        <v>5070</v>
      </c>
      <c r="D2521" s="1" t="s">
        <v>427</v>
      </c>
      <c r="E2521" s="3">
        <v>22.84</v>
      </c>
      <c r="F2521" s="3">
        <f t="shared" si="78"/>
        <v>5.7716680000000009</v>
      </c>
      <c r="G2521" s="3">
        <f t="shared" si="79"/>
        <v>28.611668000000002</v>
      </c>
    </row>
    <row r="2522" spans="1:7" x14ac:dyDescent="0.3">
      <c r="A2522" t="s">
        <v>13039</v>
      </c>
      <c r="B2522" t="s">
        <v>5071</v>
      </c>
      <c r="C2522" t="s">
        <v>5072</v>
      </c>
      <c r="D2522" s="1" t="s">
        <v>427</v>
      </c>
      <c r="E2522" s="3">
        <v>23.26</v>
      </c>
      <c r="F2522" s="3">
        <f t="shared" si="78"/>
        <v>5.8778020000000009</v>
      </c>
      <c r="G2522" s="3">
        <f t="shared" si="79"/>
        <v>29.137802000000001</v>
      </c>
    </row>
    <row r="2523" spans="1:7" x14ac:dyDescent="0.3">
      <c r="A2523" t="s">
        <v>13039</v>
      </c>
      <c r="B2523" t="s">
        <v>5073</v>
      </c>
      <c r="C2523" t="s">
        <v>5074</v>
      </c>
      <c r="D2523" s="1" t="s">
        <v>427</v>
      </c>
      <c r="E2523" s="3">
        <v>23.69</v>
      </c>
      <c r="F2523" s="3">
        <f t="shared" si="78"/>
        <v>5.9864630000000014</v>
      </c>
      <c r="G2523" s="3">
        <f t="shared" si="79"/>
        <v>29.676463000000002</v>
      </c>
    </row>
    <row r="2524" spans="1:7" x14ac:dyDescent="0.3">
      <c r="A2524" t="s">
        <v>13039</v>
      </c>
      <c r="B2524" t="s">
        <v>5075</v>
      </c>
      <c r="C2524" t="s">
        <v>5076</v>
      </c>
      <c r="D2524" s="1" t="s">
        <v>427</v>
      </c>
      <c r="E2524" s="3">
        <v>18.989999999999998</v>
      </c>
      <c r="F2524" s="3">
        <f t="shared" si="78"/>
        <v>4.7987730000000006</v>
      </c>
      <c r="G2524" s="3">
        <f t="shared" si="79"/>
        <v>23.788772999999999</v>
      </c>
    </row>
    <row r="2525" spans="1:7" x14ac:dyDescent="0.3">
      <c r="A2525" t="s">
        <v>13039</v>
      </c>
      <c r="B2525" t="s">
        <v>5077</v>
      </c>
      <c r="C2525" t="s">
        <v>5078</v>
      </c>
      <c r="D2525" s="1" t="s">
        <v>427</v>
      </c>
      <c r="E2525" s="3">
        <v>19.47</v>
      </c>
      <c r="F2525" s="3">
        <f t="shared" si="78"/>
        <v>4.9200690000000007</v>
      </c>
      <c r="G2525" s="3">
        <f t="shared" si="79"/>
        <v>24.390069</v>
      </c>
    </row>
    <row r="2526" spans="1:7" x14ac:dyDescent="0.3">
      <c r="A2526" t="s">
        <v>13039</v>
      </c>
      <c r="B2526" t="s">
        <v>5079</v>
      </c>
      <c r="C2526" t="s">
        <v>5080</v>
      </c>
      <c r="D2526" s="1" t="s">
        <v>427</v>
      </c>
      <c r="E2526" s="3">
        <v>19.78</v>
      </c>
      <c r="F2526" s="3">
        <f t="shared" si="78"/>
        <v>4.998406000000001</v>
      </c>
      <c r="G2526" s="3">
        <f t="shared" si="79"/>
        <v>24.778406000000004</v>
      </c>
    </row>
    <row r="2527" spans="1:7" x14ac:dyDescent="0.3">
      <c r="A2527" t="s">
        <v>13039</v>
      </c>
      <c r="B2527" t="s">
        <v>5081</v>
      </c>
      <c r="C2527" t="s">
        <v>5082</v>
      </c>
      <c r="D2527" s="1" t="s">
        <v>427</v>
      </c>
      <c r="E2527" s="3">
        <v>23.9</v>
      </c>
      <c r="F2527" s="3">
        <f t="shared" si="78"/>
        <v>6.0395300000000001</v>
      </c>
      <c r="G2527" s="3">
        <f t="shared" si="79"/>
        <v>29.939529999999998</v>
      </c>
    </row>
    <row r="2528" spans="1:7" x14ac:dyDescent="0.3">
      <c r="A2528" t="s">
        <v>13039</v>
      </c>
      <c r="B2528" t="s">
        <v>5083</v>
      </c>
      <c r="C2528" t="s">
        <v>5084</v>
      </c>
      <c r="D2528" s="1" t="s">
        <v>427</v>
      </c>
      <c r="E2528" s="3">
        <v>21.2</v>
      </c>
      <c r="F2528" s="3">
        <f t="shared" si="78"/>
        <v>5.3572400000000009</v>
      </c>
      <c r="G2528" s="3">
        <f t="shared" si="79"/>
        <v>26.55724</v>
      </c>
    </row>
    <row r="2529" spans="1:7" x14ac:dyDescent="0.3">
      <c r="A2529" t="s">
        <v>13039</v>
      </c>
      <c r="B2529" t="s">
        <v>5085</v>
      </c>
      <c r="C2529" t="s">
        <v>5086</v>
      </c>
      <c r="D2529" s="1" t="s">
        <v>427</v>
      </c>
      <c r="E2529" s="3">
        <v>21.51</v>
      </c>
      <c r="F2529" s="3">
        <f t="shared" si="78"/>
        <v>5.4355770000000012</v>
      </c>
      <c r="G2529" s="3">
        <f t="shared" si="79"/>
        <v>26.945577000000004</v>
      </c>
    </row>
    <row r="2530" spans="1:7" x14ac:dyDescent="0.3">
      <c r="A2530" t="s">
        <v>13039</v>
      </c>
      <c r="B2530" t="s">
        <v>5087</v>
      </c>
      <c r="C2530" t="s">
        <v>5088</v>
      </c>
      <c r="D2530" s="1" t="s">
        <v>427</v>
      </c>
      <c r="E2530" s="3">
        <v>21.74</v>
      </c>
      <c r="F2530" s="3">
        <f t="shared" si="78"/>
        <v>5.4936980000000002</v>
      </c>
      <c r="G2530" s="3">
        <f t="shared" si="79"/>
        <v>27.233697999999997</v>
      </c>
    </row>
    <row r="2531" spans="1:7" x14ac:dyDescent="0.3">
      <c r="A2531" t="s">
        <v>13039</v>
      </c>
      <c r="B2531" t="s">
        <v>5089</v>
      </c>
      <c r="C2531" t="s">
        <v>5090</v>
      </c>
      <c r="D2531" s="1" t="s">
        <v>427</v>
      </c>
      <c r="E2531" s="3">
        <v>22.04</v>
      </c>
      <c r="F2531" s="3">
        <f t="shared" si="78"/>
        <v>5.5695080000000008</v>
      </c>
      <c r="G2531" s="3">
        <f t="shared" si="79"/>
        <v>27.609507999999998</v>
      </c>
    </row>
    <row r="2532" spans="1:7" x14ac:dyDescent="0.3">
      <c r="A2532" t="s">
        <v>13039</v>
      </c>
      <c r="B2532" t="s">
        <v>5091</v>
      </c>
      <c r="C2532" t="s">
        <v>5092</v>
      </c>
      <c r="D2532" s="1" t="s">
        <v>427</v>
      </c>
      <c r="E2532" s="3">
        <v>22.35</v>
      </c>
      <c r="F2532" s="3">
        <f t="shared" si="78"/>
        <v>5.6478450000000011</v>
      </c>
      <c r="G2532" s="3">
        <f t="shared" si="79"/>
        <v>27.997845000000002</v>
      </c>
    </row>
    <row r="2533" spans="1:7" x14ac:dyDescent="0.3">
      <c r="A2533" t="s">
        <v>13039</v>
      </c>
      <c r="B2533" t="s">
        <v>5093</v>
      </c>
      <c r="C2533" t="s">
        <v>5094</v>
      </c>
      <c r="D2533" s="1" t="s">
        <v>427</v>
      </c>
      <c r="E2533" s="3">
        <v>22.81</v>
      </c>
      <c r="F2533" s="3">
        <f t="shared" si="78"/>
        <v>5.7640870000000008</v>
      </c>
      <c r="G2533" s="3">
        <f t="shared" si="79"/>
        <v>28.574086999999999</v>
      </c>
    </row>
    <row r="2534" spans="1:7" x14ac:dyDescent="0.3">
      <c r="A2534" t="s">
        <v>13039</v>
      </c>
      <c r="B2534" t="s">
        <v>5095</v>
      </c>
      <c r="C2534" t="s">
        <v>5096</v>
      </c>
      <c r="D2534" s="1" t="s">
        <v>427</v>
      </c>
      <c r="E2534" s="3">
        <v>25.25</v>
      </c>
      <c r="F2534" s="3">
        <f t="shared" si="78"/>
        <v>6.380675000000001</v>
      </c>
      <c r="G2534" s="3">
        <f t="shared" si="79"/>
        <v>31.630675</v>
      </c>
    </row>
    <row r="2535" spans="1:7" x14ac:dyDescent="0.3">
      <c r="A2535" t="s">
        <v>13039</v>
      </c>
      <c r="B2535" t="s">
        <v>5097</v>
      </c>
      <c r="C2535" t="s">
        <v>5098</v>
      </c>
      <c r="D2535" s="1" t="s">
        <v>427</v>
      </c>
      <c r="E2535" s="3">
        <v>19.899999999999999</v>
      </c>
      <c r="F2535" s="3">
        <f t="shared" si="78"/>
        <v>5.0287300000000004</v>
      </c>
      <c r="G2535" s="3">
        <f t="shared" si="79"/>
        <v>24.928729999999998</v>
      </c>
    </row>
    <row r="2536" spans="1:7" x14ac:dyDescent="0.3">
      <c r="A2536" t="s">
        <v>13039</v>
      </c>
      <c r="B2536" t="s">
        <v>5099</v>
      </c>
      <c r="C2536" t="s">
        <v>5100</v>
      </c>
      <c r="D2536" s="1" t="s">
        <v>427</v>
      </c>
      <c r="E2536" s="3">
        <v>20.28</v>
      </c>
      <c r="F2536" s="3">
        <f t="shared" si="78"/>
        <v>5.1247560000000014</v>
      </c>
      <c r="G2536" s="3">
        <f t="shared" si="79"/>
        <v>25.404756000000003</v>
      </c>
    </row>
    <row r="2537" spans="1:7" x14ac:dyDescent="0.3">
      <c r="A2537" t="s">
        <v>13039</v>
      </c>
      <c r="B2537" t="s">
        <v>5101</v>
      </c>
      <c r="C2537" t="s">
        <v>5102</v>
      </c>
      <c r="D2537" s="1" t="s">
        <v>427</v>
      </c>
      <c r="E2537" s="3">
        <v>17.84</v>
      </c>
      <c r="F2537" s="3">
        <f t="shared" si="78"/>
        <v>4.5081680000000004</v>
      </c>
      <c r="G2537" s="3">
        <f t="shared" si="79"/>
        <v>22.348168000000001</v>
      </c>
    </row>
    <row r="2538" spans="1:7" x14ac:dyDescent="0.3">
      <c r="A2538" t="s">
        <v>13039</v>
      </c>
      <c r="B2538" t="s">
        <v>5103</v>
      </c>
      <c r="C2538" t="s">
        <v>5104</v>
      </c>
      <c r="D2538" s="1" t="s">
        <v>427</v>
      </c>
      <c r="E2538" s="3">
        <v>20.67</v>
      </c>
      <c r="F2538" s="3">
        <f t="shared" si="78"/>
        <v>5.2233090000000013</v>
      </c>
      <c r="G2538" s="3">
        <f t="shared" si="79"/>
        <v>25.893309000000002</v>
      </c>
    </row>
    <row r="2539" spans="1:7" x14ac:dyDescent="0.3">
      <c r="A2539" t="s">
        <v>13039</v>
      </c>
      <c r="B2539" t="s">
        <v>5105</v>
      </c>
      <c r="C2539" t="s">
        <v>5106</v>
      </c>
      <c r="D2539" s="1" t="s">
        <v>427</v>
      </c>
      <c r="E2539" s="3">
        <v>20.9</v>
      </c>
      <c r="F2539" s="3">
        <f t="shared" si="78"/>
        <v>5.2814300000000003</v>
      </c>
      <c r="G2539" s="3">
        <f t="shared" si="79"/>
        <v>26.181429999999999</v>
      </c>
    </row>
    <row r="2540" spans="1:7" x14ac:dyDescent="0.3">
      <c r="A2540" t="s">
        <v>13039</v>
      </c>
      <c r="B2540" t="s">
        <v>5107</v>
      </c>
      <c r="C2540" t="s">
        <v>5108</v>
      </c>
      <c r="D2540" s="1" t="s">
        <v>427</v>
      </c>
      <c r="E2540" s="3">
        <v>25.6</v>
      </c>
      <c r="F2540" s="3">
        <f t="shared" si="78"/>
        <v>6.4691200000000011</v>
      </c>
      <c r="G2540" s="3">
        <f t="shared" si="79"/>
        <v>32.069120000000005</v>
      </c>
    </row>
    <row r="2541" spans="1:7" x14ac:dyDescent="0.3">
      <c r="A2541" t="s">
        <v>13039</v>
      </c>
      <c r="B2541" t="s">
        <v>5109</v>
      </c>
      <c r="C2541" t="s">
        <v>5110</v>
      </c>
      <c r="D2541" s="1" t="s">
        <v>427</v>
      </c>
      <c r="E2541" s="3">
        <v>20.36</v>
      </c>
      <c r="F2541" s="3">
        <f t="shared" si="78"/>
        <v>5.144972000000001</v>
      </c>
      <c r="G2541" s="3">
        <f t="shared" si="79"/>
        <v>25.504972000000002</v>
      </c>
    </row>
    <row r="2542" spans="1:7" x14ac:dyDescent="0.3">
      <c r="A2542" t="s">
        <v>13039</v>
      </c>
      <c r="B2542" t="s">
        <v>5111</v>
      </c>
      <c r="C2542" t="s">
        <v>5112</v>
      </c>
      <c r="D2542" s="1" t="s">
        <v>427</v>
      </c>
      <c r="E2542" s="3">
        <v>20.51</v>
      </c>
      <c r="F2542" s="3">
        <f t="shared" si="78"/>
        <v>5.1828770000000013</v>
      </c>
      <c r="G2542" s="3">
        <f t="shared" si="79"/>
        <v>25.692877000000003</v>
      </c>
    </row>
    <row r="2543" spans="1:7" x14ac:dyDescent="0.3">
      <c r="A2543" t="s">
        <v>13039</v>
      </c>
      <c r="B2543" t="s">
        <v>5113</v>
      </c>
      <c r="C2543" t="s">
        <v>5114</v>
      </c>
      <c r="D2543" s="1" t="s">
        <v>427</v>
      </c>
      <c r="E2543" s="3">
        <v>20.67</v>
      </c>
      <c r="F2543" s="3">
        <f t="shared" si="78"/>
        <v>5.2233090000000013</v>
      </c>
      <c r="G2543" s="3">
        <f t="shared" si="79"/>
        <v>25.893309000000002</v>
      </c>
    </row>
    <row r="2544" spans="1:7" x14ac:dyDescent="0.3">
      <c r="A2544" t="s">
        <v>13039</v>
      </c>
      <c r="B2544" t="s">
        <v>5115</v>
      </c>
      <c r="C2544" t="s">
        <v>5116</v>
      </c>
      <c r="D2544" s="1" t="s">
        <v>427</v>
      </c>
      <c r="E2544" s="3">
        <v>20.82</v>
      </c>
      <c r="F2544" s="3">
        <f t="shared" si="78"/>
        <v>5.2612140000000007</v>
      </c>
      <c r="G2544" s="3">
        <f t="shared" si="79"/>
        <v>26.081214000000003</v>
      </c>
    </row>
    <row r="2545" spans="1:7" x14ac:dyDescent="0.3">
      <c r="A2545" t="s">
        <v>13039</v>
      </c>
      <c r="B2545" t="s">
        <v>5117</v>
      </c>
      <c r="C2545" t="s">
        <v>5118</v>
      </c>
      <c r="D2545" s="1" t="s">
        <v>427</v>
      </c>
      <c r="E2545" s="3">
        <v>21.05</v>
      </c>
      <c r="F2545" s="3">
        <f t="shared" si="78"/>
        <v>5.3193350000000006</v>
      </c>
      <c r="G2545" s="3">
        <f t="shared" si="79"/>
        <v>26.369335</v>
      </c>
    </row>
    <row r="2546" spans="1:7" x14ac:dyDescent="0.3">
      <c r="A2546" t="s">
        <v>13039</v>
      </c>
      <c r="B2546" t="s">
        <v>5119</v>
      </c>
      <c r="C2546" t="s">
        <v>5120</v>
      </c>
      <c r="D2546" s="1" t="s">
        <v>427</v>
      </c>
      <c r="E2546" s="3">
        <v>21.35</v>
      </c>
      <c r="F2546" s="3">
        <f t="shared" si="78"/>
        <v>5.3951450000000012</v>
      </c>
      <c r="G2546" s="3">
        <f t="shared" si="79"/>
        <v>26.745145000000001</v>
      </c>
    </row>
    <row r="2547" spans="1:7" x14ac:dyDescent="0.3">
      <c r="A2547" t="s">
        <v>13039</v>
      </c>
      <c r="B2547" t="s">
        <v>5121</v>
      </c>
      <c r="C2547" t="s">
        <v>5122</v>
      </c>
      <c r="D2547" s="1" t="s">
        <v>427</v>
      </c>
      <c r="E2547" s="3">
        <v>21.81</v>
      </c>
      <c r="F2547" s="3">
        <f t="shared" si="78"/>
        <v>5.511387</v>
      </c>
      <c r="G2547" s="3">
        <f t="shared" si="79"/>
        <v>27.321386999999998</v>
      </c>
    </row>
    <row r="2548" spans="1:7" x14ac:dyDescent="0.3">
      <c r="A2548" t="s">
        <v>13039</v>
      </c>
      <c r="B2548" t="s">
        <v>5123</v>
      </c>
      <c r="C2548" t="s">
        <v>5124</v>
      </c>
      <c r="D2548" s="1" t="s">
        <v>427</v>
      </c>
      <c r="E2548" s="3">
        <v>17.84</v>
      </c>
      <c r="F2548" s="3">
        <f t="shared" si="78"/>
        <v>4.5081680000000004</v>
      </c>
      <c r="G2548" s="3">
        <f t="shared" si="79"/>
        <v>22.348168000000001</v>
      </c>
    </row>
    <row r="2549" spans="1:7" x14ac:dyDescent="0.3">
      <c r="A2549" t="s">
        <v>13039</v>
      </c>
      <c r="B2549" t="s">
        <v>5125</v>
      </c>
      <c r="C2549" t="s">
        <v>5126</v>
      </c>
      <c r="D2549" s="1" t="s">
        <v>427</v>
      </c>
      <c r="E2549" s="3">
        <v>19.75</v>
      </c>
      <c r="F2549" s="3">
        <f t="shared" si="78"/>
        <v>4.990825000000001</v>
      </c>
      <c r="G2549" s="3">
        <f t="shared" si="79"/>
        <v>24.740825000000001</v>
      </c>
    </row>
    <row r="2550" spans="1:7" x14ac:dyDescent="0.3">
      <c r="A2550" t="s">
        <v>13039</v>
      </c>
      <c r="B2550" t="s">
        <v>5127</v>
      </c>
      <c r="C2550" t="s">
        <v>5128</v>
      </c>
      <c r="D2550" s="1" t="s">
        <v>427</v>
      </c>
      <c r="E2550" s="3">
        <v>17.57</v>
      </c>
      <c r="F2550" s="3">
        <f t="shared" si="78"/>
        <v>4.4399390000000007</v>
      </c>
      <c r="G2550" s="3">
        <f t="shared" si="79"/>
        <v>22.009939000000003</v>
      </c>
    </row>
    <row r="2551" spans="1:7" x14ac:dyDescent="0.3">
      <c r="A2551" t="s">
        <v>13039</v>
      </c>
      <c r="B2551" t="s">
        <v>5129</v>
      </c>
      <c r="C2551" t="s">
        <v>5130</v>
      </c>
      <c r="D2551" s="1" t="s">
        <v>427</v>
      </c>
      <c r="E2551" s="3">
        <v>19.98</v>
      </c>
      <c r="F2551" s="3">
        <f t="shared" si="78"/>
        <v>5.0489460000000008</v>
      </c>
      <c r="G2551" s="3">
        <f t="shared" si="79"/>
        <v>25.028946000000001</v>
      </c>
    </row>
    <row r="2552" spans="1:7" x14ac:dyDescent="0.3">
      <c r="A2552" t="s">
        <v>13039</v>
      </c>
      <c r="B2552" t="s">
        <v>5131</v>
      </c>
      <c r="C2552" t="s">
        <v>5132</v>
      </c>
      <c r="D2552" s="1" t="s">
        <v>427</v>
      </c>
      <c r="E2552" s="3">
        <v>20.13</v>
      </c>
      <c r="F2552" s="3">
        <f t="shared" si="78"/>
        <v>5.0868510000000002</v>
      </c>
      <c r="G2552" s="3">
        <f t="shared" si="79"/>
        <v>25.216850999999998</v>
      </c>
    </row>
    <row r="2553" spans="1:7" x14ac:dyDescent="0.3">
      <c r="A2553" t="s">
        <v>13039</v>
      </c>
      <c r="B2553" t="s">
        <v>5133</v>
      </c>
      <c r="C2553" t="s">
        <v>5134</v>
      </c>
      <c r="D2553" s="1" t="s">
        <v>427</v>
      </c>
      <c r="E2553" s="3">
        <v>22.12</v>
      </c>
      <c r="F2553" s="3">
        <f t="shared" si="78"/>
        <v>5.5897240000000012</v>
      </c>
      <c r="G2553" s="3">
        <f t="shared" si="79"/>
        <v>27.709724000000001</v>
      </c>
    </row>
    <row r="2554" spans="1:7" x14ac:dyDescent="0.3">
      <c r="A2554" t="s">
        <v>13039</v>
      </c>
      <c r="B2554" t="s">
        <v>5135</v>
      </c>
      <c r="C2554" t="s">
        <v>5136</v>
      </c>
      <c r="D2554" s="1" t="s">
        <v>427</v>
      </c>
      <c r="E2554" s="3">
        <v>20.28</v>
      </c>
      <c r="F2554" s="3">
        <f t="shared" si="78"/>
        <v>5.1247560000000014</v>
      </c>
      <c r="G2554" s="3">
        <f t="shared" si="79"/>
        <v>25.404756000000003</v>
      </c>
    </row>
    <row r="2555" spans="1:7" x14ac:dyDescent="0.3">
      <c r="A2555" t="s">
        <v>13039</v>
      </c>
      <c r="B2555" t="s">
        <v>5137</v>
      </c>
      <c r="C2555" t="s">
        <v>5138</v>
      </c>
      <c r="D2555" s="1" t="s">
        <v>427</v>
      </c>
      <c r="E2555" s="3">
        <v>20.51</v>
      </c>
      <c r="F2555" s="3">
        <f t="shared" si="78"/>
        <v>5.1828770000000013</v>
      </c>
      <c r="G2555" s="3">
        <f t="shared" si="79"/>
        <v>25.692877000000003</v>
      </c>
    </row>
    <row r="2556" spans="1:7" x14ac:dyDescent="0.3">
      <c r="A2556" t="s">
        <v>13039</v>
      </c>
      <c r="B2556" t="s">
        <v>5139</v>
      </c>
      <c r="C2556" t="s">
        <v>5140</v>
      </c>
      <c r="D2556" s="1" t="s">
        <v>427</v>
      </c>
      <c r="E2556" s="3">
        <v>20.67</v>
      </c>
      <c r="F2556" s="3">
        <f t="shared" si="78"/>
        <v>5.2233090000000013</v>
      </c>
      <c r="G2556" s="3">
        <f t="shared" si="79"/>
        <v>25.893309000000002</v>
      </c>
    </row>
    <row r="2557" spans="1:7" x14ac:dyDescent="0.3">
      <c r="A2557" t="s">
        <v>13039</v>
      </c>
      <c r="B2557" t="s">
        <v>5141</v>
      </c>
      <c r="C2557" t="s">
        <v>5142</v>
      </c>
      <c r="D2557" s="1" t="s">
        <v>427</v>
      </c>
      <c r="E2557" s="3">
        <v>20.82</v>
      </c>
      <c r="F2557" s="3">
        <f t="shared" si="78"/>
        <v>5.2612140000000007</v>
      </c>
      <c r="G2557" s="3">
        <f t="shared" si="79"/>
        <v>26.081214000000003</v>
      </c>
    </row>
    <row r="2558" spans="1:7" x14ac:dyDescent="0.3">
      <c r="A2558" t="s">
        <v>13039</v>
      </c>
      <c r="B2558" t="s">
        <v>5143</v>
      </c>
      <c r="C2558" t="s">
        <v>5144</v>
      </c>
      <c r="D2558" s="1" t="s">
        <v>427</v>
      </c>
      <c r="E2558" s="3">
        <v>20.97</v>
      </c>
      <c r="F2558" s="3">
        <f t="shared" si="78"/>
        <v>5.2991190000000001</v>
      </c>
      <c r="G2558" s="3">
        <f t="shared" si="79"/>
        <v>26.269119</v>
      </c>
    </row>
    <row r="2559" spans="1:7" x14ac:dyDescent="0.3">
      <c r="A2559" t="s">
        <v>13039</v>
      </c>
      <c r="B2559" t="s">
        <v>5145</v>
      </c>
      <c r="C2559" t="s">
        <v>5146</v>
      </c>
      <c r="D2559" s="1" t="s">
        <v>427</v>
      </c>
      <c r="E2559" s="3">
        <v>21.28</v>
      </c>
      <c r="F2559" s="3">
        <f t="shared" si="78"/>
        <v>5.3774560000000013</v>
      </c>
      <c r="G2559" s="3">
        <f t="shared" si="79"/>
        <v>26.657456000000003</v>
      </c>
    </row>
    <row r="2560" spans="1:7" x14ac:dyDescent="0.3">
      <c r="A2560" t="s">
        <v>13039</v>
      </c>
      <c r="B2560" t="s">
        <v>5147</v>
      </c>
      <c r="C2560" t="s">
        <v>5148</v>
      </c>
      <c r="D2560" s="1" t="s">
        <v>427</v>
      </c>
      <c r="E2560" s="3">
        <v>21.74</v>
      </c>
      <c r="F2560" s="3">
        <f t="shared" si="78"/>
        <v>5.4936980000000002</v>
      </c>
      <c r="G2560" s="3">
        <f t="shared" si="79"/>
        <v>27.233697999999997</v>
      </c>
    </row>
    <row r="2561" spans="1:7" x14ac:dyDescent="0.3">
      <c r="A2561" t="s">
        <v>13039</v>
      </c>
      <c r="B2561" t="s">
        <v>5149</v>
      </c>
      <c r="C2561" t="s">
        <v>5150</v>
      </c>
      <c r="D2561" s="1" t="s">
        <v>427</v>
      </c>
      <c r="E2561" s="3">
        <v>19.600000000000001</v>
      </c>
      <c r="F2561" s="3">
        <f t="shared" si="78"/>
        <v>4.9529200000000007</v>
      </c>
      <c r="G2561" s="3">
        <f t="shared" si="79"/>
        <v>24.55292</v>
      </c>
    </row>
    <row r="2562" spans="1:7" x14ac:dyDescent="0.3">
      <c r="A2562" t="s">
        <v>13039</v>
      </c>
      <c r="B2562" t="s">
        <v>5151</v>
      </c>
      <c r="C2562" t="s">
        <v>5152</v>
      </c>
      <c r="D2562" s="1" t="s">
        <v>427</v>
      </c>
      <c r="E2562" s="3">
        <v>19.75</v>
      </c>
      <c r="F2562" s="3">
        <f t="shared" si="78"/>
        <v>4.990825000000001</v>
      </c>
      <c r="G2562" s="3">
        <f t="shared" si="79"/>
        <v>24.740825000000001</v>
      </c>
    </row>
    <row r="2563" spans="1:7" x14ac:dyDescent="0.3">
      <c r="A2563" t="s">
        <v>13039</v>
      </c>
      <c r="B2563" t="s">
        <v>5153</v>
      </c>
      <c r="C2563" t="s">
        <v>5154</v>
      </c>
      <c r="D2563" s="1" t="s">
        <v>427</v>
      </c>
      <c r="E2563" s="3">
        <v>17.649999999999999</v>
      </c>
      <c r="F2563" s="3">
        <f t="shared" si="78"/>
        <v>4.4601550000000003</v>
      </c>
      <c r="G2563" s="3">
        <f t="shared" si="79"/>
        <v>22.110154999999999</v>
      </c>
    </row>
    <row r="2564" spans="1:7" x14ac:dyDescent="0.3">
      <c r="A2564" t="s">
        <v>13039</v>
      </c>
      <c r="B2564" t="s">
        <v>5155</v>
      </c>
      <c r="C2564" t="s">
        <v>5156</v>
      </c>
      <c r="D2564" s="1" t="s">
        <v>427</v>
      </c>
      <c r="E2564" s="3">
        <v>19.98</v>
      </c>
      <c r="F2564" s="3">
        <f t="shared" si="78"/>
        <v>5.0489460000000008</v>
      </c>
      <c r="G2564" s="3">
        <f t="shared" si="79"/>
        <v>25.028946000000001</v>
      </c>
    </row>
    <row r="2565" spans="1:7" x14ac:dyDescent="0.3">
      <c r="A2565" t="s">
        <v>13039</v>
      </c>
      <c r="B2565" t="s">
        <v>5157</v>
      </c>
      <c r="C2565" t="s">
        <v>5158</v>
      </c>
      <c r="D2565" s="1" t="s">
        <v>427</v>
      </c>
      <c r="E2565" s="3">
        <v>20.13</v>
      </c>
      <c r="F2565" s="3">
        <f t="shared" si="78"/>
        <v>5.0868510000000002</v>
      </c>
      <c r="G2565" s="3">
        <f t="shared" si="79"/>
        <v>25.216850999999998</v>
      </c>
    </row>
    <row r="2566" spans="1:7" x14ac:dyDescent="0.3">
      <c r="A2566" t="s">
        <v>13039</v>
      </c>
      <c r="B2566" t="s">
        <v>5159</v>
      </c>
      <c r="C2566" t="s">
        <v>5160</v>
      </c>
      <c r="D2566" s="1" t="s">
        <v>427</v>
      </c>
      <c r="E2566" s="3">
        <v>21.97</v>
      </c>
      <c r="F2566" s="3">
        <f t="shared" si="78"/>
        <v>5.5518190000000001</v>
      </c>
      <c r="G2566" s="3">
        <f t="shared" si="79"/>
        <v>27.521819000000001</v>
      </c>
    </row>
    <row r="2567" spans="1:7" x14ac:dyDescent="0.3">
      <c r="A2567" t="s">
        <v>13039</v>
      </c>
      <c r="B2567" t="s">
        <v>5161</v>
      </c>
      <c r="C2567" t="s">
        <v>5162</v>
      </c>
      <c r="D2567" s="1" t="s">
        <v>427</v>
      </c>
      <c r="E2567" s="3">
        <v>9.68</v>
      </c>
      <c r="F2567" s="3">
        <f t="shared" ref="F2567:F2630" si="80">+E2567*$F$4</f>
        <v>2.4461360000000001</v>
      </c>
      <c r="G2567" s="3">
        <f t="shared" ref="G2567:G2630" si="81">+E2567+F2567</f>
        <v>12.126135999999999</v>
      </c>
    </row>
    <row r="2568" spans="1:7" x14ac:dyDescent="0.3">
      <c r="A2568" t="s">
        <v>13039</v>
      </c>
      <c r="B2568" t="s">
        <v>5163</v>
      </c>
      <c r="C2568" t="s">
        <v>5164</v>
      </c>
      <c r="D2568" s="1" t="s">
        <v>427</v>
      </c>
      <c r="E2568" s="3">
        <v>11.38</v>
      </c>
      <c r="F2568" s="3">
        <f t="shared" si="80"/>
        <v>2.8757260000000007</v>
      </c>
      <c r="G2568" s="3">
        <f t="shared" si="81"/>
        <v>14.255726000000001</v>
      </c>
    </row>
    <row r="2569" spans="1:7" x14ac:dyDescent="0.3">
      <c r="A2569" t="s">
        <v>13039</v>
      </c>
      <c r="B2569" t="s">
        <v>5165</v>
      </c>
      <c r="C2569" t="s">
        <v>5166</v>
      </c>
      <c r="D2569" s="1" t="s">
        <v>427</v>
      </c>
      <c r="E2569" s="3">
        <v>11.68</v>
      </c>
      <c r="F2569" s="3">
        <f t="shared" si="80"/>
        <v>2.9515360000000004</v>
      </c>
      <c r="G2569" s="3">
        <f t="shared" si="81"/>
        <v>14.631536000000001</v>
      </c>
    </row>
    <row r="2570" spans="1:7" x14ac:dyDescent="0.3">
      <c r="A2570" t="s">
        <v>13039</v>
      </c>
      <c r="B2570" t="s">
        <v>5167</v>
      </c>
      <c r="C2570" t="s">
        <v>5168</v>
      </c>
      <c r="D2570" s="1" t="s">
        <v>427</v>
      </c>
      <c r="E2570" s="3">
        <v>12.78</v>
      </c>
      <c r="F2570" s="3">
        <f t="shared" si="80"/>
        <v>3.2295060000000002</v>
      </c>
      <c r="G2570" s="3">
        <f t="shared" si="81"/>
        <v>16.009505999999998</v>
      </c>
    </row>
    <row r="2571" spans="1:7" x14ac:dyDescent="0.3">
      <c r="A2571" t="s">
        <v>13039</v>
      </c>
      <c r="B2571" t="s">
        <v>5169</v>
      </c>
      <c r="C2571" t="s">
        <v>5170</v>
      </c>
      <c r="D2571" s="1" t="s">
        <v>427</v>
      </c>
      <c r="E2571" s="3">
        <v>13.1</v>
      </c>
      <c r="F2571" s="3">
        <f t="shared" si="80"/>
        <v>3.3103700000000003</v>
      </c>
      <c r="G2571" s="3">
        <f t="shared" si="81"/>
        <v>16.41037</v>
      </c>
    </row>
    <row r="2572" spans="1:7" x14ac:dyDescent="0.3">
      <c r="A2572" t="s">
        <v>13039</v>
      </c>
      <c r="B2572" t="s">
        <v>5171</v>
      </c>
      <c r="C2572" t="s">
        <v>5172</v>
      </c>
      <c r="D2572" s="1" t="s">
        <v>427</v>
      </c>
      <c r="E2572" s="3">
        <v>13.34</v>
      </c>
      <c r="F2572" s="3">
        <f t="shared" si="80"/>
        <v>3.3710180000000003</v>
      </c>
      <c r="G2572" s="3">
        <f t="shared" si="81"/>
        <v>16.711017999999999</v>
      </c>
    </row>
    <row r="2573" spans="1:7" x14ac:dyDescent="0.3">
      <c r="A2573" t="s">
        <v>13039</v>
      </c>
      <c r="B2573" t="s">
        <v>5173</v>
      </c>
      <c r="C2573" t="s">
        <v>5174</v>
      </c>
      <c r="D2573" s="1" t="s">
        <v>427</v>
      </c>
      <c r="E2573" s="3">
        <v>13.82</v>
      </c>
      <c r="F2573" s="3">
        <f t="shared" si="80"/>
        <v>3.4923140000000004</v>
      </c>
      <c r="G2573" s="3">
        <f t="shared" si="81"/>
        <v>17.312314000000001</v>
      </c>
    </row>
    <row r="2574" spans="1:7" x14ac:dyDescent="0.3">
      <c r="A2574" t="s">
        <v>13039</v>
      </c>
      <c r="B2574" t="s">
        <v>5175</v>
      </c>
      <c r="C2574" t="s">
        <v>5176</v>
      </c>
      <c r="D2574" s="1" t="s">
        <v>427</v>
      </c>
      <c r="E2574" s="3">
        <v>15.5</v>
      </c>
      <c r="F2574" s="3">
        <f t="shared" si="80"/>
        <v>3.9168500000000006</v>
      </c>
      <c r="G2574" s="3">
        <f t="shared" si="81"/>
        <v>19.41685</v>
      </c>
    </row>
    <row r="2575" spans="1:7" x14ac:dyDescent="0.3">
      <c r="A2575" t="s">
        <v>13039</v>
      </c>
      <c r="B2575" t="s">
        <v>5177</v>
      </c>
      <c r="C2575" t="s">
        <v>5178</v>
      </c>
      <c r="D2575" s="1" t="s">
        <v>427</v>
      </c>
      <c r="E2575" s="3">
        <v>10.119999999999999</v>
      </c>
      <c r="F2575" s="3">
        <f t="shared" si="80"/>
        <v>2.5573240000000004</v>
      </c>
      <c r="G2575" s="3">
        <f t="shared" si="81"/>
        <v>12.677323999999999</v>
      </c>
    </row>
    <row r="2576" spans="1:7" x14ac:dyDescent="0.3">
      <c r="A2576" t="s">
        <v>13039</v>
      </c>
      <c r="B2576" t="s">
        <v>5179</v>
      </c>
      <c r="C2576" t="s">
        <v>5180</v>
      </c>
      <c r="D2576" s="1" t="s">
        <v>427</v>
      </c>
      <c r="E2576" s="3">
        <v>15.9</v>
      </c>
      <c r="F2576" s="3">
        <f t="shared" si="80"/>
        <v>4.0179300000000007</v>
      </c>
      <c r="G2576" s="3">
        <f t="shared" si="81"/>
        <v>19.917930000000002</v>
      </c>
    </row>
    <row r="2577" spans="1:7" x14ac:dyDescent="0.3">
      <c r="A2577" t="s">
        <v>13039</v>
      </c>
      <c r="B2577" t="s">
        <v>5181</v>
      </c>
      <c r="C2577" t="s">
        <v>5182</v>
      </c>
      <c r="D2577" s="1" t="s">
        <v>427</v>
      </c>
      <c r="E2577" s="3">
        <v>10.48</v>
      </c>
      <c r="F2577" s="3">
        <f t="shared" si="80"/>
        <v>2.6482960000000006</v>
      </c>
      <c r="G2577" s="3">
        <f t="shared" si="81"/>
        <v>13.128296000000001</v>
      </c>
    </row>
    <row r="2578" spans="1:7" x14ac:dyDescent="0.3">
      <c r="A2578" t="s">
        <v>13039</v>
      </c>
      <c r="B2578" t="s">
        <v>5183</v>
      </c>
      <c r="C2578" t="s">
        <v>5184</v>
      </c>
      <c r="D2578" s="1" t="s">
        <v>427</v>
      </c>
      <c r="E2578" s="3">
        <v>8.7799999999999994</v>
      </c>
      <c r="F2578" s="3">
        <f t="shared" si="80"/>
        <v>2.2187060000000001</v>
      </c>
      <c r="G2578" s="3">
        <f t="shared" si="81"/>
        <v>10.998705999999999</v>
      </c>
    </row>
    <row r="2579" spans="1:7" x14ac:dyDescent="0.3">
      <c r="A2579" t="s">
        <v>13039</v>
      </c>
      <c r="B2579" t="s">
        <v>5185</v>
      </c>
      <c r="C2579" t="s">
        <v>5186</v>
      </c>
      <c r="D2579" s="1" t="s">
        <v>427</v>
      </c>
      <c r="E2579" s="3">
        <v>10.78</v>
      </c>
      <c r="F2579" s="3">
        <f t="shared" si="80"/>
        <v>2.7241060000000004</v>
      </c>
      <c r="G2579" s="3">
        <f t="shared" si="81"/>
        <v>13.504106</v>
      </c>
    </row>
    <row r="2580" spans="1:7" x14ac:dyDescent="0.3">
      <c r="A2580" t="s">
        <v>13039</v>
      </c>
      <c r="B2580" t="s">
        <v>5187</v>
      </c>
      <c r="C2580" t="s">
        <v>5188</v>
      </c>
      <c r="D2580" s="1" t="s">
        <v>427</v>
      </c>
      <c r="E2580" s="3">
        <v>11.08</v>
      </c>
      <c r="F2580" s="3">
        <f t="shared" si="80"/>
        <v>2.7999160000000005</v>
      </c>
      <c r="G2580" s="3">
        <f t="shared" si="81"/>
        <v>13.879916000000001</v>
      </c>
    </row>
    <row r="2581" spans="1:7" x14ac:dyDescent="0.3">
      <c r="A2581" t="s">
        <v>13039</v>
      </c>
      <c r="B2581" t="s">
        <v>5189</v>
      </c>
      <c r="C2581" t="s">
        <v>5190</v>
      </c>
      <c r="D2581" s="1" t="s">
        <v>427</v>
      </c>
      <c r="E2581" s="3">
        <v>10.48</v>
      </c>
      <c r="F2581" s="3">
        <f t="shared" si="80"/>
        <v>2.6482960000000006</v>
      </c>
      <c r="G2581" s="3">
        <f t="shared" si="81"/>
        <v>13.128296000000001</v>
      </c>
    </row>
    <row r="2582" spans="1:7" x14ac:dyDescent="0.3">
      <c r="A2582" t="s">
        <v>13039</v>
      </c>
      <c r="B2582" t="s">
        <v>5191</v>
      </c>
      <c r="C2582" t="s">
        <v>5192</v>
      </c>
      <c r="D2582" s="1" t="s">
        <v>427</v>
      </c>
      <c r="E2582" s="3">
        <v>10.66</v>
      </c>
      <c r="F2582" s="3">
        <f t="shared" si="80"/>
        <v>2.6937820000000006</v>
      </c>
      <c r="G2582" s="3">
        <f t="shared" si="81"/>
        <v>13.353782000000001</v>
      </c>
    </row>
    <row r="2583" spans="1:7" x14ac:dyDescent="0.3">
      <c r="A2583" t="s">
        <v>13039</v>
      </c>
      <c r="B2583" t="s">
        <v>5193</v>
      </c>
      <c r="C2583" t="s">
        <v>5194</v>
      </c>
      <c r="D2583" s="1" t="s">
        <v>427</v>
      </c>
      <c r="E2583" s="3">
        <v>10.84</v>
      </c>
      <c r="F2583" s="3">
        <f t="shared" si="80"/>
        <v>2.7392680000000005</v>
      </c>
      <c r="G2583" s="3">
        <f t="shared" si="81"/>
        <v>13.579268000000001</v>
      </c>
    </row>
    <row r="2584" spans="1:7" x14ac:dyDescent="0.3">
      <c r="A2584" t="s">
        <v>13039</v>
      </c>
      <c r="B2584" t="s">
        <v>5195</v>
      </c>
      <c r="C2584" t="s">
        <v>5196</v>
      </c>
      <c r="D2584" s="1" t="s">
        <v>427</v>
      </c>
      <c r="E2584" s="3">
        <v>11.02</v>
      </c>
      <c r="F2584" s="3">
        <f t="shared" si="80"/>
        <v>2.7847540000000004</v>
      </c>
      <c r="G2584" s="3">
        <f t="shared" si="81"/>
        <v>13.804753999999999</v>
      </c>
    </row>
    <row r="2585" spans="1:7" x14ac:dyDescent="0.3">
      <c r="A2585" t="s">
        <v>13039</v>
      </c>
      <c r="B2585" t="s">
        <v>5197</v>
      </c>
      <c r="C2585" t="s">
        <v>5198</v>
      </c>
      <c r="D2585" s="1" t="s">
        <v>427</v>
      </c>
      <c r="E2585" s="3">
        <v>11.2</v>
      </c>
      <c r="F2585" s="3">
        <f t="shared" si="80"/>
        <v>2.8302400000000003</v>
      </c>
      <c r="G2585" s="3">
        <f t="shared" si="81"/>
        <v>14.030239999999999</v>
      </c>
    </row>
    <row r="2586" spans="1:7" x14ac:dyDescent="0.3">
      <c r="A2586" t="s">
        <v>13039</v>
      </c>
      <c r="B2586" t="s">
        <v>5199</v>
      </c>
      <c r="C2586" t="s">
        <v>5200</v>
      </c>
      <c r="D2586" s="1" t="s">
        <v>427</v>
      </c>
      <c r="E2586" s="3">
        <v>11.5</v>
      </c>
      <c r="F2586" s="3">
        <f t="shared" si="80"/>
        <v>2.9060500000000005</v>
      </c>
      <c r="G2586" s="3">
        <f t="shared" si="81"/>
        <v>14.40605</v>
      </c>
    </row>
    <row r="2587" spans="1:7" x14ac:dyDescent="0.3">
      <c r="A2587" t="s">
        <v>13039</v>
      </c>
      <c r="B2587" t="s">
        <v>5201</v>
      </c>
      <c r="C2587" t="s">
        <v>5202</v>
      </c>
      <c r="D2587" s="1" t="s">
        <v>427</v>
      </c>
      <c r="E2587" s="3">
        <v>12.86</v>
      </c>
      <c r="F2587" s="3">
        <f t="shared" si="80"/>
        <v>3.2497220000000002</v>
      </c>
      <c r="G2587" s="3">
        <f t="shared" si="81"/>
        <v>16.109721999999998</v>
      </c>
    </row>
    <row r="2588" spans="1:7" x14ac:dyDescent="0.3">
      <c r="A2588" t="s">
        <v>13039</v>
      </c>
      <c r="B2588" t="s">
        <v>5203</v>
      </c>
      <c r="C2588" t="s">
        <v>5204</v>
      </c>
      <c r="D2588" s="1" t="s">
        <v>427</v>
      </c>
      <c r="E2588" s="3">
        <v>8.7799999999999994</v>
      </c>
      <c r="F2588" s="3">
        <f t="shared" si="80"/>
        <v>2.2187060000000001</v>
      </c>
      <c r="G2588" s="3">
        <f t="shared" si="81"/>
        <v>10.998705999999999</v>
      </c>
    </row>
    <row r="2589" spans="1:7" x14ac:dyDescent="0.3">
      <c r="A2589" t="s">
        <v>13039</v>
      </c>
      <c r="B2589" t="s">
        <v>5205</v>
      </c>
      <c r="C2589" t="s">
        <v>5206</v>
      </c>
      <c r="D2589" s="1" t="s">
        <v>427</v>
      </c>
      <c r="E2589" s="3">
        <v>13.18</v>
      </c>
      <c r="F2589" s="3">
        <f t="shared" si="80"/>
        <v>3.3305860000000003</v>
      </c>
      <c r="G2589" s="3">
        <f t="shared" si="81"/>
        <v>16.510586</v>
      </c>
    </row>
    <row r="2590" spans="1:7" x14ac:dyDescent="0.3">
      <c r="A2590" t="s">
        <v>13039</v>
      </c>
      <c r="B2590" t="s">
        <v>5207</v>
      </c>
      <c r="C2590" t="s">
        <v>5208</v>
      </c>
      <c r="D2590" s="1" t="s">
        <v>427</v>
      </c>
      <c r="E2590" s="3">
        <v>9.8800000000000008</v>
      </c>
      <c r="F2590" s="3">
        <f t="shared" si="80"/>
        <v>2.4966760000000003</v>
      </c>
      <c r="G2590" s="3">
        <f t="shared" si="81"/>
        <v>12.376676000000002</v>
      </c>
    </row>
    <row r="2591" spans="1:7" x14ac:dyDescent="0.3">
      <c r="A2591" t="s">
        <v>13039</v>
      </c>
      <c r="B2591" t="s">
        <v>5209</v>
      </c>
      <c r="C2591" t="s">
        <v>5210</v>
      </c>
      <c r="D2591" s="1" t="s">
        <v>427</v>
      </c>
      <c r="E2591" s="3">
        <v>8.5</v>
      </c>
      <c r="F2591" s="3">
        <f t="shared" si="80"/>
        <v>2.1479500000000002</v>
      </c>
      <c r="G2591" s="3">
        <f t="shared" si="81"/>
        <v>10.64795</v>
      </c>
    </row>
    <row r="2592" spans="1:7" x14ac:dyDescent="0.3">
      <c r="A2592" t="s">
        <v>13039</v>
      </c>
      <c r="B2592" t="s">
        <v>5211</v>
      </c>
      <c r="C2592" t="s">
        <v>5212</v>
      </c>
      <c r="D2592" s="1" t="s">
        <v>427</v>
      </c>
      <c r="E2592" s="3">
        <v>10.119999999999999</v>
      </c>
      <c r="F2592" s="3">
        <f t="shared" si="80"/>
        <v>2.5573240000000004</v>
      </c>
      <c r="G2592" s="3">
        <f t="shared" si="81"/>
        <v>12.677323999999999</v>
      </c>
    </row>
    <row r="2593" spans="1:7" x14ac:dyDescent="0.3">
      <c r="A2593" t="s">
        <v>13039</v>
      </c>
      <c r="B2593" t="s">
        <v>5213</v>
      </c>
      <c r="C2593" t="s">
        <v>5214</v>
      </c>
      <c r="D2593" s="1" t="s">
        <v>427</v>
      </c>
      <c r="E2593" s="3">
        <v>10.3</v>
      </c>
      <c r="F2593" s="3">
        <f t="shared" si="80"/>
        <v>2.6028100000000007</v>
      </c>
      <c r="G2593" s="3">
        <f t="shared" si="81"/>
        <v>12.902810000000002</v>
      </c>
    </row>
    <row r="2594" spans="1:7" x14ac:dyDescent="0.3">
      <c r="A2594" t="s">
        <v>13039</v>
      </c>
      <c r="B2594" t="s">
        <v>5215</v>
      </c>
      <c r="C2594" t="s">
        <v>5216</v>
      </c>
      <c r="D2594" s="1" t="s">
        <v>427</v>
      </c>
      <c r="E2594" s="3">
        <v>10.48</v>
      </c>
      <c r="F2594" s="3">
        <f t="shared" si="80"/>
        <v>2.6482960000000006</v>
      </c>
      <c r="G2594" s="3">
        <f t="shared" si="81"/>
        <v>13.128296000000001</v>
      </c>
    </row>
    <row r="2595" spans="1:7" x14ac:dyDescent="0.3">
      <c r="A2595" t="s">
        <v>13039</v>
      </c>
      <c r="B2595" t="s">
        <v>5217</v>
      </c>
      <c r="C2595" t="s">
        <v>5218</v>
      </c>
      <c r="D2595" s="1" t="s">
        <v>427</v>
      </c>
      <c r="E2595" s="3">
        <v>10.66</v>
      </c>
      <c r="F2595" s="3">
        <f t="shared" si="80"/>
        <v>2.6937820000000006</v>
      </c>
      <c r="G2595" s="3">
        <f t="shared" si="81"/>
        <v>13.353782000000001</v>
      </c>
    </row>
    <row r="2596" spans="1:7" x14ac:dyDescent="0.3">
      <c r="A2596" t="s">
        <v>13039</v>
      </c>
      <c r="B2596" t="s">
        <v>5219</v>
      </c>
      <c r="C2596" t="s">
        <v>5220</v>
      </c>
      <c r="D2596" s="1" t="s">
        <v>427</v>
      </c>
      <c r="E2596" s="3">
        <v>10.84</v>
      </c>
      <c r="F2596" s="3">
        <f t="shared" si="80"/>
        <v>2.7392680000000005</v>
      </c>
      <c r="G2596" s="3">
        <f t="shared" si="81"/>
        <v>13.579268000000001</v>
      </c>
    </row>
    <row r="2597" spans="1:7" x14ac:dyDescent="0.3">
      <c r="A2597" t="s">
        <v>13039</v>
      </c>
      <c r="B2597" t="s">
        <v>5221</v>
      </c>
      <c r="C2597" t="s">
        <v>5222</v>
      </c>
      <c r="D2597" s="1" t="s">
        <v>427</v>
      </c>
      <c r="E2597" s="3">
        <v>10.96</v>
      </c>
      <c r="F2597" s="3">
        <f t="shared" si="80"/>
        <v>2.7695920000000007</v>
      </c>
      <c r="G2597" s="3">
        <f t="shared" si="81"/>
        <v>13.729592000000002</v>
      </c>
    </row>
    <row r="2598" spans="1:7" x14ac:dyDescent="0.3">
      <c r="A2598" t="s">
        <v>13039</v>
      </c>
      <c r="B2598" t="s">
        <v>5223</v>
      </c>
      <c r="C2598" t="s">
        <v>5224</v>
      </c>
      <c r="D2598" s="1" t="s">
        <v>427</v>
      </c>
      <c r="E2598" s="3">
        <v>11.14</v>
      </c>
      <c r="F2598" s="3">
        <f t="shared" si="80"/>
        <v>2.8150780000000006</v>
      </c>
      <c r="G2598" s="3">
        <f t="shared" si="81"/>
        <v>13.955078</v>
      </c>
    </row>
    <row r="2599" spans="1:7" x14ac:dyDescent="0.3">
      <c r="A2599" t="s">
        <v>13039</v>
      </c>
      <c r="B2599" t="s">
        <v>5225</v>
      </c>
      <c r="C2599" t="s">
        <v>5226</v>
      </c>
      <c r="D2599" s="1" t="s">
        <v>427</v>
      </c>
      <c r="E2599" s="3">
        <v>11.44</v>
      </c>
      <c r="F2599" s="3">
        <f t="shared" si="80"/>
        <v>2.8908880000000003</v>
      </c>
      <c r="G2599" s="3">
        <f t="shared" si="81"/>
        <v>14.330888</v>
      </c>
    </row>
    <row r="2600" spans="1:7" x14ac:dyDescent="0.3">
      <c r="A2600" t="s">
        <v>13039</v>
      </c>
      <c r="B2600" t="s">
        <v>5227</v>
      </c>
      <c r="C2600" t="s">
        <v>5228</v>
      </c>
      <c r="D2600" s="1" t="s">
        <v>427</v>
      </c>
      <c r="E2600" s="3">
        <v>12.7</v>
      </c>
      <c r="F2600" s="3">
        <f t="shared" si="80"/>
        <v>3.2092900000000002</v>
      </c>
      <c r="G2600" s="3">
        <f t="shared" si="81"/>
        <v>15.909289999999999</v>
      </c>
    </row>
    <row r="2601" spans="1:7" x14ac:dyDescent="0.3">
      <c r="A2601" t="s">
        <v>13039</v>
      </c>
      <c r="B2601" t="s">
        <v>5229</v>
      </c>
      <c r="C2601" t="s">
        <v>5230</v>
      </c>
      <c r="D2601" s="1" t="s">
        <v>427</v>
      </c>
      <c r="E2601" s="3">
        <v>9.6999999999999993</v>
      </c>
      <c r="F2601" s="3">
        <f t="shared" si="80"/>
        <v>2.45119</v>
      </c>
      <c r="G2601" s="3">
        <f t="shared" si="81"/>
        <v>12.15119</v>
      </c>
    </row>
    <row r="2602" spans="1:7" x14ac:dyDescent="0.3">
      <c r="A2602" t="s">
        <v>13039</v>
      </c>
      <c r="B2602" t="s">
        <v>5231</v>
      </c>
      <c r="C2602" t="s">
        <v>5232</v>
      </c>
      <c r="D2602" s="1" t="s">
        <v>427</v>
      </c>
      <c r="E2602" s="3">
        <v>13.02</v>
      </c>
      <c r="F2602" s="3">
        <f t="shared" si="80"/>
        <v>3.2901540000000002</v>
      </c>
      <c r="G2602" s="3">
        <f t="shared" si="81"/>
        <v>16.310154000000001</v>
      </c>
    </row>
    <row r="2603" spans="1:7" x14ac:dyDescent="0.3">
      <c r="A2603" t="s">
        <v>13039</v>
      </c>
      <c r="B2603" t="s">
        <v>5233</v>
      </c>
      <c r="C2603" t="s">
        <v>5234</v>
      </c>
      <c r="D2603" s="1" t="s">
        <v>427</v>
      </c>
      <c r="E2603" s="3">
        <v>9.94</v>
      </c>
      <c r="F2603" s="3">
        <f t="shared" si="80"/>
        <v>2.511838</v>
      </c>
      <c r="G2603" s="3">
        <f t="shared" si="81"/>
        <v>12.451837999999999</v>
      </c>
    </row>
    <row r="2604" spans="1:7" x14ac:dyDescent="0.3">
      <c r="A2604" t="s">
        <v>13039</v>
      </c>
      <c r="B2604" t="s">
        <v>5235</v>
      </c>
      <c r="C2604" t="s">
        <v>5236</v>
      </c>
      <c r="D2604" s="1" t="s">
        <v>427</v>
      </c>
      <c r="E2604" s="3">
        <v>8.6199999999999992</v>
      </c>
      <c r="F2604" s="3">
        <f t="shared" si="80"/>
        <v>2.178274</v>
      </c>
      <c r="G2604" s="3">
        <f t="shared" si="81"/>
        <v>10.798273999999999</v>
      </c>
    </row>
    <row r="2605" spans="1:7" x14ac:dyDescent="0.3">
      <c r="A2605" t="s">
        <v>13039</v>
      </c>
      <c r="B2605" t="s">
        <v>5237</v>
      </c>
      <c r="C2605" t="s">
        <v>5238</v>
      </c>
      <c r="D2605" s="1" t="s">
        <v>427</v>
      </c>
      <c r="E2605" s="3">
        <v>10.119999999999999</v>
      </c>
      <c r="F2605" s="3">
        <f t="shared" si="80"/>
        <v>2.5573240000000004</v>
      </c>
      <c r="G2605" s="3">
        <f t="shared" si="81"/>
        <v>12.677323999999999</v>
      </c>
    </row>
    <row r="2606" spans="1:7" x14ac:dyDescent="0.3">
      <c r="A2606" t="s">
        <v>13039</v>
      </c>
      <c r="B2606" t="s">
        <v>5239</v>
      </c>
      <c r="C2606" t="s">
        <v>5240</v>
      </c>
      <c r="D2606" s="1" t="s">
        <v>427</v>
      </c>
      <c r="E2606" s="3">
        <v>10.3</v>
      </c>
      <c r="F2606" s="3">
        <f t="shared" si="80"/>
        <v>2.6028100000000007</v>
      </c>
      <c r="G2606" s="3">
        <f t="shared" si="81"/>
        <v>12.902810000000002</v>
      </c>
    </row>
    <row r="2607" spans="1:7" x14ac:dyDescent="0.3">
      <c r="A2607" t="s">
        <v>13039</v>
      </c>
      <c r="B2607" t="s">
        <v>5241</v>
      </c>
      <c r="C2607" t="s">
        <v>5242</v>
      </c>
      <c r="D2607" s="1" t="s">
        <v>427</v>
      </c>
      <c r="E2607" s="3">
        <v>3.1</v>
      </c>
      <c r="F2607" s="3">
        <f t="shared" si="80"/>
        <v>0.78337000000000012</v>
      </c>
      <c r="G2607" s="3">
        <f t="shared" si="81"/>
        <v>3.8833700000000002</v>
      </c>
    </row>
    <row r="2608" spans="1:7" x14ac:dyDescent="0.3">
      <c r="A2608" t="s">
        <v>13039</v>
      </c>
      <c r="B2608" t="s">
        <v>5243</v>
      </c>
      <c r="C2608" t="s">
        <v>5244</v>
      </c>
      <c r="D2608" s="1" t="s">
        <v>427</v>
      </c>
      <c r="E2608" s="3">
        <v>15.66</v>
      </c>
      <c r="F2608" s="3">
        <f t="shared" si="80"/>
        <v>3.9572820000000006</v>
      </c>
      <c r="G2608" s="3">
        <f t="shared" si="81"/>
        <v>19.617281999999999</v>
      </c>
    </row>
    <row r="2609" spans="1:7" x14ac:dyDescent="0.3">
      <c r="A2609" t="s">
        <v>13039</v>
      </c>
      <c r="B2609" t="s">
        <v>5245</v>
      </c>
      <c r="C2609" t="s">
        <v>5246</v>
      </c>
      <c r="D2609" s="1" t="s">
        <v>427</v>
      </c>
      <c r="E2609" s="3">
        <v>19.57</v>
      </c>
      <c r="F2609" s="3">
        <f t="shared" si="80"/>
        <v>4.9453390000000006</v>
      </c>
      <c r="G2609" s="3">
        <f t="shared" si="81"/>
        <v>24.515339000000001</v>
      </c>
    </row>
    <row r="2610" spans="1:7" x14ac:dyDescent="0.3">
      <c r="A2610" t="s">
        <v>13039</v>
      </c>
      <c r="B2610" t="s">
        <v>5247</v>
      </c>
      <c r="C2610" t="s">
        <v>5248</v>
      </c>
      <c r="D2610" s="1" t="s">
        <v>427</v>
      </c>
      <c r="E2610" s="3">
        <v>20.010000000000002</v>
      </c>
      <c r="F2610" s="3">
        <f t="shared" si="80"/>
        <v>5.0565270000000009</v>
      </c>
      <c r="G2610" s="3">
        <f t="shared" si="81"/>
        <v>25.066527000000001</v>
      </c>
    </row>
    <row r="2611" spans="1:7" x14ac:dyDescent="0.3">
      <c r="A2611" t="s">
        <v>13039</v>
      </c>
      <c r="B2611" t="s">
        <v>5249</v>
      </c>
      <c r="C2611" t="s">
        <v>5250</v>
      </c>
      <c r="D2611" s="1" t="s">
        <v>427</v>
      </c>
      <c r="E2611" s="3">
        <v>20.34</v>
      </c>
      <c r="F2611" s="3">
        <f t="shared" si="80"/>
        <v>5.1399180000000007</v>
      </c>
      <c r="G2611" s="3">
        <f t="shared" si="81"/>
        <v>25.479918000000001</v>
      </c>
    </row>
    <row r="2612" spans="1:7" x14ac:dyDescent="0.3">
      <c r="A2612" t="s">
        <v>13039</v>
      </c>
      <c r="B2612" t="s">
        <v>5251</v>
      </c>
      <c r="C2612" t="s">
        <v>5252</v>
      </c>
      <c r="D2612" s="1" t="s">
        <v>427</v>
      </c>
      <c r="E2612" s="3">
        <v>20.66</v>
      </c>
      <c r="F2612" s="3">
        <f t="shared" si="80"/>
        <v>5.2207820000000007</v>
      </c>
      <c r="G2612" s="3">
        <f t="shared" si="81"/>
        <v>25.880782</v>
      </c>
    </row>
    <row r="2613" spans="1:7" x14ac:dyDescent="0.3">
      <c r="A2613" t="s">
        <v>13039</v>
      </c>
      <c r="B2613" t="s">
        <v>5253</v>
      </c>
      <c r="C2613" t="s">
        <v>5254</v>
      </c>
      <c r="D2613" s="1" t="s">
        <v>427</v>
      </c>
      <c r="E2613" s="3">
        <v>21.1</v>
      </c>
      <c r="F2613" s="3">
        <f t="shared" si="80"/>
        <v>5.331970000000001</v>
      </c>
      <c r="G2613" s="3">
        <f t="shared" si="81"/>
        <v>26.431970000000003</v>
      </c>
    </row>
    <row r="2614" spans="1:7" x14ac:dyDescent="0.3">
      <c r="A2614" t="s">
        <v>13039</v>
      </c>
      <c r="B2614" t="s">
        <v>5255</v>
      </c>
      <c r="C2614" t="s">
        <v>5256</v>
      </c>
      <c r="D2614" s="1" t="s">
        <v>427</v>
      </c>
      <c r="E2614" s="3">
        <v>21.43</v>
      </c>
      <c r="F2614" s="3">
        <f t="shared" si="80"/>
        <v>5.4153610000000008</v>
      </c>
      <c r="G2614" s="3">
        <f t="shared" si="81"/>
        <v>26.845361</v>
      </c>
    </row>
    <row r="2615" spans="1:7" x14ac:dyDescent="0.3">
      <c r="A2615" t="s">
        <v>13039</v>
      </c>
      <c r="B2615" t="s">
        <v>5257</v>
      </c>
      <c r="C2615" t="s">
        <v>5258</v>
      </c>
      <c r="D2615" s="1" t="s">
        <v>427</v>
      </c>
      <c r="E2615" s="3">
        <v>16.170000000000002</v>
      </c>
      <c r="F2615" s="3">
        <f t="shared" si="80"/>
        <v>4.0861590000000012</v>
      </c>
      <c r="G2615" s="3">
        <f t="shared" si="81"/>
        <v>20.256159000000004</v>
      </c>
    </row>
    <row r="2616" spans="1:7" x14ac:dyDescent="0.3">
      <c r="A2616" t="s">
        <v>13039</v>
      </c>
      <c r="B2616" t="s">
        <v>5259</v>
      </c>
      <c r="C2616" t="s">
        <v>5260</v>
      </c>
      <c r="D2616" s="1" t="s">
        <v>427</v>
      </c>
      <c r="E2616" s="3">
        <v>16.61</v>
      </c>
      <c r="F2616" s="3">
        <f t="shared" si="80"/>
        <v>4.1973470000000006</v>
      </c>
      <c r="G2616" s="3">
        <f t="shared" si="81"/>
        <v>20.807347</v>
      </c>
    </row>
    <row r="2617" spans="1:7" x14ac:dyDescent="0.3">
      <c r="A2617" t="s">
        <v>13039</v>
      </c>
      <c r="B2617" t="s">
        <v>5261</v>
      </c>
      <c r="C2617" t="s">
        <v>5262</v>
      </c>
      <c r="D2617" s="1" t="s">
        <v>427</v>
      </c>
      <c r="E2617" s="3">
        <v>19.239999999999998</v>
      </c>
      <c r="F2617" s="3">
        <f t="shared" si="80"/>
        <v>4.8619479999999999</v>
      </c>
      <c r="G2617" s="3">
        <f t="shared" si="81"/>
        <v>24.101948</v>
      </c>
    </row>
    <row r="2618" spans="1:7" x14ac:dyDescent="0.3">
      <c r="A2618" t="s">
        <v>13039</v>
      </c>
      <c r="B2618" t="s">
        <v>5263</v>
      </c>
      <c r="C2618" t="s">
        <v>5264</v>
      </c>
      <c r="D2618" s="1" t="s">
        <v>427</v>
      </c>
      <c r="E2618" s="3">
        <v>21.65</v>
      </c>
      <c r="F2618" s="3">
        <f t="shared" si="80"/>
        <v>5.470955</v>
      </c>
      <c r="G2618" s="3">
        <f t="shared" si="81"/>
        <v>27.120954999999999</v>
      </c>
    </row>
    <row r="2619" spans="1:7" x14ac:dyDescent="0.3">
      <c r="A2619" t="s">
        <v>13039</v>
      </c>
      <c r="B2619" t="s">
        <v>5265</v>
      </c>
      <c r="C2619" t="s">
        <v>5266</v>
      </c>
      <c r="D2619" s="1" t="s">
        <v>427</v>
      </c>
      <c r="E2619" s="3">
        <v>45.74</v>
      </c>
      <c r="F2619" s="3">
        <f t="shared" si="80"/>
        <v>11.558498000000002</v>
      </c>
      <c r="G2619" s="3">
        <f t="shared" si="81"/>
        <v>57.298498000000002</v>
      </c>
    </row>
    <row r="2620" spans="1:7" x14ac:dyDescent="0.3">
      <c r="A2620" t="s">
        <v>13039</v>
      </c>
      <c r="B2620" t="s">
        <v>5267</v>
      </c>
      <c r="C2620" t="s">
        <v>5268</v>
      </c>
      <c r="D2620" s="1" t="s">
        <v>427</v>
      </c>
      <c r="E2620" s="3">
        <v>47.29</v>
      </c>
      <c r="F2620" s="3">
        <f t="shared" si="80"/>
        <v>11.950183000000001</v>
      </c>
      <c r="G2620" s="3">
        <f t="shared" si="81"/>
        <v>59.240183000000002</v>
      </c>
    </row>
    <row r="2621" spans="1:7" x14ac:dyDescent="0.3">
      <c r="A2621" t="s">
        <v>13039</v>
      </c>
      <c r="B2621" t="s">
        <v>5269</v>
      </c>
      <c r="C2621" t="s">
        <v>5270</v>
      </c>
      <c r="D2621" s="1" t="s">
        <v>427</v>
      </c>
      <c r="E2621" s="3">
        <v>48.87</v>
      </c>
      <c r="F2621" s="3">
        <f t="shared" si="80"/>
        <v>12.349449000000002</v>
      </c>
      <c r="G2621" s="3">
        <f t="shared" si="81"/>
        <v>61.219448999999997</v>
      </c>
    </row>
    <row r="2622" spans="1:7" x14ac:dyDescent="0.3">
      <c r="A2622" t="s">
        <v>13039</v>
      </c>
      <c r="B2622" t="s">
        <v>5271</v>
      </c>
      <c r="C2622" t="s">
        <v>5272</v>
      </c>
      <c r="D2622" s="1" t="s">
        <v>427</v>
      </c>
      <c r="E2622" s="3">
        <v>50.52</v>
      </c>
      <c r="F2622" s="3">
        <f t="shared" si="80"/>
        <v>12.766404000000003</v>
      </c>
      <c r="G2622" s="3">
        <f t="shared" si="81"/>
        <v>63.286404000000005</v>
      </c>
    </row>
    <row r="2623" spans="1:7" x14ac:dyDescent="0.3">
      <c r="A2623" t="s">
        <v>13039</v>
      </c>
      <c r="B2623" t="s">
        <v>5273</v>
      </c>
      <c r="C2623" t="s">
        <v>5274</v>
      </c>
      <c r="D2623" s="1" t="s">
        <v>427</v>
      </c>
      <c r="E2623" s="3">
        <v>52.28</v>
      </c>
      <c r="F2623" s="3">
        <f t="shared" si="80"/>
        <v>13.211156000000003</v>
      </c>
      <c r="G2623" s="3">
        <f t="shared" si="81"/>
        <v>65.491156000000004</v>
      </c>
    </row>
    <row r="2624" spans="1:7" x14ac:dyDescent="0.3">
      <c r="A2624" t="s">
        <v>13039</v>
      </c>
      <c r="B2624" t="s">
        <v>5275</v>
      </c>
      <c r="C2624" t="s">
        <v>5276</v>
      </c>
      <c r="D2624" s="1" t="s">
        <v>427</v>
      </c>
      <c r="E2624" s="3">
        <v>53.21</v>
      </c>
      <c r="F2624" s="3">
        <f t="shared" si="80"/>
        <v>13.446167000000003</v>
      </c>
      <c r="G2624" s="3">
        <f t="shared" si="81"/>
        <v>66.656167000000011</v>
      </c>
    </row>
    <row r="2625" spans="1:7" x14ac:dyDescent="0.3">
      <c r="A2625" t="s">
        <v>13039</v>
      </c>
      <c r="B2625" t="s">
        <v>5277</v>
      </c>
      <c r="C2625" t="s">
        <v>5278</v>
      </c>
      <c r="D2625" s="1" t="s">
        <v>427</v>
      </c>
      <c r="E2625" s="3">
        <v>21.41</v>
      </c>
      <c r="F2625" s="3">
        <f t="shared" si="80"/>
        <v>5.4103070000000004</v>
      </c>
      <c r="G2625" s="3">
        <f t="shared" si="81"/>
        <v>26.820307</v>
      </c>
    </row>
    <row r="2626" spans="1:7" x14ac:dyDescent="0.3">
      <c r="A2626" t="s">
        <v>13039</v>
      </c>
      <c r="B2626" t="s">
        <v>5279</v>
      </c>
      <c r="C2626" t="s">
        <v>5280</v>
      </c>
      <c r="D2626" s="1" t="s">
        <v>427</v>
      </c>
      <c r="E2626" s="3">
        <v>21.8</v>
      </c>
      <c r="F2626" s="3">
        <f t="shared" si="80"/>
        <v>5.5088600000000012</v>
      </c>
      <c r="G2626" s="3">
        <f t="shared" si="81"/>
        <v>27.308860000000003</v>
      </c>
    </row>
    <row r="2627" spans="1:7" x14ac:dyDescent="0.3">
      <c r="A2627" t="s">
        <v>13039</v>
      </c>
      <c r="B2627" t="s">
        <v>5281</v>
      </c>
      <c r="C2627" t="s">
        <v>5282</v>
      </c>
      <c r="D2627" s="1" t="s">
        <v>427</v>
      </c>
      <c r="E2627" s="3">
        <v>22.2</v>
      </c>
      <c r="F2627" s="3">
        <f t="shared" si="80"/>
        <v>5.6099400000000008</v>
      </c>
      <c r="G2627" s="3">
        <f t="shared" si="81"/>
        <v>27.809940000000001</v>
      </c>
    </row>
    <row r="2628" spans="1:7" x14ac:dyDescent="0.3">
      <c r="A2628" t="s">
        <v>13039</v>
      </c>
      <c r="B2628" t="s">
        <v>5283</v>
      </c>
      <c r="C2628" t="s">
        <v>5284</v>
      </c>
      <c r="D2628" s="1" t="s">
        <v>427</v>
      </c>
      <c r="E2628" s="3">
        <v>22.61</v>
      </c>
      <c r="F2628" s="3">
        <f t="shared" si="80"/>
        <v>5.713547000000001</v>
      </c>
      <c r="G2628" s="3">
        <f t="shared" si="81"/>
        <v>28.323547000000001</v>
      </c>
    </row>
    <row r="2629" spans="1:7" x14ac:dyDescent="0.3">
      <c r="A2629" t="s">
        <v>13039</v>
      </c>
      <c r="B2629" t="s">
        <v>5285</v>
      </c>
      <c r="C2629" t="s">
        <v>5286</v>
      </c>
      <c r="D2629" s="1" t="s">
        <v>427</v>
      </c>
      <c r="E2629" s="3">
        <v>23.06</v>
      </c>
      <c r="F2629" s="3">
        <f t="shared" si="80"/>
        <v>5.8272620000000002</v>
      </c>
      <c r="G2629" s="3">
        <f t="shared" si="81"/>
        <v>28.887262</v>
      </c>
    </row>
    <row r="2630" spans="1:7" x14ac:dyDescent="0.3">
      <c r="A2630" t="s">
        <v>13039</v>
      </c>
      <c r="B2630" t="s">
        <v>5287</v>
      </c>
      <c r="C2630" t="s">
        <v>5288</v>
      </c>
      <c r="D2630" s="1" t="s">
        <v>427</v>
      </c>
      <c r="E2630" s="3">
        <v>23.29</v>
      </c>
      <c r="F2630" s="3">
        <f t="shared" si="80"/>
        <v>5.8853830000000009</v>
      </c>
      <c r="G2630" s="3">
        <f t="shared" si="81"/>
        <v>29.175383</v>
      </c>
    </row>
    <row r="2631" spans="1:7" x14ac:dyDescent="0.3">
      <c r="A2631" t="s">
        <v>13039</v>
      </c>
      <c r="B2631" t="s">
        <v>5289</v>
      </c>
      <c r="C2631" t="s">
        <v>5290</v>
      </c>
      <c r="D2631" s="1" t="s">
        <v>427</v>
      </c>
      <c r="E2631" s="3">
        <v>25.49</v>
      </c>
      <c r="F2631" s="3">
        <f t="shared" ref="F2631:F2694" si="82">+E2631*$F$4</f>
        <v>6.4413230000000006</v>
      </c>
      <c r="G2631" s="3">
        <f t="shared" ref="G2631:G2694" si="83">+E2631+F2631</f>
        <v>31.931322999999999</v>
      </c>
    </row>
    <row r="2632" spans="1:7" x14ac:dyDescent="0.3">
      <c r="A2632" t="s">
        <v>13039</v>
      </c>
      <c r="B2632" t="s">
        <v>5291</v>
      </c>
      <c r="C2632" t="s">
        <v>5292</v>
      </c>
      <c r="D2632" s="1" t="s">
        <v>427</v>
      </c>
      <c r="E2632" s="3">
        <v>25.85</v>
      </c>
      <c r="F2632" s="3">
        <f t="shared" si="82"/>
        <v>6.5322950000000013</v>
      </c>
      <c r="G2632" s="3">
        <f t="shared" si="83"/>
        <v>32.382294999999999</v>
      </c>
    </row>
    <row r="2633" spans="1:7" x14ac:dyDescent="0.3">
      <c r="A2633" t="s">
        <v>13039</v>
      </c>
      <c r="B2633" t="s">
        <v>5293</v>
      </c>
      <c r="C2633" t="s">
        <v>5294</v>
      </c>
      <c r="D2633" s="1" t="s">
        <v>427</v>
      </c>
      <c r="E2633" s="3">
        <v>26.23</v>
      </c>
      <c r="F2633" s="3">
        <f t="shared" si="82"/>
        <v>6.6283210000000015</v>
      </c>
      <c r="G2633" s="3">
        <f t="shared" si="83"/>
        <v>32.858321000000004</v>
      </c>
    </row>
    <row r="2634" spans="1:7" x14ac:dyDescent="0.3">
      <c r="A2634" t="s">
        <v>13039</v>
      </c>
      <c r="B2634" t="s">
        <v>5295</v>
      </c>
      <c r="C2634" t="s">
        <v>5296</v>
      </c>
      <c r="D2634" s="1" t="s">
        <v>427</v>
      </c>
      <c r="E2634" s="3">
        <v>26.62</v>
      </c>
      <c r="F2634" s="3">
        <f t="shared" si="82"/>
        <v>6.7268740000000014</v>
      </c>
      <c r="G2634" s="3">
        <f t="shared" si="83"/>
        <v>33.346874</v>
      </c>
    </row>
    <row r="2635" spans="1:7" x14ac:dyDescent="0.3">
      <c r="A2635" t="s">
        <v>13039</v>
      </c>
      <c r="B2635" t="s">
        <v>5297</v>
      </c>
      <c r="C2635" t="s">
        <v>5298</v>
      </c>
      <c r="D2635" s="1" t="s">
        <v>427</v>
      </c>
      <c r="E2635" s="3">
        <v>27.03</v>
      </c>
      <c r="F2635" s="3">
        <f t="shared" si="82"/>
        <v>6.8304810000000016</v>
      </c>
      <c r="G2635" s="3">
        <f t="shared" si="83"/>
        <v>33.860481</v>
      </c>
    </row>
    <row r="2636" spans="1:7" x14ac:dyDescent="0.3">
      <c r="A2636" t="s">
        <v>13039</v>
      </c>
      <c r="B2636" t="s">
        <v>5299</v>
      </c>
      <c r="C2636" t="s">
        <v>5300</v>
      </c>
      <c r="D2636" s="1" t="s">
        <v>427</v>
      </c>
      <c r="E2636" s="3">
        <v>27.26</v>
      </c>
      <c r="F2636" s="3">
        <f t="shared" si="82"/>
        <v>6.8886020000000014</v>
      </c>
      <c r="G2636" s="3">
        <f t="shared" si="83"/>
        <v>34.148602000000004</v>
      </c>
    </row>
    <row r="2637" spans="1:7" x14ac:dyDescent="0.3">
      <c r="A2637" t="s">
        <v>13039</v>
      </c>
      <c r="B2637" t="s">
        <v>5301</v>
      </c>
      <c r="C2637" t="s">
        <v>5302</v>
      </c>
      <c r="D2637" s="1" t="s">
        <v>427</v>
      </c>
      <c r="E2637" s="3">
        <v>29.84</v>
      </c>
      <c r="F2637" s="3">
        <f t="shared" si="82"/>
        <v>7.5405680000000013</v>
      </c>
      <c r="G2637" s="3">
        <f t="shared" si="83"/>
        <v>37.380568000000004</v>
      </c>
    </row>
    <row r="2638" spans="1:7" x14ac:dyDescent="0.3">
      <c r="A2638" t="s">
        <v>13039</v>
      </c>
      <c r="B2638" t="s">
        <v>5303</v>
      </c>
      <c r="C2638" t="s">
        <v>5304</v>
      </c>
      <c r="D2638" s="1" t="s">
        <v>427</v>
      </c>
      <c r="E2638" s="3">
        <v>30.75</v>
      </c>
      <c r="F2638" s="3">
        <f t="shared" si="82"/>
        <v>7.770525000000001</v>
      </c>
      <c r="G2638" s="3">
        <f t="shared" si="83"/>
        <v>38.520524999999999</v>
      </c>
    </row>
    <row r="2639" spans="1:7" x14ac:dyDescent="0.3">
      <c r="A2639" t="s">
        <v>13039</v>
      </c>
      <c r="B2639" t="s">
        <v>5305</v>
      </c>
      <c r="C2639" t="s">
        <v>5306</v>
      </c>
      <c r="D2639" s="1" t="s">
        <v>427</v>
      </c>
      <c r="E2639" s="3">
        <v>31.68</v>
      </c>
      <c r="F2639" s="3">
        <f t="shared" si="82"/>
        <v>8.0055360000000011</v>
      </c>
      <c r="G2639" s="3">
        <f t="shared" si="83"/>
        <v>39.685535999999999</v>
      </c>
    </row>
    <row r="2640" spans="1:7" x14ac:dyDescent="0.3">
      <c r="A2640" t="s">
        <v>13039</v>
      </c>
      <c r="B2640" t="s">
        <v>5307</v>
      </c>
      <c r="C2640" t="s">
        <v>5308</v>
      </c>
      <c r="D2640" s="1" t="s">
        <v>427</v>
      </c>
      <c r="E2640" s="3">
        <v>32.64</v>
      </c>
      <c r="F2640" s="3">
        <f t="shared" si="82"/>
        <v>8.2481280000000012</v>
      </c>
      <c r="G2640" s="3">
        <f t="shared" si="83"/>
        <v>40.888128000000002</v>
      </c>
    </row>
    <row r="2641" spans="1:7" x14ac:dyDescent="0.3">
      <c r="A2641" t="s">
        <v>13039</v>
      </c>
      <c r="B2641" t="s">
        <v>5309</v>
      </c>
      <c r="C2641" t="s">
        <v>5310</v>
      </c>
      <c r="D2641" s="1" t="s">
        <v>427</v>
      </c>
      <c r="E2641" s="3">
        <v>33.68</v>
      </c>
      <c r="F2641" s="3">
        <f t="shared" si="82"/>
        <v>8.5109360000000009</v>
      </c>
      <c r="G2641" s="3">
        <f t="shared" si="83"/>
        <v>42.190936000000001</v>
      </c>
    </row>
    <row r="2642" spans="1:7" x14ac:dyDescent="0.3">
      <c r="A2642" t="s">
        <v>13039</v>
      </c>
      <c r="B2642" t="s">
        <v>5311</v>
      </c>
      <c r="C2642" t="s">
        <v>5312</v>
      </c>
      <c r="D2642" s="1" t="s">
        <v>427</v>
      </c>
      <c r="E2642" s="3">
        <v>34.229999999999997</v>
      </c>
      <c r="F2642" s="3">
        <f t="shared" si="82"/>
        <v>8.6499210000000009</v>
      </c>
      <c r="G2642" s="3">
        <f t="shared" si="83"/>
        <v>42.879920999999996</v>
      </c>
    </row>
    <row r="2643" spans="1:7" x14ac:dyDescent="0.3">
      <c r="A2643" t="s">
        <v>13039</v>
      </c>
      <c r="B2643" t="s">
        <v>5313</v>
      </c>
      <c r="C2643" t="s">
        <v>5314</v>
      </c>
      <c r="D2643" s="1" t="s">
        <v>427</v>
      </c>
      <c r="E2643" s="3">
        <v>29.89</v>
      </c>
      <c r="F2643" s="3">
        <f t="shared" si="82"/>
        <v>7.5532030000000008</v>
      </c>
      <c r="G2643" s="3">
        <f t="shared" si="83"/>
        <v>37.443203000000004</v>
      </c>
    </row>
    <row r="2644" spans="1:7" x14ac:dyDescent="0.3">
      <c r="A2644" t="s">
        <v>13039</v>
      </c>
      <c r="B2644" t="s">
        <v>5315</v>
      </c>
      <c r="C2644" t="s">
        <v>5316</v>
      </c>
      <c r="D2644" s="1" t="s">
        <v>427</v>
      </c>
      <c r="E2644" s="3">
        <v>30.24</v>
      </c>
      <c r="F2644" s="3">
        <f t="shared" si="82"/>
        <v>7.6416480000000009</v>
      </c>
      <c r="G2644" s="3">
        <f t="shared" si="83"/>
        <v>37.881647999999998</v>
      </c>
    </row>
    <row r="2645" spans="1:7" x14ac:dyDescent="0.3">
      <c r="A2645" t="s">
        <v>13039</v>
      </c>
      <c r="B2645" t="s">
        <v>5317</v>
      </c>
      <c r="C2645" t="s">
        <v>5318</v>
      </c>
      <c r="D2645" s="1" t="s">
        <v>427</v>
      </c>
      <c r="E2645" s="3">
        <v>30.61</v>
      </c>
      <c r="F2645" s="3">
        <f t="shared" si="82"/>
        <v>7.7351470000000013</v>
      </c>
      <c r="G2645" s="3">
        <f t="shared" si="83"/>
        <v>38.345146999999997</v>
      </c>
    </row>
    <row r="2646" spans="1:7" x14ac:dyDescent="0.3">
      <c r="A2646" t="s">
        <v>13039</v>
      </c>
      <c r="B2646" t="s">
        <v>5319</v>
      </c>
      <c r="C2646" t="s">
        <v>5320</v>
      </c>
      <c r="D2646" s="1" t="s">
        <v>427</v>
      </c>
      <c r="E2646" s="3">
        <v>30.99</v>
      </c>
      <c r="F2646" s="3">
        <f t="shared" si="82"/>
        <v>7.8311730000000006</v>
      </c>
      <c r="G2646" s="3">
        <f t="shared" si="83"/>
        <v>38.821173000000002</v>
      </c>
    </row>
    <row r="2647" spans="1:7" x14ac:dyDescent="0.3">
      <c r="A2647" t="s">
        <v>13039</v>
      </c>
      <c r="B2647" t="s">
        <v>5321</v>
      </c>
      <c r="C2647" t="s">
        <v>5322</v>
      </c>
      <c r="D2647" s="1" t="s">
        <v>427</v>
      </c>
      <c r="E2647" s="3">
        <v>31.39</v>
      </c>
      <c r="F2647" s="3">
        <f t="shared" si="82"/>
        <v>7.9322530000000011</v>
      </c>
      <c r="G2647" s="3">
        <f t="shared" si="83"/>
        <v>39.322253000000003</v>
      </c>
    </row>
    <row r="2648" spans="1:7" x14ac:dyDescent="0.3">
      <c r="A2648" t="s">
        <v>13039</v>
      </c>
      <c r="B2648" t="s">
        <v>5323</v>
      </c>
      <c r="C2648" t="s">
        <v>5324</v>
      </c>
      <c r="D2648" s="1" t="s">
        <v>427</v>
      </c>
      <c r="E2648" s="3">
        <v>31.61</v>
      </c>
      <c r="F2648" s="3">
        <f t="shared" si="82"/>
        <v>7.9878470000000013</v>
      </c>
      <c r="G2648" s="3">
        <f t="shared" si="83"/>
        <v>39.597847000000002</v>
      </c>
    </row>
    <row r="2649" spans="1:7" x14ac:dyDescent="0.3">
      <c r="A2649" t="s">
        <v>13039</v>
      </c>
      <c r="B2649" t="s">
        <v>5325</v>
      </c>
      <c r="C2649" t="s">
        <v>5326</v>
      </c>
      <c r="D2649" s="1" t="s">
        <v>427</v>
      </c>
      <c r="E2649" s="3">
        <v>26.09</v>
      </c>
      <c r="F2649" s="3">
        <f t="shared" si="82"/>
        <v>6.5929430000000009</v>
      </c>
      <c r="G2649" s="3">
        <f t="shared" si="83"/>
        <v>32.682943000000002</v>
      </c>
    </row>
    <row r="2650" spans="1:7" x14ac:dyDescent="0.3">
      <c r="A2650" t="s">
        <v>13039</v>
      </c>
      <c r="B2650" t="s">
        <v>5327</v>
      </c>
      <c r="C2650" t="s">
        <v>5328</v>
      </c>
      <c r="D2650" s="1" t="s">
        <v>427</v>
      </c>
      <c r="E2650" s="3">
        <v>26.8</v>
      </c>
      <c r="F2650" s="3">
        <f t="shared" si="82"/>
        <v>6.7723600000000008</v>
      </c>
      <c r="G2650" s="3">
        <f t="shared" si="83"/>
        <v>33.572360000000003</v>
      </c>
    </row>
    <row r="2651" spans="1:7" x14ac:dyDescent="0.3">
      <c r="A2651" t="s">
        <v>13039</v>
      </c>
      <c r="B2651" t="s">
        <v>5329</v>
      </c>
      <c r="C2651" t="s">
        <v>5330</v>
      </c>
      <c r="D2651" s="1" t="s">
        <v>427</v>
      </c>
      <c r="E2651" s="3">
        <v>27.52</v>
      </c>
      <c r="F2651" s="3">
        <f t="shared" si="82"/>
        <v>6.9543040000000005</v>
      </c>
      <c r="G2651" s="3">
        <f t="shared" si="83"/>
        <v>34.474304000000004</v>
      </c>
    </row>
    <row r="2652" spans="1:7" x14ac:dyDescent="0.3">
      <c r="A2652" t="s">
        <v>13039</v>
      </c>
      <c r="B2652" t="s">
        <v>5331</v>
      </c>
      <c r="C2652" t="s">
        <v>5332</v>
      </c>
      <c r="D2652" s="1" t="s">
        <v>427</v>
      </c>
      <c r="E2652" s="3">
        <v>28.29</v>
      </c>
      <c r="F2652" s="3">
        <f t="shared" si="82"/>
        <v>7.1488830000000005</v>
      </c>
      <c r="G2652" s="3">
        <f t="shared" si="83"/>
        <v>35.438882999999997</v>
      </c>
    </row>
    <row r="2653" spans="1:7" x14ac:dyDescent="0.3">
      <c r="A2653" t="s">
        <v>13039</v>
      </c>
      <c r="B2653" t="s">
        <v>5333</v>
      </c>
      <c r="C2653" t="s">
        <v>5334</v>
      </c>
      <c r="D2653" s="1" t="s">
        <v>427</v>
      </c>
      <c r="E2653" s="3">
        <v>29.09</v>
      </c>
      <c r="F2653" s="3">
        <f t="shared" si="82"/>
        <v>7.3510430000000007</v>
      </c>
      <c r="G2653" s="3">
        <f t="shared" si="83"/>
        <v>36.441043000000001</v>
      </c>
    </row>
    <row r="2654" spans="1:7" x14ac:dyDescent="0.3">
      <c r="A2654" t="s">
        <v>13039</v>
      </c>
      <c r="B2654" t="s">
        <v>5335</v>
      </c>
      <c r="C2654" t="s">
        <v>5336</v>
      </c>
      <c r="D2654" s="1" t="s">
        <v>427</v>
      </c>
      <c r="E2654" s="3">
        <v>29.52</v>
      </c>
      <c r="F2654" s="3">
        <f t="shared" si="82"/>
        <v>7.4597040000000012</v>
      </c>
      <c r="G2654" s="3">
        <f t="shared" si="83"/>
        <v>36.979703999999998</v>
      </c>
    </row>
    <row r="2655" spans="1:7" x14ac:dyDescent="0.3">
      <c r="A2655" t="s">
        <v>13039</v>
      </c>
      <c r="B2655" t="s">
        <v>5337</v>
      </c>
      <c r="C2655" t="s">
        <v>5338</v>
      </c>
      <c r="D2655" s="1" t="s">
        <v>427</v>
      </c>
      <c r="E2655" s="3">
        <v>23.85</v>
      </c>
      <c r="F2655" s="3">
        <f t="shared" si="82"/>
        <v>6.0268950000000014</v>
      </c>
      <c r="G2655" s="3">
        <f t="shared" si="83"/>
        <v>29.876895000000005</v>
      </c>
    </row>
    <row r="2656" spans="1:7" x14ac:dyDescent="0.3">
      <c r="A2656" t="s">
        <v>13039</v>
      </c>
      <c r="B2656" t="s">
        <v>5339</v>
      </c>
      <c r="C2656" t="s">
        <v>5340</v>
      </c>
      <c r="D2656" s="1" t="s">
        <v>427</v>
      </c>
      <c r="E2656" s="3">
        <v>24.45</v>
      </c>
      <c r="F2656" s="3">
        <f t="shared" si="82"/>
        <v>6.1785150000000009</v>
      </c>
      <c r="G2656" s="3">
        <f t="shared" si="83"/>
        <v>30.628515</v>
      </c>
    </row>
    <row r="2657" spans="1:7" x14ac:dyDescent="0.3">
      <c r="A2657" t="s">
        <v>13039</v>
      </c>
      <c r="B2657" t="s">
        <v>5341</v>
      </c>
      <c r="C2657" t="s">
        <v>5342</v>
      </c>
      <c r="D2657" s="1" t="s">
        <v>427</v>
      </c>
      <c r="E2657" s="3">
        <v>25.08</v>
      </c>
      <c r="F2657" s="3">
        <f t="shared" si="82"/>
        <v>6.3377160000000003</v>
      </c>
      <c r="G2657" s="3">
        <f t="shared" si="83"/>
        <v>31.417715999999999</v>
      </c>
    </row>
    <row r="2658" spans="1:7" x14ac:dyDescent="0.3">
      <c r="A2658" t="s">
        <v>13039</v>
      </c>
      <c r="B2658" t="s">
        <v>5343</v>
      </c>
      <c r="C2658" t="s">
        <v>5344</v>
      </c>
      <c r="D2658" s="1" t="s">
        <v>427</v>
      </c>
      <c r="E2658" s="3">
        <v>25.73</v>
      </c>
      <c r="F2658" s="3">
        <f t="shared" si="82"/>
        <v>6.5019710000000011</v>
      </c>
      <c r="G2658" s="3">
        <f t="shared" si="83"/>
        <v>32.231971000000001</v>
      </c>
    </row>
    <row r="2659" spans="1:7" x14ac:dyDescent="0.3">
      <c r="A2659" t="s">
        <v>13039</v>
      </c>
      <c r="B2659" t="s">
        <v>5345</v>
      </c>
      <c r="C2659" t="s">
        <v>5346</v>
      </c>
      <c r="D2659" s="1" t="s">
        <v>427</v>
      </c>
      <c r="E2659" s="3">
        <v>26.43</v>
      </c>
      <c r="F2659" s="3">
        <f t="shared" si="82"/>
        <v>6.6788610000000013</v>
      </c>
      <c r="G2659" s="3">
        <f t="shared" si="83"/>
        <v>33.108861000000005</v>
      </c>
    </row>
    <row r="2660" spans="1:7" x14ac:dyDescent="0.3">
      <c r="A2660" t="s">
        <v>13039</v>
      </c>
      <c r="B2660" t="s">
        <v>5347</v>
      </c>
      <c r="C2660" t="s">
        <v>5348</v>
      </c>
      <c r="D2660" s="1" t="s">
        <v>427</v>
      </c>
      <c r="E2660" s="3">
        <v>26.8</v>
      </c>
      <c r="F2660" s="3">
        <f t="shared" si="82"/>
        <v>6.7723600000000008</v>
      </c>
      <c r="G2660" s="3">
        <f t="shared" si="83"/>
        <v>33.572360000000003</v>
      </c>
    </row>
    <row r="2661" spans="1:7" x14ac:dyDescent="0.3">
      <c r="A2661" t="s">
        <v>13039</v>
      </c>
      <c r="B2661" t="s">
        <v>5349</v>
      </c>
      <c r="C2661" t="s">
        <v>5350</v>
      </c>
      <c r="D2661" s="1" t="s">
        <v>427</v>
      </c>
      <c r="E2661" s="3">
        <v>24.39</v>
      </c>
      <c r="F2661" s="3">
        <f t="shared" si="82"/>
        <v>6.1633530000000007</v>
      </c>
      <c r="G2661" s="3">
        <f t="shared" si="83"/>
        <v>30.553353000000001</v>
      </c>
    </row>
    <row r="2662" spans="1:7" x14ac:dyDescent="0.3">
      <c r="A2662" t="s">
        <v>13039</v>
      </c>
      <c r="B2662" t="s">
        <v>5351</v>
      </c>
      <c r="C2662" t="s">
        <v>5352</v>
      </c>
      <c r="D2662" s="1" t="s">
        <v>427</v>
      </c>
      <c r="E2662" s="3">
        <v>24.93</v>
      </c>
      <c r="F2662" s="3">
        <f t="shared" si="82"/>
        <v>6.2998110000000009</v>
      </c>
      <c r="G2662" s="3">
        <f t="shared" si="83"/>
        <v>31.229811000000002</v>
      </c>
    </row>
    <row r="2663" spans="1:7" x14ac:dyDescent="0.3">
      <c r="A2663" t="s">
        <v>13039</v>
      </c>
      <c r="B2663" t="s">
        <v>5353</v>
      </c>
      <c r="C2663" t="s">
        <v>5354</v>
      </c>
      <c r="D2663" s="1" t="s">
        <v>427</v>
      </c>
      <c r="E2663" s="3">
        <v>25.47</v>
      </c>
      <c r="F2663" s="3">
        <f t="shared" si="82"/>
        <v>6.4362690000000002</v>
      </c>
      <c r="G2663" s="3">
        <f t="shared" si="83"/>
        <v>31.906268999999998</v>
      </c>
    </row>
    <row r="2664" spans="1:7" x14ac:dyDescent="0.3">
      <c r="A2664" t="s">
        <v>13039</v>
      </c>
      <c r="B2664" t="s">
        <v>5355</v>
      </c>
      <c r="C2664" t="s">
        <v>5356</v>
      </c>
      <c r="D2664" s="1" t="s">
        <v>427</v>
      </c>
      <c r="E2664" s="3">
        <v>26.05</v>
      </c>
      <c r="F2664" s="3">
        <f t="shared" si="82"/>
        <v>6.5828350000000011</v>
      </c>
      <c r="G2664" s="3">
        <f t="shared" si="83"/>
        <v>32.632835</v>
      </c>
    </row>
    <row r="2665" spans="1:7" x14ac:dyDescent="0.3">
      <c r="A2665" t="s">
        <v>13039</v>
      </c>
      <c r="B2665" t="s">
        <v>5357</v>
      </c>
      <c r="C2665" t="s">
        <v>5358</v>
      </c>
      <c r="D2665" s="1" t="s">
        <v>427</v>
      </c>
      <c r="E2665" s="3">
        <v>26.66</v>
      </c>
      <c r="F2665" s="3">
        <f t="shared" si="82"/>
        <v>6.7369820000000011</v>
      </c>
      <c r="G2665" s="3">
        <f t="shared" si="83"/>
        <v>33.396982000000001</v>
      </c>
    </row>
    <row r="2666" spans="1:7" x14ac:dyDescent="0.3">
      <c r="A2666" t="s">
        <v>13039</v>
      </c>
      <c r="B2666" t="s">
        <v>5359</v>
      </c>
      <c r="C2666" t="s">
        <v>5360</v>
      </c>
      <c r="D2666" s="1" t="s">
        <v>427</v>
      </c>
      <c r="E2666" s="3">
        <v>26.98</v>
      </c>
      <c r="F2666" s="3">
        <f t="shared" si="82"/>
        <v>6.8178460000000012</v>
      </c>
      <c r="G2666" s="3">
        <f t="shared" si="83"/>
        <v>33.797846</v>
      </c>
    </row>
    <row r="2667" spans="1:7" x14ac:dyDescent="0.3">
      <c r="A2667" t="s">
        <v>13039</v>
      </c>
      <c r="B2667" t="s">
        <v>5361</v>
      </c>
      <c r="C2667" t="s">
        <v>5362</v>
      </c>
      <c r="D2667" s="1" t="s">
        <v>427</v>
      </c>
      <c r="E2667" s="3">
        <v>61.99</v>
      </c>
      <c r="F2667" s="3">
        <f t="shared" si="82"/>
        <v>15.664873000000004</v>
      </c>
      <c r="G2667" s="3">
        <f t="shared" si="83"/>
        <v>77.654873000000009</v>
      </c>
    </row>
    <row r="2668" spans="1:7" x14ac:dyDescent="0.3">
      <c r="A2668" t="s">
        <v>13039</v>
      </c>
      <c r="B2668" t="s">
        <v>5363</v>
      </c>
      <c r="C2668" t="s">
        <v>5364</v>
      </c>
      <c r="D2668" s="1" t="s">
        <v>427</v>
      </c>
      <c r="E2668" s="3">
        <v>64.25</v>
      </c>
      <c r="F2668" s="3">
        <f t="shared" si="82"/>
        <v>16.235975000000003</v>
      </c>
      <c r="G2668" s="3">
        <f t="shared" si="83"/>
        <v>80.485974999999996</v>
      </c>
    </row>
    <row r="2669" spans="1:7" x14ac:dyDescent="0.3">
      <c r="A2669" t="s">
        <v>13039</v>
      </c>
      <c r="B2669" t="s">
        <v>5365</v>
      </c>
      <c r="C2669" t="s">
        <v>5366</v>
      </c>
      <c r="D2669" s="1" t="s">
        <v>427</v>
      </c>
      <c r="E2669" s="3">
        <v>66.55</v>
      </c>
      <c r="F2669" s="3">
        <f t="shared" si="82"/>
        <v>16.817185000000002</v>
      </c>
      <c r="G2669" s="3">
        <f t="shared" si="83"/>
        <v>83.367185000000006</v>
      </c>
    </row>
    <row r="2670" spans="1:7" x14ac:dyDescent="0.3">
      <c r="A2670" t="s">
        <v>13039</v>
      </c>
      <c r="B2670" t="s">
        <v>5367</v>
      </c>
      <c r="C2670" t="s">
        <v>5368</v>
      </c>
      <c r="D2670" s="1" t="s">
        <v>427</v>
      </c>
      <c r="E2670" s="3">
        <v>68.989999999999995</v>
      </c>
      <c r="F2670" s="3">
        <f t="shared" si="82"/>
        <v>17.433773000000002</v>
      </c>
      <c r="G2670" s="3">
        <f t="shared" si="83"/>
        <v>86.423772999999997</v>
      </c>
    </row>
    <row r="2671" spans="1:7" x14ac:dyDescent="0.3">
      <c r="A2671" t="s">
        <v>13039</v>
      </c>
      <c r="B2671" t="s">
        <v>5369</v>
      </c>
      <c r="C2671" t="s">
        <v>5370</v>
      </c>
      <c r="D2671" s="1" t="s">
        <v>427</v>
      </c>
      <c r="E2671" s="3">
        <v>71.55</v>
      </c>
      <c r="F2671" s="3">
        <f t="shared" si="82"/>
        <v>18.080685000000003</v>
      </c>
      <c r="G2671" s="3">
        <f t="shared" si="83"/>
        <v>89.630685</v>
      </c>
    </row>
    <row r="2672" spans="1:7" x14ac:dyDescent="0.3">
      <c r="A2672" t="s">
        <v>13039</v>
      </c>
      <c r="B2672" t="s">
        <v>5371</v>
      </c>
      <c r="C2672" t="s">
        <v>5372</v>
      </c>
      <c r="D2672" s="1" t="s">
        <v>427</v>
      </c>
      <c r="E2672" s="3">
        <v>72.91</v>
      </c>
      <c r="F2672" s="3">
        <f t="shared" si="82"/>
        <v>18.424357000000001</v>
      </c>
      <c r="G2672" s="3">
        <f t="shared" si="83"/>
        <v>91.334356999999997</v>
      </c>
    </row>
    <row r="2673" spans="1:7" x14ac:dyDescent="0.3">
      <c r="A2673" t="s">
        <v>13039</v>
      </c>
      <c r="B2673" t="s">
        <v>5373</v>
      </c>
      <c r="C2673" t="s">
        <v>5374</v>
      </c>
      <c r="D2673" s="1" t="s">
        <v>2904</v>
      </c>
      <c r="E2673" s="3">
        <v>130.49</v>
      </c>
      <c r="F2673" s="3">
        <f t="shared" si="82"/>
        <v>32.974823000000008</v>
      </c>
      <c r="G2673" s="3">
        <f t="shared" si="83"/>
        <v>163.46482300000002</v>
      </c>
    </row>
    <row r="2674" spans="1:7" x14ac:dyDescent="0.3">
      <c r="A2674" t="s">
        <v>13039</v>
      </c>
      <c r="B2674" t="s">
        <v>5375</v>
      </c>
      <c r="C2674" t="s">
        <v>5376</v>
      </c>
      <c r="D2674" s="1" t="s">
        <v>2904</v>
      </c>
      <c r="E2674" s="3">
        <v>128.19999999999999</v>
      </c>
      <c r="F2674" s="3">
        <f t="shared" si="82"/>
        <v>32.396140000000003</v>
      </c>
      <c r="G2674" s="3">
        <f t="shared" si="83"/>
        <v>160.59613999999999</v>
      </c>
    </row>
    <row r="2675" spans="1:7" x14ac:dyDescent="0.3">
      <c r="A2675" t="s">
        <v>13039</v>
      </c>
      <c r="B2675" t="s">
        <v>5377</v>
      </c>
      <c r="C2675" t="s">
        <v>5378</v>
      </c>
      <c r="D2675" s="1" t="s">
        <v>2904</v>
      </c>
      <c r="E2675" s="3">
        <v>7.51</v>
      </c>
      <c r="F2675" s="3">
        <f t="shared" si="82"/>
        <v>1.8977770000000003</v>
      </c>
      <c r="G2675" s="3">
        <f t="shared" si="83"/>
        <v>9.4077769999999994</v>
      </c>
    </row>
    <row r="2676" spans="1:7" x14ac:dyDescent="0.3">
      <c r="A2676" t="s">
        <v>13039</v>
      </c>
      <c r="B2676" t="s">
        <v>5379</v>
      </c>
      <c r="C2676" t="s">
        <v>5380</v>
      </c>
      <c r="D2676" s="1" t="s">
        <v>2904</v>
      </c>
      <c r="E2676" s="3">
        <v>16.850000000000001</v>
      </c>
      <c r="F2676" s="3">
        <f t="shared" si="82"/>
        <v>4.2579950000000011</v>
      </c>
      <c r="G2676" s="3">
        <f t="shared" si="83"/>
        <v>21.107995000000003</v>
      </c>
    </row>
    <row r="2677" spans="1:7" x14ac:dyDescent="0.3">
      <c r="A2677" t="s">
        <v>13039</v>
      </c>
      <c r="B2677" t="s">
        <v>5381</v>
      </c>
      <c r="C2677" t="s">
        <v>5382</v>
      </c>
      <c r="D2677" s="1" t="s">
        <v>38</v>
      </c>
      <c r="E2677" s="3">
        <v>2408.34</v>
      </c>
      <c r="F2677" s="3">
        <f t="shared" si="82"/>
        <v>608.58751800000016</v>
      </c>
      <c r="G2677" s="3">
        <f t="shared" si="83"/>
        <v>3016.9275180000004</v>
      </c>
    </row>
    <row r="2678" spans="1:7" x14ac:dyDescent="0.3">
      <c r="A2678" t="s">
        <v>13039</v>
      </c>
      <c r="B2678" t="s">
        <v>5383</v>
      </c>
      <c r="C2678" t="s">
        <v>5384</v>
      </c>
      <c r="D2678" s="1" t="s">
        <v>38</v>
      </c>
      <c r="E2678" s="3">
        <v>2278.2199999999998</v>
      </c>
      <c r="F2678" s="3">
        <f t="shared" si="82"/>
        <v>575.70619399999998</v>
      </c>
      <c r="G2678" s="3">
        <f t="shared" si="83"/>
        <v>2853.9261939999997</v>
      </c>
    </row>
    <row r="2679" spans="1:7" x14ac:dyDescent="0.3">
      <c r="A2679" t="s">
        <v>13039</v>
      </c>
      <c r="B2679" t="s">
        <v>5385</v>
      </c>
      <c r="C2679" t="s">
        <v>5386</v>
      </c>
      <c r="D2679" s="1" t="s">
        <v>38</v>
      </c>
      <c r="E2679" s="3">
        <v>2832.21</v>
      </c>
      <c r="F2679" s="3">
        <f t="shared" si="82"/>
        <v>715.69946700000014</v>
      </c>
      <c r="G2679" s="3">
        <f t="shared" si="83"/>
        <v>3547.9094670000004</v>
      </c>
    </row>
    <row r="2680" spans="1:7" x14ac:dyDescent="0.3">
      <c r="A2680" t="s">
        <v>13039</v>
      </c>
      <c r="B2680" t="s">
        <v>5387</v>
      </c>
      <c r="C2680" t="s">
        <v>5388</v>
      </c>
      <c r="D2680" s="1" t="s">
        <v>38</v>
      </c>
      <c r="E2680" s="3">
        <v>2687.7</v>
      </c>
      <c r="F2680" s="3">
        <f t="shared" si="82"/>
        <v>679.18179000000009</v>
      </c>
      <c r="G2680" s="3">
        <f t="shared" si="83"/>
        <v>3366.8817899999999</v>
      </c>
    </row>
    <row r="2681" spans="1:7" x14ac:dyDescent="0.3">
      <c r="A2681" t="s">
        <v>13039</v>
      </c>
      <c r="B2681" t="s">
        <v>5389</v>
      </c>
      <c r="C2681" t="s">
        <v>5390</v>
      </c>
      <c r="D2681" s="1" t="s">
        <v>38</v>
      </c>
      <c r="E2681" s="3">
        <v>1853.12</v>
      </c>
      <c r="F2681" s="3">
        <f t="shared" si="82"/>
        <v>468.28342400000002</v>
      </c>
      <c r="G2681" s="3">
        <f t="shared" si="83"/>
        <v>2321.4034240000001</v>
      </c>
    </row>
    <row r="2682" spans="1:7" x14ac:dyDescent="0.3">
      <c r="A2682" t="s">
        <v>13039</v>
      </c>
      <c r="B2682" t="s">
        <v>5391</v>
      </c>
      <c r="C2682" t="s">
        <v>5392</v>
      </c>
      <c r="D2682" s="1" t="s">
        <v>38</v>
      </c>
      <c r="E2682" s="3">
        <v>1723</v>
      </c>
      <c r="F2682" s="3">
        <f t="shared" si="82"/>
        <v>435.40210000000008</v>
      </c>
      <c r="G2682" s="3">
        <f t="shared" si="83"/>
        <v>2158.4021000000002</v>
      </c>
    </row>
    <row r="2683" spans="1:7" x14ac:dyDescent="0.3">
      <c r="A2683" t="s">
        <v>13039</v>
      </c>
      <c r="B2683" t="s">
        <v>5393</v>
      </c>
      <c r="C2683" t="s">
        <v>5394</v>
      </c>
      <c r="D2683" s="1" t="s">
        <v>38</v>
      </c>
      <c r="E2683" s="3">
        <v>2276.9899999999998</v>
      </c>
      <c r="F2683" s="3">
        <f t="shared" si="82"/>
        <v>575.39537300000006</v>
      </c>
      <c r="G2683" s="3">
        <f t="shared" si="83"/>
        <v>2852.3853730000001</v>
      </c>
    </row>
    <row r="2684" spans="1:7" x14ac:dyDescent="0.3">
      <c r="A2684" t="s">
        <v>13039</v>
      </c>
      <c r="B2684" t="s">
        <v>5395</v>
      </c>
      <c r="C2684" t="s">
        <v>5396</v>
      </c>
      <c r="D2684" s="1" t="s">
        <v>38</v>
      </c>
      <c r="E2684" s="3">
        <v>2132.48</v>
      </c>
      <c r="F2684" s="3">
        <f t="shared" si="82"/>
        <v>538.87769600000013</v>
      </c>
      <c r="G2684" s="3">
        <f t="shared" si="83"/>
        <v>2671.357696</v>
      </c>
    </row>
    <row r="2685" spans="1:7" x14ac:dyDescent="0.3">
      <c r="A2685" t="s">
        <v>13039</v>
      </c>
      <c r="B2685" t="s">
        <v>5397</v>
      </c>
      <c r="C2685" t="s">
        <v>5398</v>
      </c>
      <c r="D2685" s="1" t="s">
        <v>38</v>
      </c>
      <c r="E2685" s="3">
        <v>2705.78</v>
      </c>
      <c r="F2685" s="3">
        <f t="shared" si="82"/>
        <v>683.75060600000018</v>
      </c>
      <c r="G2685" s="3">
        <f t="shared" si="83"/>
        <v>3389.5306060000003</v>
      </c>
    </row>
    <row r="2686" spans="1:7" x14ac:dyDescent="0.3">
      <c r="A2686" t="s">
        <v>13039</v>
      </c>
      <c r="B2686" t="s">
        <v>5399</v>
      </c>
      <c r="C2686" t="s">
        <v>5400</v>
      </c>
      <c r="D2686" s="1" t="s">
        <v>38</v>
      </c>
      <c r="E2686" s="3">
        <v>2545.4</v>
      </c>
      <c r="F2686" s="3">
        <f t="shared" si="82"/>
        <v>643.22258000000011</v>
      </c>
      <c r="G2686" s="3">
        <f t="shared" si="83"/>
        <v>3188.6225800000002</v>
      </c>
    </row>
    <row r="2687" spans="1:7" x14ac:dyDescent="0.3">
      <c r="A2687" t="s">
        <v>13039</v>
      </c>
      <c r="B2687" t="s">
        <v>5401</v>
      </c>
      <c r="C2687" t="s">
        <v>5402</v>
      </c>
      <c r="D2687" s="1" t="s">
        <v>38</v>
      </c>
      <c r="E2687" s="3">
        <v>3129.65</v>
      </c>
      <c r="F2687" s="3">
        <f t="shared" si="82"/>
        <v>790.86255500000016</v>
      </c>
      <c r="G2687" s="3">
        <f t="shared" si="83"/>
        <v>3920.5125550000002</v>
      </c>
    </row>
    <row r="2688" spans="1:7" x14ac:dyDescent="0.3">
      <c r="A2688" t="s">
        <v>13039</v>
      </c>
      <c r="B2688" t="s">
        <v>5403</v>
      </c>
      <c r="C2688" t="s">
        <v>5404</v>
      </c>
      <c r="D2688" s="1" t="s">
        <v>38</v>
      </c>
      <c r="E2688" s="3">
        <v>2954.88</v>
      </c>
      <c r="F2688" s="3">
        <f t="shared" si="82"/>
        <v>746.6981760000001</v>
      </c>
      <c r="G2688" s="3">
        <f t="shared" si="83"/>
        <v>3701.578176</v>
      </c>
    </row>
    <row r="2689" spans="1:7" x14ac:dyDescent="0.3">
      <c r="A2689" t="s">
        <v>13039</v>
      </c>
      <c r="B2689" t="s">
        <v>5405</v>
      </c>
      <c r="C2689" t="s">
        <v>5406</v>
      </c>
      <c r="D2689" s="1" t="s">
        <v>38</v>
      </c>
      <c r="E2689" s="3">
        <v>1026.71</v>
      </c>
      <c r="F2689" s="3">
        <f t="shared" si="82"/>
        <v>259.44961700000005</v>
      </c>
      <c r="G2689" s="3">
        <f t="shared" si="83"/>
        <v>1286.159617</v>
      </c>
    </row>
    <row r="2690" spans="1:7" x14ac:dyDescent="0.3">
      <c r="A2690" t="s">
        <v>13039</v>
      </c>
      <c r="B2690" t="s">
        <v>5407</v>
      </c>
      <c r="C2690" t="s">
        <v>5408</v>
      </c>
      <c r="D2690" s="1" t="s">
        <v>38</v>
      </c>
      <c r="E2690" s="3">
        <v>955.13</v>
      </c>
      <c r="F2690" s="3">
        <f t="shared" si="82"/>
        <v>241.36135100000004</v>
      </c>
      <c r="G2690" s="3">
        <f t="shared" si="83"/>
        <v>1196.4913510000001</v>
      </c>
    </row>
    <row r="2691" spans="1:7" x14ac:dyDescent="0.3">
      <c r="A2691" t="s">
        <v>13039</v>
      </c>
      <c r="B2691" t="s">
        <v>5409</v>
      </c>
      <c r="C2691" t="s">
        <v>5410</v>
      </c>
      <c r="D2691" s="1" t="s">
        <v>38</v>
      </c>
      <c r="E2691" s="3">
        <v>1285.47</v>
      </c>
      <c r="F2691" s="3">
        <f t="shared" si="82"/>
        <v>324.83826900000003</v>
      </c>
      <c r="G2691" s="3">
        <f t="shared" si="83"/>
        <v>1610.3082690000001</v>
      </c>
    </row>
    <row r="2692" spans="1:7" x14ac:dyDescent="0.3">
      <c r="A2692" t="s">
        <v>13039</v>
      </c>
      <c r="B2692" t="s">
        <v>5411</v>
      </c>
      <c r="C2692" t="s">
        <v>5412</v>
      </c>
      <c r="D2692" s="1" t="s">
        <v>38</v>
      </c>
      <c r="E2692" s="3">
        <v>1205.17</v>
      </c>
      <c r="F2692" s="3">
        <f t="shared" si="82"/>
        <v>304.54645900000008</v>
      </c>
      <c r="G2692" s="3">
        <f t="shared" si="83"/>
        <v>1509.7164590000002</v>
      </c>
    </row>
    <row r="2693" spans="1:7" x14ac:dyDescent="0.3">
      <c r="A2693" t="s">
        <v>13039</v>
      </c>
      <c r="B2693" t="s">
        <v>5413</v>
      </c>
      <c r="C2693" t="s">
        <v>5414</v>
      </c>
      <c r="D2693" s="1" t="s">
        <v>38</v>
      </c>
      <c r="E2693" s="3">
        <v>963.6</v>
      </c>
      <c r="F2693" s="3">
        <f t="shared" si="82"/>
        <v>243.50172000000003</v>
      </c>
      <c r="G2693" s="3">
        <f t="shared" si="83"/>
        <v>1207.1017200000001</v>
      </c>
    </row>
    <row r="2694" spans="1:7" x14ac:dyDescent="0.3">
      <c r="A2694" t="s">
        <v>13039</v>
      </c>
      <c r="B2694" t="s">
        <v>5415</v>
      </c>
      <c r="C2694" t="s">
        <v>5416</v>
      </c>
      <c r="D2694" s="1" t="s">
        <v>38</v>
      </c>
      <c r="E2694" s="3">
        <v>892.01</v>
      </c>
      <c r="F2694" s="3">
        <f t="shared" si="82"/>
        <v>225.41092700000004</v>
      </c>
      <c r="G2694" s="3">
        <f t="shared" si="83"/>
        <v>1117.4209270000001</v>
      </c>
    </row>
    <row r="2695" spans="1:7" x14ac:dyDescent="0.3">
      <c r="A2695" t="s">
        <v>13039</v>
      </c>
      <c r="B2695" t="s">
        <v>5417</v>
      </c>
      <c r="C2695" t="s">
        <v>5418</v>
      </c>
      <c r="D2695" s="1" t="s">
        <v>38</v>
      </c>
      <c r="E2695" s="3">
        <v>1222.3599999999999</v>
      </c>
      <c r="F2695" s="3">
        <f t="shared" ref="F2695:F2758" si="84">+E2695*$F$4</f>
        <v>308.89037200000001</v>
      </c>
      <c r="G2695" s="3">
        <f t="shared" ref="G2695:G2758" si="85">+E2695+F2695</f>
        <v>1531.250372</v>
      </c>
    </row>
    <row r="2696" spans="1:7" x14ac:dyDescent="0.3">
      <c r="A2696" t="s">
        <v>13039</v>
      </c>
      <c r="B2696" t="s">
        <v>5419</v>
      </c>
      <c r="C2696" t="s">
        <v>5420</v>
      </c>
      <c r="D2696" s="1" t="s">
        <v>38</v>
      </c>
      <c r="E2696" s="3">
        <v>1142.06</v>
      </c>
      <c r="F2696" s="3">
        <f t="shared" si="84"/>
        <v>288.59856200000002</v>
      </c>
      <c r="G2696" s="3">
        <f t="shared" si="85"/>
        <v>1430.6585620000001</v>
      </c>
    </row>
    <row r="2697" spans="1:7" x14ac:dyDescent="0.3">
      <c r="A2697" t="s">
        <v>13039</v>
      </c>
      <c r="B2697" t="s">
        <v>5421</v>
      </c>
      <c r="C2697" t="s">
        <v>5422</v>
      </c>
      <c r="D2697" s="1" t="s">
        <v>38</v>
      </c>
      <c r="E2697" s="3">
        <v>1481.12</v>
      </c>
      <c r="F2697" s="3">
        <f t="shared" si="84"/>
        <v>374.27902400000005</v>
      </c>
      <c r="G2697" s="3">
        <f t="shared" si="85"/>
        <v>1855.3990239999998</v>
      </c>
    </row>
    <row r="2698" spans="1:7" x14ac:dyDescent="0.3">
      <c r="A2698" t="s">
        <v>13039</v>
      </c>
      <c r="B2698" t="s">
        <v>5423</v>
      </c>
      <c r="C2698" t="s">
        <v>5424</v>
      </c>
      <c r="D2698" s="1" t="s">
        <v>38</v>
      </c>
      <c r="E2698" s="3">
        <v>1392.11</v>
      </c>
      <c r="F2698" s="3">
        <f t="shared" si="84"/>
        <v>351.78619700000002</v>
      </c>
      <c r="G2698" s="3">
        <f t="shared" si="85"/>
        <v>1743.896197</v>
      </c>
    </row>
    <row r="2699" spans="1:7" x14ac:dyDescent="0.3">
      <c r="A2699" t="s">
        <v>13039</v>
      </c>
      <c r="B2699" t="s">
        <v>5425</v>
      </c>
      <c r="C2699" t="s">
        <v>5426</v>
      </c>
      <c r="D2699" s="1" t="s">
        <v>38</v>
      </c>
      <c r="E2699" s="3">
        <v>1739.88</v>
      </c>
      <c r="F2699" s="3">
        <f t="shared" si="84"/>
        <v>439.66767600000009</v>
      </c>
      <c r="G2699" s="3">
        <f t="shared" si="85"/>
        <v>2179.5476760000001</v>
      </c>
    </row>
    <row r="2700" spans="1:7" x14ac:dyDescent="0.3">
      <c r="A2700" t="s">
        <v>13039</v>
      </c>
      <c r="B2700" t="s">
        <v>5427</v>
      </c>
      <c r="C2700" t="s">
        <v>5428</v>
      </c>
      <c r="D2700" s="1" t="s">
        <v>38</v>
      </c>
      <c r="E2700" s="3">
        <v>1642.15</v>
      </c>
      <c r="F2700" s="3">
        <f t="shared" si="84"/>
        <v>414.97130500000009</v>
      </c>
      <c r="G2700" s="3">
        <f t="shared" si="85"/>
        <v>2057.1213050000001</v>
      </c>
    </row>
    <row r="2701" spans="1:7" x14ac:dyDescent="0.3">
      <c r="A2701" t="s">
        <v>13039</v>
      </c>
      <c r="B2701" t="s">
        <v>5429</v>
      </c>
      <c r="C2701" t="s">
        <v>5430</v>
      </c>
      <c r="D2701" s="1" t="s">
        <v>38</v>
      </c>
      <c r="E2701" s="3">
        <v>207.37</v>
      </c>
      <c r="F2701" s="3">
        <f t="shared" si="84"/>
        <v>52.40239900000001</v>
      </c>
      <c r="G2701" s="3">
        <f t="shared" si="85"/>
        <v>259.77239900000001</v>
      </c>
    </row>
    <row r="2702" spans="1:7" x14ac:dyDescent="0.3">
      <c r="A2702" t="s">
        <v>13039</v>
      </c>
      <c r="B2702" t="s">
        <v>5431</v>
      </c>
      <c r="C2702" t="s">
        <v>5432</v>
      </c>
      <c r="D2702" s="1" t="s">
        <v>38</v>
      </c>
      <c r="E2702" s="3">
        <v>180.12</v>
      </c>
      <c r="F2702" s="3">
        <f t="shared" si="84"/>
        <v>45.516324000000004</v>
      </c>
      <c r="G2702" s="3">
        <f t="shared" si="85"/>
        <v>225.636324</v>
      </c>
    </row>
    <row r="2703" spans="1:7" x14ac:dyDescent="0.3">
      <c r="A2703" t="s">
        <v>13039</v>
      </c>
      <c r="B2703" t="s">
        <v>5433</v>
      </c>
      <c r="C2703" t="s">
        <v>5434</v>
      </c>
      <c r="D2703" s="1" t="s">
        <v>38</v>
      </c>
      <c r="E2703" s="3">
        <v>207.37</v>
      </c>
      <c r="F2703" s="3">
        <f t="shared" si="84"/>
        <v>52.40239900000001</v>
      </c>
      <c r="G2703" s="3">
        <f t="shared" si="85"/>
        <v>259.77239900000001</v>
      </c>
    </row>
    <row r="2704" spans="1:7" x14ac:dyDescent="0.3">
      <c r="A2704" t="s">
        <v>13039</v>
      </c>
      <c r="B2704" t="s">
        <v>5435</v>
      </c>
      <c r="C2704" t="s">
        <v>5436</v>
      </c>
      <c r="D2704" s="1" t="s">
        <v>38</v>
      </c>
      <c r="E2704" s="3">
        <v>180.12</v>
      </c>
      <c r="F2704" s="3">
        <f t="shared" si="84"/>
        <v>45.516324000000004</v>
      </c>
      <c r="G2704" s="3">
        <f t="shared" si="85"/>
        <v>225.636324</v>
      </c>
    </row>
    <row r="2705" spans="1:7" x14ac:dyDescent="0.3">
      <c r="A2705" t="s">
        <v>13039</v>
      </c>
      <c r="B2705" t="s">
        <v>5437</v>
      </c>
      <c r="C2705" t="s">
        <v>5438</v>
      </c>
      <c r="D2705" s="1" t="s">
        <v>38</v>
      </c>
      <c r="E2705" s="3">
        <v>260.42</v>
      </c>
      <c r="F2705" s="3">
        <f t="shared" si="84"/>
        <v>65.80813400000001</v>
      </c>
      <c r="G2705" s="3">
        <f t="shared" si="85"/>
        <v>326.22813400000001</v>
      </c>
    </row>
    <row r="2706" spans="1:7" x14ac:dyDescent="0.3">
      <c r="A2706" t="s">
        <v>13039</v>
      </c>
      <c r="B2706" t="s">
        <v>5439</v>
      </c>
      <c r="C2706" t="s">
        <v>5440</v>
      </c>
      <c r="D2706" s="1" t="s">
        <v>38</v>
      </c>
      <c r="E2706" s="3">
        <v>224.78</v>
      </c>
      <c r="F2706" s="3">
        <f t="shared" si="84"/>
        <v>56.80190600000001</v>
      </c>
      <c r="G2706" s="3">
        <f t="shared" si="85"/>
        <v>281.581906</v>
      </c>
    </row>
    <row r="2707" spans="1:7" x14ac:dyDescent="0.3">
      <c r="A2707" t="s">
        <v>13039</v>
      </c>
      <c r="B2707" t="s">
        <v>5441</v>
      </c>
      <c r="C2707" t="s">
        <v>5442</v>
      </c>
      <c r="D2707" s="1" t="s">
        <v>38</v>
      </c>
      <c r="E2707" s="3">
        <v>260.42</v>
      </c>
      <c r="F2707" s="3">
        <f t="shared" si="84"/>
        <v>65.80813400000001</v>
      </c>
      <c r="G2707" s="3">
        <f t="shared" si="85"/>
        <v>326.22813400000001</v>
      </c>
    </row>
    <row r="2708" spans="1:7" x14ac:dyDescent="0.3">
      <c r="A2708" t="s">
        <v>13039</v>
      </c>
      <c r="B2708" t="s">
        <v>5443</v>
      </c>
      <c r="C2708" t="s">
        <v>5444</v>
      </c>
      <c r="D2708" s="1" t="s">
        <v>38</v>
      </c>
      <c r="E2708" s="3">
        <v>224.78</v>
      </c>
      <c r="F2708" s="3">
        <f t="shared" si="84"/>
        <v>56.80190600000001</v>
      </c>
      <c r="G2708" s="3">
        <f t="shared" si="85"/>
        <v>281.581906</v>
      </c>
    </row>
    <row r="2709" spans="1:7" x14ac:dyDescent="0.3">
      <c r="A2709" t="s">
        <v>13039</v>
      </c>
      <c r="B2709" t="s">
        <v>5445</v>
      </c>
      <c r="C2709" t="s">
        <v>5446</v>
      </c>
      <c r="D2709" s="1" t="s">
        <v>38</v>
      </c>
      <c r="E2709" s="3">
        <v>22.46</v>
      </c>
      <c r="F2709" s="3">
        <f t="shared" si="84"/>
        <v>5.6756420000000007</v>
      </c>
      <c r="G2709" s="3">
        <f t="shared" si="85"/>
        <v>28.135642000000001</v>
      </c>
    </row>
    <row r="2710" spans="1:7" x14ac:dyDescent="0.3">
      <c r="A2710" t="s">
        <v>13039</v>
      </c>
      <c r="B2710" t="s">
        <v>5447</v>
      </c>
      <c r="C2710" t="s">
        <v>5448</v>
      </c>
      <c r="D2710" s="1" t="s">
        <v>38</v>
      </c>
      <c r="E2710" s="3">
        <v>18.62</v>
      </c>
      <c r="F2710" s="3">
        <f t="shared" si="84"/>
        <v>4.7052740000000011</v>
      </c>
      <c r="G2710" s="3">
        <f t="shared" si="85"/>
        <v>23.325274</v>
      </c>
    </row>
    <row r="2711" spans="1:7" x14ac:dyDescent="0.3">
      <c r="A2711" t="s">
        <v>13039</v>
      </c>
      <c r="B2711" t="s">
        <v>5449</v>
      </c>
      <c r="C2711" t="s">
        <v>5450</v>
      </c>
      <c r="D2711" s="1" t="s">
        <v>38</v>
      </c>
      <c r="E2711" s="3">
        <v>23.34</v>
      </c>
      <c r="F2711" s="3">
        <f t="shared" si="84"/>
        <v>5.8980180000000004</v>
      </c>
      <c r="G2711" s="3">
        <f t="shared" si="85"/>
        <v>29.238018</v>
      </c>
    </row>
    <row r="2712" spans="1:7" x14ac:dyDescent="0.3">
      <c r="A2712" t="s">
        <v>13039</v>
      </c>
      <c r="B2712" t="s">
        <v>5451</v>
      </c>
      <c r="C2712" t="s">
        <v>5452</v>
      </c>
      <c r="D2712" s="1" t="s">
        <v>38</v>
      </c>
      <c r="E2712" s="3">
        <v>19.5</v>
      </c>
      <c r="F2712" s="3">
        <f t="shared" si="84"/>
        <v>4.9276500000000008</v>
      </c>
      <c r="G2712" s="3">
        <f t="shared" si="85"/>
        <v>24.42765</v>
      </c>
    </row>
    <row r="2713" spans="1:7" x14ac:dyDescent="0.3">
      <c r="A2713" t="s">
        <v>13039</v>
      </c>
      <c r="B2713" t="s">
        <v>5453</v>
      </c>
      <c r="C2713" t="s">
        <v>5454</v>
      </c>
      <c r="D2713" s="1" t="s">
        <v>38</v>
      </c>
      <c r="E2713" s="3">
        <v>147.91</v>
      </c>
      <c r="F2713" s="3">
        <f t="shared" si="84"/>
        <v>37.376857000000001</v>
      </c>
      <c r="G2713" s="3">
        <f t="shared" si="85"/>
        <v>185.286857</v>
      </c>
    </row>
    <row r="2714" spans="1:7" x14ac:dyDescent="0.3">
      <c r="A2714" t="s">
        <v>13039</v>
      </c>
      <c r="B2714" t="s">
        <v>5455</v>
      </c>
      <c r="C2714" t="s">
        <v>5456</v>
      </c>
      <c r="D2714" s="1" t="s">
        <v>38</v>
      </c>
      <c r="E2714" s="3">
        <v>131.13999999999999</v>
      </c>
      <c r="F2714" s="3">
        <f t="shared" si="84"/>
        <v>33.139077999999998</v>
      </c>
      <c r="G2714" s="3">
        <f t="shared" si="85"/>
        <v>164.27907799999997</v>
      </c>
    </row>
    <row r="2715" spans="1:7" x14ac:dyDescent="0.3">
      <c r="A2715" t="s">
        <v>13039</v>
      </c>
      <c r="B2715" t="s">
        <v>5457</v>
      </c>
      <c r="C2715" t="s">
        <v>5458</v>
      </c>
      <c r="D2715" s="1" t="s">
        <v>38</v>
      </c>
      <c r="E2715" s="3">
        <v>4684.88</v>
      </c>
      <c r="F2715" s="3">
        <f t="shared" si="84"/>
        <v>1183.8691760000002</v>
      </c>
      <c r="G2715" s="3">
        <f t="shared" si="85"/>
        <v>5868.7491760000003</v>
      </c>
    </row>
    <row r="2716" spans="1:7" x14ac:dyDescent="0.3">
      <c r="A2716" t="s">
        <v>13039</v>
      </c>
      <c r="B2716" t="s">
        <v>5459</v>
      </c>
      <c r="C2716" t="s">
        <v>5460</v>
      </c>
      <c r="D2716" s="1" t="s">
        <v>38</v>
      </c>
      <c r="E2716" s="3">
        <v>4226.04</v>
      </c>
      <c r="F2716" s="3">
        <f t="shared" si="84"/>
        <v>1067.9203080000002</v>
      </c>
      <c r="G2716" s="3">
        <f t="shared" si="85"/>
        <v>5293.9603079999997</v>
      </c>
    </row>
    <row r="2717" spans="1:7" x14ac:dyDescent="0.3">
      <c r="A2717" t="s">
        <v>13039</v>
      </c>
      <c r="B2717" t="s">
        <v>5461</v>
      </c>
      <c r="C2717" t="s">
        <v>5462</v>
      </c>
      <c r="D2717" s="1" t="s">
        <v>38</v>
      </c>
      <c r="E2717" s="3">
        <v>4881.49</v>
      </c>
      <c r="F2717" s="3">
        <f t="shared" si="84"/>
        <v>1233.5525230000001</v>
      </c>
      <c r="G2717" s="3">
        <f t="shared" si="85"/>
        <v>6115.0425230000001</v>
      </c>
    </row>
    <row r="2718" spans="1:7" x14ac:dyDescent="0.3">
      <c r="A2718" t="s">
        <v>13039</v>
      </c>
      <c r="B2718" t="s">
        <v>5463</v>
      </c>
      <c r="C2718" t="s">
        <v>5464</v>
      </c>
      <c r="D2718" s="1" t="s">
        <v>38</v>
      </c>
      <c r="E2718" s="3">
        <v>4435.4799999999996</v>
      </c>
      <c r="F2718" s="3">
        <f t="shared" si="84"/>
        <v>1120.8457960000001</v>
      </c>
      <c r="G2718" s="3">
        <f t="shared" si="85"/>
        <v>5556.3257959999992</v>
      </c>
    </row>
    <row r="2719" spans="1:7" x14ac:dyDescent="0.3">
      <c r="A2719" t="s">
        <v>13039</v>
      </c>
      <c r="B2719" t="s">
        <v>5465</v>
      </c>
      <c r="C2719" t="s">
        <v>5466</v>
      </c>
      <c r="D2719" s="1" t="s">
        <v>38</v>
      </c>
      <c r="E2719" s="3">
        <v>4653.95</v>
      </c>
      <c r="F2719" s="3">
        <f t="shared" si="84"/>
        <v>1176.053165</v>
      </c>
      <c r="G2719" s="3">
        <f t="shared" si="85"/>
        <v>5830.0031650000001</v>
      </c>
    </row>
    <row r="2720" spans="1:7" x14ac:dyDescent="0.3">
      <c r="A2720" t="s">
        <v>13039</v>
      </c>
      <c r="B2720" t="s">
        <v>5467</v>
      </c>
      <c r="C2720" t="s">
        <v>5468</v>
      </c>
      <c r="D2720" s="1" t="s">
        <v>38</v>
      </c>
      <c r="E2720" s="3">
        <v>4202.8</v>
      </c>
      <c r="F2720" s="3">
        <f t="shared" si="84"/>
        <v>1062.0475600000002</v>
      </c>
      <c r="G2720" s="3">
        <f t="shared" si="85"/>
        <v>5264.8475600000002</v>
      </c>
    </row>
    <row r="2721" spans="1:7" x14ac:dyDescent="0.3">
      <c r="A2721" t="s">
        <v>13039</v>
      </c>
      <c r="B2721" t="s">
        <v>5469</v>
      </c>
      <c r="C2721" t="s">
        <v>5470</v>
      </c>
      <c r="D2721" s="1" t="s">
        <v>38</v>
      </c>
      <c r="E2721" s="3">
        <v>4850.5600000000004</v>
      </c>
      <c r="F2721" s="3">
        <f t="shared" si="84"/>
        <v>1225.7365120000002</v>
      </c>
      <c r="G2721" s="3">
        <f t="shared" si="85"/>
        <v>6076.2965120000008</v>
      </c>
    </row>
    <row r="2722" spans="1:7" x14ac:dyDescent="0.3">
      <c r="A2722" t="s">
        <v>13039</v>
      </c>
      <c r="B2722" t="s">
        <v>5471</v>
      </c>
      <c r="C2722" t="s">
        <v>5472</v>
      </c>
      <c r="D2722" s="1" t="s">
        <v>38</v>
      </c>
      <c r="E2722" s="3">
        <v>4412.2299999999996</v>
      </c>
      <c r="F2722" s="3">
        <f t="shared" si="84"/>
        <v>1114.970521</v>
      </c>
      <c r="G2722" s="3">
        <f t="shared" si="85"/>
        <v>5527.2005209999998</v>
      </c>
    </row>
    <row r="2723" spans="1:7" x14ac:dyDescent="0.3">
      <c r="A2723" t="s">
        <v>13039</v>
      </c>
      <c r="B2723" t="s">
        <v>5473</v>
      </c>
      <c r="C2723" t="s">
        <v>5474</v>
      </c>
      <c r="D2723" s="1" t="s">
        <v>38</v>
      </c>
      <c r="E2723" s="3">
        <v>5682.39</v>
      </c>
      <c r="F2723" s="3">
        <f t="shared" si="84"/>
        <v>1435.9399530000003</v>
      </c>
      <c r="G2723" s="3">
        <f t="shared" si="85"/>
        <v>7118.3299530000004</v>
      </c>
    </row>
    <row r="2724" spans="1:7" x14ac:dyDescent="0.3">
      <c r="A2724" t="s">
        <v>13039</v>
      </c>
      <c r="B2724" t="s">
        <v>5475</v>
      </c>
      <c r="C2724" t="s">
        <v>5476</v>
      </c>
      <c r="D2724" s="1" t="s">
        <v>38</v>
      </c>
      <c r="E2724" s="3">
        <v>5127.46</v>
      </c>
      <c r="F2724" s="3">
        <f t="shared" si="84"/>
        <v>1295.7091420000002</v>
      </c>
      <c r="G2724" s="3">
        <f t="shared" si="85"/>
        <v>6423.1691420000006</v>
      </c>
    </row>
    <row r="2725" spans="1:7" x14ac:dyDescent="0.3">
      <c r="A2725" t="s">
        <v>13039</v>
      </c>
      <c r="B2725" t="s">
        <v>5477</v>
      </c>
      <c r="C2725" t="s">
        <v>5478</v>
      </c>
      <c r="D2725" s="1" t="s">
        <v>38</v>
      </c>
      <c r="E2725" s="3">
        <v>5879</v>
      </c>
      <c r="F2725" s="3">
        <f t="shared" si="84"/>
        <v>1485.6233000000002</v>
      </c>
      <c r="G2725" s="3">
        <f t="shared" si="85"/>
        <v>7364.6233000000002</v>
      </c>
    </row>
    <row r="2726" spans="1:7" x14ac:dyDescent="0.3">
      <c r="A2726" t="s">
        <v>13039</v>
      </c>
      <c r="B2726" t="s">
        <v>5479</v>
      </c>
      <c r="C2726" t="s">
        <v>5480</v>
      </c>
      <c r="D2726" s="1" t="s">
        <v>38</v>
      </c>
      <c r="E2726" s="3">
        <v>5336.89</v>
      </c>
      <c r="F2726" s="3">
        <f t="shared" si="84"/>
        <v>1348.6321030000004</v>
      </c>
      <c r="G2726" s="3">
        <f t="shared" si="85"/>
        <v>6685.5221030000012</v>
      </c>
    </row>
    <row r="2727" spans="1:7" x14ac:dyDescent="0.3">
      <c r="A2727" t="s">
        <v>13039</v>
      </c>
      <c r="B2727" t="s">
        <v>5481</v>
      </c>
      <c r="C2727" t="s">
        <v>5482</v>
      </c>
      <c r="D2727" s="1" t="s">
        <v>38</v>
      </c>
      <c r="E2727" s="3">
        <v>6459.16</v>
      </c>
      <c r="F2727" s="3">
        <f t="shared" si="84"/>
        <v>1632.2297320000002</v>
      </c>
      <c r="G2727" s="3">
        <f t="shared" si="85"/>
        <v>8091.3897319999996</v>
      </c>
    </row>
    <row r="2728" spans="1:7" x14ac:dyDescent="0.3">
      <c r="A2728" t="s">
        <v>13039</v>
      </c>
      <c r="B2728" t="s">
        <v>5483</v>
      </c>
      <c r="C2728" t="s">
        <v>5484</v>
      </c>
      <c r="D2728" s="1" t="s">
        <v>38</v>
      </c>
      <c r="E2728" s="3">
        <v>5823.96</v>
      </c>
      <c r="F2728" s="3">
        <f t="shared" si="84"/>
        <v>1471.7146920000002</v>
      </c>
      <c r="G2728" s="3">
        <f t="shared" si="85"/>
        <v>7295.6746920000005</v>
      </c>
    </row>
    <row r="2729" spans="1:7" x14ac:dyDescent="0.3">
      <c r="A2729" t="s">
        <v>13039</v>
      </c>
      <c r="B2729" t="s">
        <v>5485</v>
      </c>
      <c r="C2729" t="s">
        <v>5486</v>
      </c>
      <c r="D2729" s="1" t="s">
        <v>38</v>
      </c>
      <c r="E2729" s="3">
        <v>6688.24</v>
      </c>
      <c r="F2729" s="3">
        <f t="shared" si="84"/>
        <v>1690.1182480000002</v>
      </c>
      <c r="G2729" s="3">
        <f t="shared" si="85"/>
        <v>8378.3582480000005</v>
      </c>
    </row>
    <row r="2730" spans="1:7" x14ac:dyDescent="0.3">
      <c r="A2730" t="s">
        <v>13039</v>
      </c>
      <c r="B2730" t="s">
        <v>5487</v>
      </c>
      <c r="C2730" t="s">
        <v>5488</v>
      </c>
      <c r="D2730" s="1" t="s">
        <v>38</v>
      </c>
      <c r="E2730" s="3">
        <v>6068.99</v>
      </c>
      <c r="F2730" s="3">
        <f t="shared" si="84"/>
        <v>1533.6337730000002</v>
      </c>
      <c r="G2730" s="3">
        <f t="shared" si="85"/>
        <v>7602.6237730000003</v>
      </c>
    </row>
    <row r="2731" spans="1:7" x14ac:dyDescent="0.3">
      <c r="A2731" t="s">
        <v>13039</v>
      </c>
      <c r="B2731" t="s">
        <v>5489</v>
      </c>
      <c r="C2731" t="s">
        <v>5490</v>
      </c>
      <c r="D2731" s="1" t="s">
        <v>38</v>
      </c>
      <c r="E2731" s="3">
        <v>5753.1</v>
      </c>
      <c r="F2731" s="3">
        <f t="shared" si="84"/>
        <v>1453.8083700000002</v>
      </c>
      <c r="G2731" s="3">
        <f t="shared" si="85"/>
        <v>7206.908370000001</v>
      </c>
    </row>
    <row r="2732" spans="1:7" x14ac:dyDescent="0.3">
      <c r="A2732" t="s">
        <v>13039</v>
      </c>
      <c r="B2732" t="s">
        <v>5491</v>
      </c>
      <c r="C2732" t="s">
        <v>5492</v>
      </c>
      <c r="D2732" s="1" t="s">
        <v>38</v>
      </c>
      <c r="E2732" s="3">
        <v>5180.58</v>
      </c>
      <c r="F2732" s="3">
        <f t="shared" si="84"/>
        <v>1309.1325660000002</v>
      </c>
      <c r="G2732" s="3">
        <f t="shared" si="85"/>
        <v>6489.7125660000002</v>
      </c>
    </row>
    <row r="2733" spans="1:7" x14ac:dyDescent="0.3">
      <c r="A2733" t="s">
        <v>13039</v>
      </c>
      <c r="B2733" t="s">
        <v>5493</v>
      </c>
      <c r="C2733" t="s">
        <v>5494</v>
      </c>
      <c r="D2733" s="1" t="s">
        <v>38</v>
      </c>
      <c r="E2733" s="3">
        <v>5949.7</v>
      </c>
      <c r="F2733" s="3">
        <f t="shared" si="84"/>
        <v>1503.4891900000002</v>
      </c>
      <c r="G2733" s="3">
        <f t="shared" si="85"/>
        <v>7453.1891900000001</v>
      </c>
    </row>
    <row r="2734" spans="1:7" x14ac:dyDescent="0.3">
      <c r="A2734" t="s">
        <v>13039</v>
      </c>
      <c r="B2734" t="s">
        <v>5495</v>
      </c>
      <c r="C2734" t="s">
        <v>5496</v>
      </c>
      <c r="D2734" s="1" t="s">
        <v>38</v>
      </c>
      <c r="E2734" s="3">
        <v>5390.02</v>
      </c>
      <c r="F2734" s="3">
        <f t="shared" si="84"/>
        <v>1362.0580540000003</v>
      </c>
      <c r="G2734" s="3">
        <f t="shared" si="85"/>
        <v>6752.0780540000005</v>
      </c>
    </row>
    <row r="2735" spans="1:7" x14ac:dyDescent="0.3">
      <c r="A2735" t="s">
        <v>13039</v>
      </c>
      <c r="B2735" t="s">
        <v>5497</v>
      </c>
      <c r="C2735" t="s">
        <v>5498</v>
      </c>
      <c r="D2735" s="1" t="s">
        <v>38</v>
      </c>
      <c r="E2735" s="3">
        <v>5722.16</v>
      </c>
      <c r="F2735" s="3">
        <f t="shared" si="84"/>
        <v>1445.9898320000002</v>
      </c>
      <c r="G2735" s="3">
        <f t="shared" si="85"/>
        <v>7168.1498320000001</v>
      </c>
    </row>
    <row r="2736" spans="1:7" x14ac:dyDescent="0.3">
      <c r="A2736" t="s">
        <v>13039</v>
      </c>
      <c r="B2736" t="s">
        <v>5499</v>
      </c>
      <c r="C2736" t="s">
        <v>5500</v>
      </c>
      <c r="D2736" s="1" t="s">
        <v>38</v>
      </c>
      <c r="E2736" s="3">
        <v>5157.34</v>
      </c>
      <c r="F2736" s="3">
        <f t="shared" si="84"/>
        <v>1303.2598180000002</v>
      </c>
      <c r="G2736" s="3">
        <f t="shared" si="85"/>
        <v>6460.5998180000006</v>
      </c>
    </row>
    <row r="2737" spans="1:7" x14ac:dyDescent="0.3">
      <c r="A2737" t="s">
        <v>13039</v>
      </c>
      <c r="B2737" t="s">
        <v>5501</v>
      </c>
      <c r="C2737" t="s">
        <v>5502</v>
      </c>
      <c r="D2737" s="1" t="s">
        <v>38</v>
      </c>
      <c r="E2737" s="3">
        <v>5918.77</v>
      </c>
      <c r="F2737" s="3">
        <f t="shared" si="84"/>
        <v>1495.6731790000003</v>
      </c>
      <c r="G2737" s="3">
        <f t="shared" si="85"/>
        <v>7414.4431790000008</v>
      </c>
    </row>
    <row r="2738" spans="1:7" x14ac:dyDescent="0.3">
      <c r="A2738" t="s">
        <v>13039</v>
      </c>
      <c r="B2738" t="s">
        <v>5503</v>
      </c>
      <c r="C2738" t="s">
        <v>5504</v>
      </c>
      <c r="D2738" s="1" t="s">
        <v>38</v>
      </c>
      <c r="E2738" s="3">
        <v>5366.78</v>
      </c>
      <c r="F2738" s="3">
        <f t="shared" si="84"/>
        <v>1356.1853060000001</v>
      </c>
      <c r="G2738" s="3">
        <f t="shared" si="85"/>
        <v>6722.9653060000001</v>
      </c>
    </row>
    <row r="2739" spans="1:7" x14ac:dyDescent="0.3">
      <c r="A2739" t="s">
        <v>13039</v>
      </c>
      <c r="B2739" t="s">
        <v>5505</v>
      </c>
      <c r="C2739" t="s">
        <v>5506</v>
      </c>
      <c r="D2739" s="1" t="s">
        <v>38</v>
      </c>
      <c r="E2739" s="3">
        <v>6706.81</v>
      </c>
      <c r="F2739" s="3">
        <f t="shared" si="84"/>
        <v>1694.8108870000003</v>
      </c>
      <c r="G2739" s="3">
        <f t="shared" si="85"/>
        <v>8401.6208870000009</v>
      </c>
    </row>
    <row r="2740" spans="1:7" x14ac:dyDescent="0.3">
      <c r="A2740" t="s">
        <v>13039</v>
      </c>
      <c r="B2740" t="s">
        <v>5507</v>
      </c>
      <c r="C2740" t="s">
        <v>5508</v>
      </c>
      <c r="D2740" s="1" t="s">
        <v>38</v>
      </c>
      <c r="E2740" s="3">
        <v>6059.28</v>
      </c>
      <c r="F2740" s="3">
        <f t="shared" si="84"/>
        <v>1531.1800560000001</v>
      </c>
      <c r="G2740" s="3">
        <f t="shared" si="85"/>
        <v>7590.4600559999999</v>
      </c>
    </row>
    <row r="2741" spans="1:7" x14ac:dyDescent="0.3">
      <c r="A2741" t="s">
        <v>13039</v>
      </c>
      <c r="B2741" t="s">
        <v>5509</v>
      </c>
      <c r="C2741" t="s">
        <v>5510</v>
      </c>
      <c r="D2741" s="1" t="s">
        <v>38</v>
      </c>
      <c r="E2741" s="3">
        <v>6903.42</v>
      </c>
      <c r="F2741" s="3">
        <f t="shared" si="84"/>
        <v>1744.4942340000002</v>
      </c>
      <c r="G2741" s="3">
        <f t="shared" si="85"/>
        <v>8647.9142339999999</v>
      </c>
    </row>
    <row r="2742" spans="1:7" x14ac:dyDescent="0.3">
      <c r="A2742" t="s">
        <v>13039</v>
      </c>
      <c r="B2742" t="s">
        <v>5511</v>
      </c>
      <c r="C2742" t="s">
        <v>5512</v>
      </c>
      <c r="D2742" s="1" t="s">
        <v>38</v>
      </c>
      <c r="E2742" s="3">
        <v>6268.72</v>
      </c>
      <c r="F2742" s="3">
        <f t="shared" si="84"/>
        <v>1584.1055440000002</v>
      </c>
      <c r="G2742" s="3">
        <f t="shared" si="85"/>
        <v>7852.8255440000003</v>
      </c>
    </row>
    <row r="2743" spans="1:7" x14ac:dyDescent="0.3">
      <c r="A2743" t="s">
        <v>13039</v>
      </c>
      <c r="B2743" t="s">
        <v>5513</v>
      </c>
      <c r="C2743" t="s">
        <v>5514</v>
      </c>
      <c r="D2743" s="1" t="s">
        <v>38</v>
      </c>
      <c r="E2743" s="3">
        <v>7609.66</v>
      </c>
      <c r="F2743" s="3">
        <f t="shared" si="84"/>
        <v>1922.9610820000003</v>
      </c>
      <c r="G2743" s="3">
        <f t="shared" si="85"/>
        <v>9532.6210819999997</v>
      </c>
    </row>
    <row r="2744" spans="1:7" x14ac:dyDescent="0.3">
      <c r="A2744" t="s">
        <v>13039</v>
      </c>
      <c r="B2744" t="s">
        <v>5515</v>
      </c>
      <c r="C2744" t="s">
        <v>5516</v>
      </c>
      <c r="D2744" s="1" t="s">
        <v>38</v>
      </c>
      <c r="E2744" s="3">
        <v>6869.65</v>
      </c>
      <c r="F2744" s="3">
        <f t="shared" si="84"/>
        <v>1735.9605550000001</v>
      </c>
      <c r="G2744" s="3">
        <f t="shared" si="85"/>
        <v>8605.6105549999993</v>
      </c>
    </row>
    <row r="2745" spans="1:7" x14ac:dyDescent="0.3">
      <c r="A2745" t="s">
        <v>13039</v>
      </c>
      <c r="B2745" t="s">
        <v>5517</v>
      </c>
      <c r="C2745" t="s">
        <v>5518</v>
      </c>
      <c r="D2745" s="1" t="s">
        <v>38</v>
      </c>
      <c r="E2745" s="3">
        <v>7838.74</v>
      </c>
      <c r="F2745" s="3">
        <f t="shared" si="84"/>
        <v>1980.8495980000002</v>
      </c>
      <c r="G2745" s="3">
        <f t="shared" si="85"/>
        <v>9819.5895980000005</v>
      </c>
    </row>
    <row r="2746" spans="1:7" x14ac:dyDescent="0.3">
      <c r="A2746" t="s">
        <v>13039</v>
      </c>
      <c r="B2746" t="s">
        <v>5519</v>
      </c>
      <c r="C2746" t="s">
        <v>5520</v>
      </c>
      <c r="D2746" s="1" t="s">
        <v>38</v>
      </c>
      <c r="E2746" s="3">
        <v>7114.68</v>
      </c>
      <c r="F2746" s="3">
        <f t="shared" si="84"/>
        <v>1797.8796360000003</v>
      </c>
      <c r="G2746" s="3">
        <f t="shared" si="85"/>
        <v>8912.559636</v>
      </c>
    </row>
    <row r="2747" spans="1:7" x14ac:dyDescent="0.3">
      <c r="A2747" t="s">
        <v>13039</v>
      </c>
      <c r="B2747" t="s">
        <v>5521</v>
      </c>
      <c r="C2747" t="s">
        <v>5522</v>
      </c>
      <c r="D2747" s="1" t="s">
        <v>38</v>
      </c>
      <c r="E2747" s="3">
        <v>6777.51</v>
      </c>
      <c r="F2747" s="3">
        <f t="shared" si="84"/>
        <v>1712.6767770000004</v>
      </c>
      <c r="G2747" s="3">
        <f t="shared" si="85"/>
        <v>8490.1867770000008</v>
      </c>
    </row>
    <row r="2748" spans="1:7" x14ac:dyDescent="0.3">
      <c r="A2748" t="s">
        <v>13039</v>
      </c>
      <c r="B2748" t="s">
        <v>5523</v>
      </c>
      <c r="C2748" t="s">
        <v>5524</v>
      </c>
      <c r="D2748" s="1" t="s">
        <v>38</v>
      </c>
      <c r="E2748" s="3">
        <v>6112.41</v>
      </c>
      <c r="F2748" s="3">
        <f t="shared" si="84"/>
        <v>1544.6060070000001</v>
      </c>
      <c r="G2748" s="3">
        <f t="shared" si="85"/>
        <v>7657.0160070000002</v>
      </c>
    </row>
    <row r="2749" spans="1:7" x14ac:dyDescent="0.3">
      <c r="A2749" t="s">
        <v>13039</v>
      </c>
      <c r="B2749" t="s">
        <v>5525</v>
      </c>
      <c r="C2749" t="s">
        <v>5526</v>
      </c>
      <c r="D2749" s="1" t="s">
        <v>38</v>
      </c>
      <c r="E2749" s="3">
        <v>6974.12</v>
      </c>
      <c r="F2749" s="3">
        <f t="shared" si="84"/>
        <v>1762.3601240000003</v>
      </c>
      <c r="G2749" s="3">
        <f t="shared" si="85"/>
        <v>8736.4801239999997</v>
      </c>
    </row>
    <row r="2750" spans="1:7" x14ac:dyDescent="0.3">
      <c r="A2750" t="s">
        <v>13039</v>
      </c>
      <c r="B2750" t="s">
        <v>5527</v>
      </c>
      <c r="C2750" t="s">
        <v>5528</v>
      </c>
      <c r="D2750" s="1" t="s">
        <v>38</v>
      </c>
      <c r="E2750" s="3">
        <v>6321.85</v>
      </c>
      <c r="F2750" s="3">
        <f t="shared" si="84"/>
        <v>1597.5314950000004</v>
      </c>
      <c r="G2750" s="3">
        <f t="shared" si="85"/>
        <v>7919.3814950000005</v>
      </c>
    </row>
    <row r="2751" spans="1:7" x14ac:dyDescent="0.3">
      <c r="A2751" t="s">
        <v>13039</v>
      </c>
      <c r="B2751" t="s">
        <v>5529</v>
      </c>
      <c r="C2751" t="s">
        <v>5530</v>
      </c>
      <c r="D2751" s="1" t="s">
        <v>38</v>
      </c>
      <c r="E2751" s="3">
        <v>6746.58</v>
      </c>
      <c r="F2751" s="3">
        <f t="shared" si="84"/>
        <v>1704.8607660000002</v>
      </c>
      <c r="G2751" s="3">
        <f t="shared" si="85"/>
        <v>8451.4407659999997</v>
      </c>
    </row>
    <row r="2752" spans="1:7" x14ac:dyDescent="0.3">
      <c r="A2752" t="s">
        <v>13039</v>
      </c>
      <c r="B2752" t="s">
        <v>5531</v>
      </c>
      <c r="C2752" t="s">
        <v>5532</v>
      </c>
      <c r="D2752" s="1" t="s">
        <v>38</v>
      </c>
      <c r="E2752" s="3">
        <v>6089.17</v>
      </c>
      <c r="F2752" s="3">
        <f t="shared" si="84"/>
        <v>1538.7332590000003</v>
      </c>
      <c r="G2752" s="3">
        <f t="shared" si="85"/>
        <v>7627.9032590000006</v>
      </c>
    </row>
    <row r="2753" spans="1:7" x14ac:dyDescent="0.3">
      <c r="A2753" t="s">
        <v>13039</v>
      </c>
      <c r="B2753" t="s">
        <v>5533</v>
      </c>
      <c r="C2753" t="s">
        <v>5534</v>
      </c>
      <c r="D2753" s="1" t="s">
        <v>38</v>
      </c>
      <c r="E2753" s="3">
        <v>6943.19</v>
      </c>
      <c r="F2753" s="3">
        <f t="shared" si="84"/>
        <v>1754.5441130000002</v>
      </c>
      <c r="G2753" s="3">
        <f t="shared" si="85"/>
        <v>8697.7341130000004</v>
      </c>
    </row>
    <row r="2754" spans="1:7" x14ac:dyDescent="0.3">
      <c r="A2754" t="s">
        <v>13039</v>
      </c>
      <c r="B2754" t="s">
        <v>5535</v>
      </c>
      <c r="C2754" t="s">
        <v>5536</v>
      </c>
      <c r="D2754" s="1" t="s">
        <v>38</v>
      </c>
      <c r="E2754" s="3">
        <v>6298.6</v>
      </c>
      <c r="F2754" s="3">
        <f t="shared" si="84"/>
        <v>1591.6562200000003</v>
      </c>
      <c r="G2754" s="3">
        <f t="shared" si="85"/>
        <v>7890.2562200000011</v>
      </c>
    </row>
    <row r="2755" spans="1:7" x14ac:dyDescent="0.3">
      <c r="A2755" t="s">
        <v>13039</v>
      </c>
      <c r="B2755" t="s">
        <v>5537</v>
      </c>
      <c r="C2755" t="s">
        <v>5538</v>
      </c>
      <c r="D2755" s="1" t="s">
        <v>38</v>
      </c>
      <c r="E2755" s="3">
        <v>7667.99</v>
      </c>
      <c r="F2755" s="3">
        <f t="shared" si="84"/>
        <v>1937.7010730000002</v>
      </c>
      <c r="G2755" s="3">
        <f t="shared" si="85"/>
        <v>9605.691073</v>
      </c>
    </row>
    <row r="2756" spans="1:7" x14ac:dyDescent="0.3">
      <c r="A2756" t="s">
        <v>13039</v>
      </c>
      <c r="B2756" t="s">
        <v>5539</v>
      </c>
      <c r="C2756" t="s">
        <v>5540</v>
      </c>
      <c r="D2756" s="1" t="s">
        <v>38</v>
      </c>
      <c r="E2756" s="3">
        <v>6927.87</v>
      </c>
      <c r="F2756" s="3">
        <f t="shared" si="84"/>
        <v>1750.6727490000003</v>
      </c>
      <c r="G2756" s="3">
        <f t="shared" si="85"/>
        <v>8678.5427490000002</v>
      </c>
    </row>
    <row r="2757" spans="1:7" x14ac:dyDescent="0.3">
      <c r="A2757" t="s">
        <v>13039</v>
      </c>
      <c r="B2757" t="s">
        <v>5541</v>
      </c>
      <c r="C2757" t="s">
        <v>5542</v>
      </c>
      <c r="D2757" s="1" t="s">
        <v>38</v>
      </c>
      <c r="E2757" s="3">
        <v>7864.6</v>
      </c>
      <c r="F2757" s="3">
        <f t="shared" si="84"/>
        <v>1987.3844200000003</v>
      </c>
      <c r="G2757" s="3">
        <f t="shared" si="85"/>
        <v>9851.9844200000007</v>
      </c>
    </row>
    <row r="2758" spans="1:7" x14ac:dyDescent="0.3">
      <c r="A2758" t="s">
        <v>13039</v>
      </c>
      <c r="B2758" t="s">
        <v>5543</v>
      </c>
      <c r="C2758" t="s">
        <v>5544</v>
      </c>
      <c r="D2758" s="1" t="s">
        <v>38</v>
      </c>
      <c r="E2758" s="3">
        <v>7137.31</v>
      </c>
      <c r="F2758" s="3">
        <f t="shared" si="84"/>
        <v>1803.5982370000004</v>
      </c>
      <c r="G2758" s="3">
        <f t="shared" si="85"/>
        <v>8940.9082370000015</v>
      </c>
    </row>
    <row r="2759" spans="1:7" x14ac:dyDescent="0.3">
      <c r="A2759" t="s">
        <v>13039</v>
      </c>
      <c r="B2759" t="s">
        <v>5545</v>
      </c>
      <c r="C2759" t="s">
        <v>5546</v>
      </c>
      <c r="D2759" s="1" t="s">
        <v>38</v>
      </c>
      <c r="E2759" s="3">
        <v>8692.4599999999991</v>
      </c>
      <c r="F2759" s="3">
        <f t="shared" ref="F2759:F2822" si="86">+E2759*$F$4</f>
        <v>2196.5846420000003</v>
      </c>
      <c r="G2759" s="3">
        <f t="shared" ref="G2759:G2822" si="87">+E2759+F2759</f>
        <v>10889.044641999999</v>
      </c>
    </row>
    <row r="2760" spans="1:7" x14ac:dyDescent="0.3">
      <c r="A2760" t="s">
        <v>13039</v>
      </c>
      <c r="B2760" t="s">
        <v>5547</v>
      </c>
      <c r="C2760" t="s">
        <v>5548</v>
      </c>
      <c r="D2760" s="1" t="s">
        <v>38</v>
      </c>
      <c r="E2760" s="3">
        <v>7847.63</v>
      </c>
      <c r="F2760" s="3">
        <f t="shared" si="86"/>
        <v>1983.0961010000003</v>
      </c>
      <c r="G2760" s="3">
        <f t="shared" si="87"/>
        <v>9830.7261010000002</v>
      </c>
    </row>
    <row r="2761" spans="1:7" x14ac:dyDescent="0.3">
      <c r="A2761" t="s">
        <v>13039</v>
      </c>
      <c r="B2761" t="s">
        <v>5549</v>
      </c>
      <c r="C2761" t="s">
        <v>5550</v>
      </c>
      <c r="D2761" s="1" t="s">
        <v>38</v>
      </c>
      <c r="E2761" s="3">
        <v>8921.5400000000009</v>
      </c>
      <c r="F2761" s="3">
        <f t="shared" si="86"/>
        <v>2254.4731580000007</v>
      </c>
      <c r="G2761" s="3">
        <f t="shared" si="87"/>
        <v>11176.013158000002</v>
      </c>
    </row>
    <row r="2762" spans="1:7" x14ac:dyDescent="0.3">
      <c r="A2762" t="s">
        <v>13039</v>
      </c>
      <c r="B2762" t="s">
        <v>5551</v>
      </c>
      <c r="C2762" t="s">
        <v>5552</v>
      </c>
      <c r="D2762" s="1" t="s">
        <v>38</v>
      </c>
      <c r="E2762" s="3">
        <v>8092.66</v>
      </c>
      <c r="F2762" s="3">
        <f t="shared" si="86"/>
        <v>2045.0151820000003</v>
      </c>
      <c r="G2762" s="3">
        <f t="shared" si="87"/>
        <v>10137.675182000001</v>
      </c>
    </row>
    <row r="2763" spans="1:7" x14ac:dyDescent="0.3">
      <c r="A2763" t="s">
        <v>13039</v>
      </c>
      <c r="B2763" t="s">
        <v>5553</v>
      </c>
      <c r="C2763" t="s">
        <v>5554</v>
      </c>
      <c r="D2763" s="1" t="s">
        <v>38</v>
      </c>
      <c r="E2763" s="3">
        <v>7738.69</v>
      </c>
      <c r="F2763" s="3">
        <f t="shared" si="86"/>
        <v>1955.5669630000002</v>
      </c>
      <c r="G2763" s="3">
        <f t="shared" si="87"/>
        <v>9694.2569629999998</v>
      </c>
    </row>
    <row r="2764" spans="1:7" x14ac:dyDescent="0.3">
      <c r="A2764" t="s">
        <v>13039</v>
      </c>
      <c r="B2764" t="s">
        <v>5555</v>
      </c>
      <c r="C2764" t="s">
        <v>5556</v>
      </c>
      <c r="D2764" s="1" t="s">
        <v>38</v>
      </c>
      <c r="E2764" s="3">
        <v>6981</v>
      </c>
      <c r="F2764" s="3">
        <f t="shared" si="86"/>
        <v>1764.0987000000002</v>
      </c>
      <c r="G2764" s="3">
        <f t="shared" si="87"/>
        <v>8745.0987000000005</v>
      </c>
    </row>
    <row r="2765" spans="1:7" x14ac:dyDescent="0.3">
      <c r="A2765" t="s">
        <v>13039</v>
      </c>
      <c r="B2765" t="s">
        <v>5557</v>
      </c>
      <c r="C2765" t="s">
        <v>5558</v>
      </c>
      <c r="D2765" s="1" t="s">
        <v>38</v>
      </c>
      <c r="E2765" s="3">
        <v>7935.3</v>
      </c>
      <c r="F2765" s="3">
        <f t="shared" si="86"/>
        <v>2005.2503100000004</v>
      </c>
      <c r="G2765" s="3">
        <f t="shared" si="87"/>
        <v>9940.5503100000005</v>
      </c>
    </row>
    <row r="2766" spans="1:7" x14ac:dyDescent="0.3">
      <c r="A2766" t="s">
        <v>13039</v>
      </c>
      <c r="B2766" t="s">
        <v>5559</v>
      </c>
      <c r="C2766" t="s">
        <v>5560</v>
      </c>
      <c r="D2766" s="1" t="s">
        <v>38</v>
      </c>
      <c r="E2766" s="3">
        <v>7190.44</v>
      </c>
      <c r="F2766" s="3">
        <f t="shared" si="86"/>
        <v>1817.0241880000001</v>
      </c>
      <c r="G2766" s="3">
        <f t="shared" si="87"/>
        <v>9007.4641879999999</v>
      </c>
    </row>
    <row r="2767" spans="1:7" x14ac:dyDescent="0.3">
      <c r="A2767" t="s">
        <v>13039</v>
      </c>
      <c r="B2767" t="s">
        <v>5561</v>
      </c>
      <c r="C2767" t="s">
        <v>5562</v>
      </c>
      <c r="D2767" s="1" t="s">
        <v>38</v>
      </c>
      <c r="E2767" s="3">
        <v>7707.76</v>
      </c>
      <c r="F2767" s="3">
        <f t="shared" si="86"/>
        <v>1947.7509520000003</v>
      </c>
      <c r="G2767" s="3">
        <f t="shared" si="87"/>
        <v>9655.5109520000005</v>
      </c>
    </row>
    <row r="2768" spans="1:7" x14ac:dyDescent="0.3">
      <c r="A2768" t="s">
        <v>13039</v>
      </c>
      <c r="B2768" t="s">
        <v>5563</v>
      </c>
      <c r="C2768" t="s">
        <v>5564</v>
      </c>
      <c r="D2768" s="1" t="s">
        <v>38</v>
      </c>
      <c r="E2768" s="3">
        <v>6957.76</v>
      </c>
      <c r="F2768" s="3">
        <f t="shared" si="86"/>
        <v>1758.2259520000002</v>
      </c>
      <c r="G2768" s="3">
        <f t="shared" si="87"/>
        <v>8715.9859520000009</v>
      </c>
    </row>
    <row r="2769" spans="1:7" x14ac:dyDescent="0.3">
      <c r="A2769" t="s">
        <v>13039</v>
      </c>
      <c r="B2769" t="s">
        <v>5565</v>
      </c>
      <c r="C2769" t="s">
        <v>5566</v>
      </c>
      <c r="D2769" s="1" t="s">
        <v>38</v>
      </c>
      <c r="E2769" s="3">
        <v>7904.37</v>
      </c>
      <c r="F2769" s="3">
        <f t="shared" si="86"/>
        <v>1997.4342990000002</v>
      </c>
      <c r="G2769" s="3">
        <f t="shared" si="87"/>
        <v>9901.8042989999994</v>
      </c>
    </row>
    <row r="2770" spans="1:7" x14ac:dyDescent="0.3">
      <c r="A2770" t="s">
        <v>13039</v>
      </c>
      <c r="B2770" t="s">
        <v>5567</v>
      </c>
      <c r="C2770" t="s">
        <v>5568</v>
      </c>
      <c r="D2770" s="1" t="s">
        <v>38</v>
      </c>
      <c r="E2770" s="3">
        <v>7167.19</v>
      </c>
      <c r="F2770" s="3">
        <f t="shared" si="86"/>
        <v>1811.1489130000002</v>
      </c>
      <c r="G2770" s="3">
        <f t="shared" si="87"/>
        <v>8978.3389129999996</v>
      </c>
    </row>
    <row r="2771" spans="1:7" x14ac:dyDescent="0.3">
      <c r="A2771" t="s">
        <v>13039</v>
      </c>
      <c r="B2771" t="s">
        <v>5569</v>
      </c>
      <c r="C2771" t="s">
        <v>5570</v>
      </c>
      <c r="D2771" s="1" t="s">
        <v>38</v>
      </c>
      <c r="E2771" s="3">
        <v>8692.41</v>
      </c>
      <c r="F2771" s="3">
        <f t="shared" si="86"/>
        <v>2196.5720070000002</v>
      </c>
      <c r="G2771" s="3">
        <f t="shared" si="87"/>
        <v>10888.982007000001</v>
      </c>
    </row>
    <row r="2772" spans="1:7" x14ac:dyDescent="0.3">
      <c r="A2772" t="s">
        <v>13039</v>
      </c>
      <c r="B2772" t="s">
        <v>5571</v>
      </c>
      <c r="C2772" t="s">
        <v>5572</v>
      </c>
      <c r="D2772" s="1" t="s">
        <v>38</v>
      </c>
      <c r="E2772" s="3">
        <v>7859.7</v>
      </c>
      <c r="F2772" s="3">
        <f t="shared" si="86"/>
        <v>1986.1461900000002</v>
      </c>
      <c r="G2772" s="3">
        <f t="shared" si="87"/>
        <v>9845.8461900000002</v>
      </c>
    </row>
    <row r="2773" spans="1:7" x14ac:dyDescent="0.3">
      <c r="A2773" t="s">
        <v>13039</v>
      </c>
      <c r="B2773" t="s">
        <v>5573</v>
      </c>
      <c r="C2773" t="s">
        <v>5574</v>
      </c>
      <c r="D2773" s="1" t="s">
        <v>38</v>
      </c>
      <c r="E2773" s="3">
        <v>8889.01</v>
      </c>
      <c r="F2773" s="3">
        <f t="shared" si="86"/>
        <v>2246.2528270000003</v>
      </c>
      <c r="G2773" s="3">
        <f t="shared" si="87"/>
        <v>11135.262827</v>
      </c>
    </row>
    <row r="2774" spans="1:7" x14ac:dyDescent="0.3">
      <c r="A2774" t="s">
        <v>13039</v>
      </c>
      <c r="B2774" t="s">
        <v>5575</v>
      </c>
      <c r="C2774" t="s">
        <v>5576</v>
      </c>
      <c r="D2774" s="1" t="s">
        <v>38</v>
      </c>
      <c r="E2774" s="3">
        <v>8069.13</v>
      </c>
      <c r="F2774" s="3">
        <f t="shared" si="86"/>
        <v>2039.0691510000004</v>
      </c>
      <c r="G2774" s="3">
        <f t="shared" si="87"/>
        <v>10108.199151000001</v>
      </c>
    </row>
    <row r="2775" spans="1:7" x14ac:dyDescent="0.3">
      <c r="A2775" t="s">
        <v>13039</v>
      </c>
      <c r="B2775" t="s">
        <v>5577</v>
      </c>
      <c r="C2775" t="s">
        <v>5578</v>
      </c>
      <c r="D2775" s="1" t="s">
        <v>38</v>
      </c>
      <c r="E2775" s="3">
        <v>9842.9599999999991</v>
      </c>
      <c r="F2775" s="3">
        <f t="shared" si="86"/>
        <v>2487.3159920000003</v>
      </c>
      <c r="G2775" s="3">
        <f t="shared" si="87"/>
        <v>12330.275991999999</v>
      </c>
    </row>
    <row r="2776" spans="1:7" x14ac:dyDescent="0.3">
      <c r="A2776" t="s">
        <v>13039</v>
      </c>
      <c r="B2776" t="s">
        <v>5579</v>
      </c>
      <c r="C2776" t="s">
        <v>5580</v>
      </c>
      <c r="D2776" s="1" t="s">
        <v>38</v>
      </c>
      <c r="E2776" s="3">
        <v>8893.31</v>
      </c>
      <c r="F2776" s="3">
        <f t="shared" si="86"/>
        <v>2247.3394370000001</v>
      </c>
      <c r="G2776" s="3">
        <f t="shared" si="87"/>
        <v>11140.649437</v>
      </c>
    </row>
    <row r="2777" spans="1:7" x14ac:dyDescent="0.3">
      <c r="A2777" t="s">
        <v>13039</v>
      </c>
      <c r="B2777" t="s">
        <v>5581</v>
      </c>
      <c r="C2777" t="s">
        <v>5582</v>
      </c>
      <c r="D2777" s="1" t="s">
        <v>38</v>
      </c>
      <c r="E2777" s="3">
        <v>10072.040000000001</v>
      </c>
      <c r="F2777" s="3">
        <f t="shared" si="86"/>
        <v>2545.2045080000007</v>
      </c>
      <c r="G2777" s="3">
        <f t="shared" si="87"/>
        <v>12617.244508000002</v>
      </c>
    </row>
    <row r="2778" spans="1:7" x14ac:dyDescent="0.3">
      <c r="A2778" t="s">
        <v>13039</v>
      </c>
      <c r="B2778" t="s">
        <v>5583</v>
      </c>
      <c r="C2778" t="s">
        <v>5584</v>
      </c>
      <c r="D2778" s="1" t="s">
        <v>38</v>
      </c>
      <c r="E2778" s="3">
        <v>9138.34</v>
      </c>
      <c r="F2778" s="3">
        <f t="shared" si="86"/>
        <v>2309.2585180000005</v>
      </c>
      <c r="G2778" s="3">
        <f t="shared" si="87"/>
        <v>11447.598518000001</v>
      </c>
    </row>
    <row r="2779" spans="1:7" x14ac:dyDescent="0.3">
      <c r="A2779" t="s">
        <v>13039</v>
      </c>
      <c r="B2779" t="s">
        <v>5585</v>
      </c>
      <c r="C2779" t="s">
        <v>5586</v>
      </c>
      <c r="D2779" s="1" t="s">
        <v>38</v>
      </c>
      <c r="E2779" s="3">
        <v>8763.11</v>
      </c>
      <c r="F2779" s="3">
        <f t="shared" si="86"/>
        <v>2214.4378970000002</v>
      </c>
      <c r="G2779" s="3">
        <f t="shared" si="87"/>
        <v>10977.547897</v>
      </c>
    </row>
    <row r="2780" spans="1:7" x14ac:dyDescent="0.3">
      <c r="A2780" t="s">
        <v>13039</v>
      </c>
      <c r="B2780" t="s">
        <v>5587</v>
      </c>
      <c r="C2780" t="s">
        <v>5588</v>
      </c>
      <c r="D2780" s="1" t="s">
        <v>38</v>
      </c>
      <c r="E2780" s="3">
        <v>7912.83</v>
      </c>
      <c r="F2780" s="3">
        <f t="shared" si="86"/>
        <v>1999.5721410000003</v>
      </c>
      <c r="G2780" s="3">
        <f t="shared" si="87"/>
        <v>9912.4021410000005</v>
      </c>
    </row>
    <row r="2781" spans="1:7" x14ac:dyDescent="0.3">
      <c r="A2781" t="s">
        <v>13039</v>
      </c>
      <c r="B2781" t="s">
        <v>5589</v>
      </c>
      <c r="C2781" t="s">
        <v>5590</v>
      </c>
      <c r="D2781" s="1" t="s">
        <v>38</v>
      </c>
      <c r="E2781" s="3">
        <v>8959.7099999999991</v>
      </c>
      <c r="F2781" s="3">
        <f t="shared" si="86"/>
        <v>2264.1187170000003</v>
      </c>
      <c r="G2781" s="3">
        <f t="shared" si="87"/>
        <v>11223.828717</v>
      </c>
    </row>
    <row r="2782" spans="1:7" x14ac:dyDescent="0.3">
      <c r="A2782" t="s">
        <v>13039</v>
      </c>
      <c r="B2782" t="s">
        <v>5591</v>
      </c>
      <c r="C2782" t="s">
        <v>5592</v>
      </c>
      <c r="D2782" s="1" t="s">
        <v>38</v>
      </c>
      <c r="E2782" s="3">
        <v>8122.26</v>
      </c>
      <c r="F2782" s="3">
        <f t="shared" si="86"/>
        <v>2052.4951020000003</v>
      </c>
      <c r="G2782" s="3">
        <f t="shared" si="87"/>
        <v>10174.755102000001</v>
      </c>
    </row>
    <row r="2783" spans="1:7" x14ac:dyDescent="0.3">
      <c r="A2783" t="s">
        <v>13039</v>
      </c>
      <c r="B2783" t="s">
        <v>5593</v>
      </c>
      <c r="C2783" t="s">
        <v>5594</v>
      </c>
      <c r="D2783" s="1" t="s">
        <v>38</v>
      </c>
      <c r="E2783" s="3">
        <v>8732.18</v>
      </c>
      <c r="F2783" s="3">
        <f t="shared" si="86"/>
        <v>2206.6218860000004</v>
      </c>
      <c r="G2783" s="3">
        <f t="shared" si="87"/>
        <v>10938.801886000001</v>
      </c>
    </row>
    <row r="2784" spans="1:7" x14ac:dyDescent="0.3">
      <c r="A2784" t="s">
        <v>13039</v>
      </c>
      <c r="B2784" t="s">
        <v>5595</v>
      </c>
      <c r="C2784" t="s">
        <v>5596</v>
      </c>
      <c r="D2784" s="1" t="s">
        <v>38</v>
      </c>
      <c r="E2784" s="3">
        <v>7889.58</v>
      </c>
      <c r="F2784" s="3">
        <f t="shared" si="86"/>
        <v>1993.6968660000002</v>
      </c>
      <c r="G2784" s="3">
        <f t="shared" si="87"/>
        <v>9883.2768660000002</v>
      </c>
    </row>
    <row r="2785" spans="1:7" x14ac:dyDescent="0.3">
      <c r="A2785" t="s">
        <v>13039</v>
      </c>
      <c r="B2785" t="s">
        <v>5597</v>
      </c>
      <c r="C2785" t="s">
        <v>5598</v>
      </c>
      <c r="D2785" s="1" t="s">
        <v>38</v>
      </c>
      <c r="E2785" s="3">
        <v>8928.7800000000007</v>
      </c>
      <c r="F2785" s="3">
        <f t="shared" si="86"/>
        <v>2256.3027060000004</v>
      </c>
      <c r="G2785" s="3">
        <f t="shared" si="87"/>
        <v>11185.082706000001</v>
      </c>
    </row>
    <row r="2786" spans="1:7" x14ac:dyDescent="0.3">
      <c r="A2786" t="s">
        <v>13039</v>
      </c>
      <c r="B2786" t="s">
        <v>5599</v>
      </c>
      <c r="C2786" t="s">
        <v>5600</v>
      </c>
      <c r="D2786" s="1" t="s">
        <v>38</v>
      </c>
      <c r="E2786" s="3">
        <v>8099.02</v>
      </c>
      <c r="F2786" s="3">
        <f t="shared" si="86"/>
        <v>2046.6223540000003</v>
      </c>
      <c r="G2786" s="3">
        <f t="shared" si="87"/>
        <v>10145.642354000001</v>
      </c>
    </row>
    <row r="2787" spans="1:7" x14ac:dyDescent="0.3">
      <c r="A2787" t="s">
        <v>13039</v>
      </c>
      <c r="B2787" t="s">
        <v>5601</v>
      </c>
      <c r="C2787" t="s">
        <v>5602</v>
      </c>
      <c r="D2787" s="1" t="s">
        <v>38</v>
      </c>
      <c r="E2787" s="3">
        <v>3599.12</v>
      </c>
      <c r="F2787" s="3">
        <f t="shared" si="86"/>
        <v>909.49762400000009</v>
      </c>
      <c r="G2787" s="3">
        <f t="shared" si="87"/>
        <v>4508.6176240000004</v>
      </c>
    </row>
    <row r="2788" spans="1:7" x14ac:dyDescent="0.3">
      <c r="A2788" t="s">
        <v>13039</v>
      </c>
      <c r="B2788" t="s">
        <v>5603</v>
      </c>
      <c r="C2788" t="s">
        <v>5604</v>
      </c>
      <c r="D2788" s="1" t="s">
        <v>38</v>
      </c>
      <c r="E2788" s="3">
        <v>3204.3</v>
      </c>
      <c r="F2788" s="3">
        <f t="shared" si="86"/>
        <v>809.72661000000016</v>
      </c>
      <c r="G2788" s="3">
        <f t="shared" si="87"/>
        <v>4014.0266100000003</v>
      </c>
    </row>
    <row r="2789" spans="1:7" x14ac:dyDescent="0.3">
      <c r="A2789" t="s">
        <v>13039</v>
      </c>
      <c r="B2789" t="s">
        <v>5605</v>
      </c>
      <c r="C2789" t="s">
        <v>5606</v>
      </c>
      <c r="D2789" s="1" t="s">
        <v>38</v>
      </c>
      <c r="E2789" s="3">
        <v>3551.98</v>
      </c>
      <c r="F2789" s="3">
        <f t="shared" si="86"/>
        <v>897.58534600000019</v>
      </c>
      <c r="G2789" s="3">
        <f t="shared" si="87"/>
        <v>4449.5653460000003</v>
      </c>
    </row>
    <row r="2790" spans="1:7" x14ac:dyDescent="0.3">
      <c r="A2790" t="s">
        <v>13039</v>
      </c>
      <c r="B2790" t="s">
        <v>5607</v>
      </c>
      <c r="C2790" t="s">
        <v>5608</v>
      </c>
      <c r="D2790" s="1" t="s">
        <v>38</v>
      </c>
      <c r="E2790" s="3">
        <v>3174.63</v>
      </c>
      <c r="F2790" s="3">
        <f t="shared" si="86"/>
        <v>802.22900100000015</v>
      </c>
      <c r="G2790" s="3">
        <f t="shared" si="87"/>
        <v>3976.8590010000003</v>
      </c>
    </row>
    <row r="2791" spans="1:7" x14ac:dyDescent="0.3">
      <c r="A2791" t="s">
        <v>13039</v>
      </c>
      <c r="B2791" t="s">
        <v>5609</v>
      </c>
      <c r="C2791" t="s">
        <v>5610</v>
      </c>
      <c r="D2791" s="1" t="s">
        <v>38</v>
      </c>
      <c r="E2791" s="3">
        <v>3509.55</v>
      </c>
      <c r="F2791" s="3">
        <f t="shared" si="86"/>
        <v>886.86328500000013</v>
      </c>
      <c r="G2791" s="3">
        <f t="shared" si="87"/>
        <v>4396.4132850000005</v>
      </c>
    </row>
    <row r="2792" spans="1:7" x14ac:dyDescent="0.3">
      <c r="A2792" t="s">
        <v>13039</v>
      </c>
      <c r="B2792" t="s">
        <v>5611</v>
      </c>
      <c r="C2792" t="s">
        <v>5612</v>
      </c>
      <c r="D2792" s="1" t="s">
        <v>38</v>
      </c>
      <c r="E2792" s="3">
        <v>3147.92</v>
      </c>
      <c r="F2792" s="3">
        <f t="shared" si="86"/>
        <v>795.4793840000001</v>
      </c>
      <c r="G2792" s="3">
        <f t="shared" si="87"/>
        <v>3943.3993840000003</v>
      </c>
    </row>
    <row r="2793" spans="1:7" x14ac:dyDescent="0.3">
      <c r="A2793" t="s">
        <v>13039</v>
      </c>
      <c r="B2793" t="s">
        <v>5613</v>
      </c>
      <c r="C2793" t="s">
        <v>5614</v>
      </c>
      <c r="D2793" s="1" t="s">
        <v>38</v>
      </c>
      <c r="E2793" s="3">
        <v>3457.7</v>
      </c>
      <c r="F2793" s="3">
        <f t="shared" si="86"/>
        <v>873.76079000000004</v>
      </c>
      <c r="G2793" s="3">
        <f t="shared" si="87"/>
        <v>4331.4607900000001</v>
      </c>
    </row>
    <row r="2794" spans="1:7" x14ac:dyDescent="0.3">
      <c r="A2794" t="s">
        <v>13039</v>
      </c>
      <c r="B2794" t="s">
        <v>5615</v>
      </c>
      <c r="C2794" t="s">
        <v>5616</v>
      </c>
      <c r="D2794" s="1" t="s">
        <v>38</v>
      </c>
      <c r="E2794" s="3">
        <v>3115.28</v>
      </c>
      <c r="F2794" s="3">
        <f t="shared" si="86"/>
        <v>787.23125600000014</v>
      </c>
      <c r="G2794" s="3">
        <f t="shared" si="87"/>
        <v>3902.5112560000002</v>
      </c>
    </row>
    <row r="2795" spans="1:7" x14ac:dyDescent="0.3">
      <c r="A2795" t="s">
        <v>13039</v>
      </c>
      <c r="B2795" t="s">
        <v>5617</v>
      </c>
      <c r="C2795" t="s">
        <v>5618</v>
      </c>
      <c r="D2795" s="1" t="s">
        <v>38</v>
      </c>
      <c r="E2795" s="3">
        <v>4724.38</v>
      </c>
      <c r="F2795" s="3">
        <f t="shared" si="86"/>
        <v>1193.8508260000001</v>
      </c>
      <c r="G2795" s="3">
        <f t="shared" si="87"/>
        <v>5918.230826</v>
      </c>
    </row>
    <row r="2796" spans="1:7" x14ac:dyDescent="0.3">
      <c r="A2796" t="s">
        <v>13039</v>
      </c>
      <c r="B2796" t="s">
        <v>5619</v>
      </c>
      <c r="C2796" t="s">
        <v>5620</v>
      </c>
      <c r="D2796" s="1" t="s">
        <v>38</v>
      </c>
      <c r="E2796" s="3">
        <v>4233.4799999999996</v>
      </c>
      <c r="F2796" s="3">
        <f t="shared" si="86"/>
        <v>1069.8003960000001</v>
      </c>
      <c r="G2796" s="3">
        <f t="shared" si="87"/>
        <v>5303.2803960000001</v>
      </c>
    </row>
    <row r="2797" spans="1:7" x14ac:dyDescent="0.3">
      <c r="A2797" t="s">
        <v>13039</v>
      </c>
      <c r="B2797" t="s">
        <v>5621</v>
      </c>
      <c r="C2797" t="s">
        <v>5622</v>
      </c>
      <c r="D2797" s="1" t="s">
        <v>38</v>
      </c>
      <c r="E2797" s="3">
        <v>4677.24</v>
      </c>
      <c r="F2797" s="3">
        <f t="shared" si="86"/>
        <v>1181.9385480000001</v>
      </c>
      <c r="G2797" s="3">
        <f t="shared" si="87"/>
        <v>5859.1785479999999</v>
      </c>
    </row>
    <row r="2798" spans="1:7" x14ac:dyDescent="0.3">
      <c r="A2798" t="s">
        <v>13039</v>
      </c>
      <c r="B2798" t="s">
        <v>5623</v>
      </c>
      <c r="C2798" t="s">
        <v>5624</v>
      </c>
      <c r="D2798" s="1" t="s">
        <v>38</v>
      </c>
      <c r="E2798" s="3">
        <v>4203.8100000000004</v>
      </c>
      <c r="F2798" s="3">
        <f t="shared" si="86"/>
        <v>1062.3027870000003</v>
      </c>
      <c r="G2798" s="3">
        <f t="shared" si="87"/>
        <v>5266.1127870000009</v>
      </c>
    </row>
    <row r="2799" spans="1:7" x14ac:dyDescent="0.3">
      <c r="A2799" t="s">
        <v>13039</v>
      </c>
      <c r="B2799" t="s">
        <v>5625</v>
      </c>
      <c r="C2799" t="s">
        <v>5626</v>
      </c>
      <c r="D2799" s="1" t="s">
        <v>38</v>
      </c>
      <c r="E2799" s="3">
        <v>4634.8100000000004</v>
      </c>
      <c r="F2799" s="3">
        <f t="shared" si="86"/>
        <v>1171.2164870000004</v>
      </c>
      <c r="G2799" s="3">
        <f t="shared" si="87"/>
        <v>5806.026487000001</v>
      </c>
    </row>
    <row r="2800" spans="1:7" x14ac:dyDescent="0.3">
      <c r="A2800" t="s">
        <v>13039</v>
      </c>
      <c r="B2800" t="s">
        <v>5627</v>
      </c>
      <c r="C2800" t="s">
        <v>5628</v>
      </c>
      <c r="D2800" s="1" t="s">
        <v>38</v>
      </c>
      <c r="E2800" s="3">
        <v>4177.1000000000004</v>
      </c>
      <c r="F2800" s="3">
        <f t="shared" si="86"/>
        <v>1055.5531700000001</v>
      </c>
      <c r="G2800" s="3">
        <f t="shared" si="87"/>
        <v>5232.6531700000005</v>
      </c>
    </row>
    <row r="2801" spans="1:7" x14ac:dyDescent="0.3">
      <c r="A2801" t="s">
        <v>13039</v>
      </c>
      <c r="B2801" t="s">
        <v>5629</v>
      </c>
      <c r="C2801" t="s">
        <v>5630</v>
      </c>
      <c r="D2801" s="1" t="s">
        <v>38</v>
      </c>
      <c r="E2801" s="3">
        <v>4771.53</v>
      </c>
      <c r="F2801" s="3">
        <f t="shared" si="86"/>
        <v>1205.7656310000002</v>
      </c>
      <c r="G2801" s="3">
        <f t="shared" si="87"/>
        <v>5977.295631</v>
      </c>
    </row>
    <row r="2802" spans="1:7" x14ac:dyDescent="0.3">
      <c r="A2802" t="s">
        <v>13039</v>
      </c>
      <c r="B2802" t="s">
        <v>5631</v>
      </c>
      <c r="C2802" t="s">
        <v>5632</v>
      </c>
      <c r="D2802" s="1" t="s">
        <v>38</v>
      </c>
      <c r="E2802" s="3">
        <v>4263.1499999999996</v>
      </c>
      <c r="F2802" s="3">
        <f t="shared" si="86"/>
        <v>1077.2980050000001</v>
      </c>
      <c r="G2802" s="3">
        <f t="shared" si="87"/>
        <v>5340.4480050000002</v>
      </c>
    </row>
    <row r="2803" spans="1:7" x14ac:dyDescent="0.3">
      <c r="A2803" t="s">
        <v>13039</v>
      </c>
      <c r="B2803" t="s">
        <v>5633</v>
      </c>
      <c r="C2803" t="s">
        <v>5634</v>
      </c>
      <c r="D2803" s="1" t="s">
        <v>38</v>
      </c>
      <c r="E2803" s="3">
        <v>5684.05</v>
      </c>
      <c r="F2803" s="3">
        <f t="shared" si="86"/>
        <v>1436.3594350000003</v>
      </c>
      <c r="G2803" s="3">
        <f t="shared" si="87"/>
        <v>7120.4094350000005</v>
      </c>
    </row>
    <row r="2804" spans="1:7" x14ac:dyDescent="0.3">
      <c r="A2804" t="s">
        <v>13039</v>
      </c>
      <c r="B2804" t="s">
        <v>5635</v>
      </c>
      <c r="C2804" t="s">
        <v>5636</v>
      </c>
      <c r="D2804" s="1" t="s">
        <v>38</v>
      </c>
      <c r="E2804" s="3">
        <v>5097.0600000000004</v>
      </c>
      <c r="F2804" s="3">
        <f t="shared" si="86"/>
        <v>1288.0270620000003</v>
      </c>
      <c r="G2804" s="3">
        <f t="shared" si="87"/>
        <v>6385.0870620000005</v>
      </c>
    </row>
    <row r="2805" spans="1:7" x14ac:dyDescent="0.3">
      <c r="A2805" t="s">
        <v>13039</v>
      </c>
      <c r="B2805" t="s">
        <v>5637</v>
      </c>
      <c r="C2805" t="s">
        <v>5638</v>
      </c>
      <c r="D2805" s="1" t="s">
        <v>38</v>
      </c>
      <c r="E2805" s="3">
        <v>5636.91</v>
      </c>
      <c r="F2805" s="3">
        <f t="shared" si="86"/>
        <v>1424.4471570000001</v>
      </c>
      <c r="G2805" s="3">
        <f t="shared" si="87"/>
        <v>7061.3571570000004</v>
      </c>
    </row>
    <row r="2806" spans="1:7" x14ac:dyDescent="0.3">
      <c r="A2806" t="s">
        <v>13039</v>
      </c>
      <c r="B2806" t="s">
        <v>5639</v>
      </c>
      <c r="C2806" t="s">
        <v>5640</v>
      </c>
      <c r="D2806" s="1" t="s">
        <v>38</v>
      </c>
      <c r="E2806" s="3">
        <v>5067.38</v>
      </c>
      <c r="F2806" s="3">
        <f t="shared" si="86"/>
        <v>1280.5269260000002</v>
      </c>
      <c r="G2806" s="3">
        <f t="shared" si="87"/>
        <v>6347.9069260000006</v>
      </c>
    </row>
    <row r="2807" spans="1:7" x14ac:dyDescent="0.3">
      <c r="A2807" t="s">
        <v>13039</v>
      </c>
      <c r="B2807" t="s">
        <v>5641</v>
      </c>
      <c r="C2807" t="s">
        <v>5642</v>
      </c>
      <c r="D2807" s="1" t="s">
        <v>38</v>
      </c>
      <c r="E2807" s="3">
        <v>5594.48</v>
      </c>
      <c r="F2807" s="3">
        <f t="shared" si="86"/>
        <v>1413.7250960000001</v>
      </c>
      <c r="G2807" s="3">
        <f t="shared" si="87"/>
        <v>7008.2050959999997</v>
      </c>
    </row>
    <row r="2808" spans="1:7" x14ac:dyDescent="0.3">
      <c r="A2808" t="s">
        <v>13039</v>
      </c>
      <c r="B2808" t="s">
        <v>5643</v>
      </c>
      <c r="C2808" t="s">
        <v>5644</v>
      </c>
      <c r="D2808" s="1" t="s">
        <v>38</v>
      </c>
      <c r="E2808" s="3">
        <v>5040.68</v>
      </c>
      <c r="F2808" s="3">
        <f t="shared" si="86"/>
        <v>1273.7798360000002</v>
      </c>
      <c r="G2808" s="3">
        <f t="shared" si="87"/>
        <v>6314.459836</v>
      </c>
    </row>
    <row r="2809" spans="1:7" x14ac:dyDescent="0.3">
      <c r="A2809" t="s">
        <v>13039</v>
      </c>
      <c r="B2809" t="s">
        <v>5645</v>
      </c>
      <c r="C2809" t="s">
        <v>5646</v>
      </c>
      <c r="D2809" s="1" t="s">
        <v>38</v>
      </c>
      <c r="E2809" s="3">
        <v>5542.62</v>
      </c>
      <c r="F2809" s="3">
        <f t="shared" si="86"/>
        <v>1400.6200740000002</v>
      </c>
      <c r="G2809" s="3">
        <f t="shared" si="87"/>
        <v>6943.2400740000003</v>
      </c>
    </row>
    <row r="2810" spans="1:7" x14ac:dyDescent="0.3">
      <c r="A2810" t="s">
        <v>13039</v>
      </c>
      <c r="B2810" t="s">
        <v>5647</v>
      </c>
      <c r="C2810" t="s">
        <v>5648</v>
      </c>
      <c r="D2810" s="1" t="s">
        <v>38</v>
      </c>
      <c r="E2810" s="3">
        <v>5008.04</v>
      </c>
      <c r="F2810" s="3">
        <f t="shared" si="86"/>
        <v>1265.5317080000002</v>
      </c>
      <c r="G2810" s="3">
        <f t="shared" si="87"/>
        <v>6273.5717080000004</v>
      </c>
    </row>
    <row r="2811" spans="1:7" x14ac:dyDescent="0.3">
      <c r="A2811" t="s">
        <v>13039</v>
      </c>
      <c r="B2811" t="s">
        <v>5649</v>
      </c>
      <c r="C2811" t="s">
        <v>5650</v>
      </c>
      <c r="D2811" s="1" t="s">
        <v>38</v>
      </c>
      <c r="E2811" s="3">
        <v>6864.52</v>
      </c>
      <c r="F2811" s="3">
        <f t="shared" si="86"/>
        <v>1734.6642040000004</v>
      </c>
      <c r="G2811" s="3">
        <f t="shared" si="87"/>
        <v>8599.184204000001</v>
      </c>
    </row>
    <row r="2812" spans="1:7" x14ac:dyDescent="0.3">
      <c r="A2812" t="s">
        <v>13039</v>
      </c>
      <c r="B2812" t="s">
        <v>5651</v>
      </c>
      <c r="C2812" t="s">
        <v>5652</v>
      </c>
      <c r="D2812" s="1" t="s">
        <v>38</v>
      </c>
      <c r="E2812" s="3">
        <v>6181.44</v>
      </c>
      <c r="F2812" s="3">
        <f t="shared" si="86"/>
        <v>1562.049888</v>
      </c>
      <c r="G2812" s="3">
        <f t="shared" si="87"/>
        <v>7743.4898880000001</v>
      </c>
    </row>
    <row r="2813" spans="1:7" x14ac:dyDescent="0.3">
      <c r="A2813" t="s">
        <v>13039</v>
      </c>
      <c r="B2813" t="s">
        <v>5653</v>
      </c>
      <c r="C2813" t="s">
        <v>5654</v>
      </c>
      <c r="D2813" s="1" t="s">
        <v>38</v>
      </c>
      <c r="E2813" s="3">
        <v>6817.38</v>
      </c>
      <c r="F2813" s="3">
        <f t="shared" si="86"/>
        <v>1722.7519260000004</v>
      </c>
      <c r="G2813" s="3">
        <f t="shared" si="87"/>
        <v>8540.131926</v>
      </c>
    </row>
    <row r="2814" spans="1:7" x14ac:dyDescent="0.3">
      <c r="A2814" t="s">
        <v>13039</v>
      </c>
      <c r="B2814" t="s">
        <v>5655</v>
      </c>
      <c r="C2814" t="s">
        <v>5656</v>
      </c>
      <c r="D2814" s="1" t="s">
        <v>38</v>
      </c>
      <c r="E2814" s="3">
        <v>6151.77</v>
      </c>
      <c r="F2814" s="3">
        <f t="shared" si="86"/>
        <v>1554.5522790000002</v>
      </c>
      <c r="G2814" s="3">
        <f t="shared" si="87"/>
        <v>7706.3222790000009</v>
      </c>
    </row>
    <row r="2815" spans="1:7" x14ac:dyDescent="0.3">
      <c r="A2815" t="s">
        <v>13039</v>
      </c>
      <c r="B2815" t="s">
        <v>5657</v>
      </c>
      <c r="C2815" t="s">
        <v>5658</v>
      </c>
      <c r="D2815" s="1" t="s">
        <v>38</v>
      </c>
      <c r="E2815" s="3">
        <v>6774.95</v>
      </c>
      <c r="F2815" s="3">
        <f t="shared" si="86"/>
        <v>1712.0298650000002</v>
      </c>
      <c r="G2815" s="3">
        <f t="shared" si="87"/>
        <v>8486.9798649999993</v>
      </c>
    </row>
    <row r="2816" spans="1:7" x14ac:dyDescent="0.3">
      <c r="A2816" t="s">
        <v>13039</v>
      </c>
      <c r="B2816" t="s">
        <v>5659</v>
      </c>
      <c r="C2816" t="s">
        <v>5660</v>
      </c>
      <c r="D2816" s="1" t="s">
        <v>38</v>
      </c>
      <c r="E2816" s="3">
        <v>6125.07</v>
      </c>
      <c r="F2816" s="3">
        <f t="shared" si="86"/>
        <v>1547.8051890000002</v>
      </c>
      <c r="G2816" s="3">
        <f t="shared" si="87"/>
        <v>7672.8751890000003</v>
      </c>
    </row>
    <row r="2817" spans="1:7" x14ac:dyDescent="0.3">
      <c r="A2817" t="s">
        <v>13039</v>
      </c>
      <c r="B2817" t="s">
        <v>5661</v>
      </c>
      <c r="C2817" t="s">
        <v>5662</v>
      </c>
      <c r="D2817" s="1" t="s">
        <v>38</v>
      </c>
      <c r="E2817" s="3">
        <v>6723.09</v>
      </c>
      <c r="F2817" s="3">
        <f t="shared" si="86"/>
        <v>1698.9248430000002</v>
      </c>
      <c r="G2817" s="3">
        <f t="shared" si="87"/>
        <v>8422.0148430000008</v>
      </c>
    </row>
    <row r="2818" spans="1:7" x14ac:dyDescent="0.3">
      <c r="A2818" t="s">
        <v>13039</v>
      </c>
      <c r="B2818" t="s">
        <v>5663</v>
      </c>
      <c r="C2818" t="s">
        <v>5664</v>
      </c>
      <c r="D2818" s="1" t="s">
        <v>38</v>
      </c>
      <c r="E2818" s="3">
        <v>6092.43</v>
      </c>
      <c r="F2818" s="3">
        <f t="shared" si="86"/>
        <v>1539.5570610000002</v>
      </c>
      <c r="G2818" s="3">
        <f t="shared" si="87"/>
        <v>7631.9870610000007</v>
      </c>
    </row>
    <row r="2819" spans="1:7" x14ac:dyDescent="0.3">
      <c r="A2819" t="s">
        <v>13039</v>
      </c>
      <c r="B2819" t="s">
        <v>5665</v>
      </c>
      <c r="C2819" t="s">
        <v>5666</v>
      </c>
      <c r="D2819" s="1" t="s">
        <v>38</v>
      </c>
      <c r="E2819" s="3">
        <v>6831.22</v>
      </c>
      <c r="F2819" s="3">
        <f t="shared" si="86"/>
        <v>1726.2492940000004</v>
      </c>
      <c r="G2819" s="3">
        <f t="shared" si="87"/>
        <v>8557.4692940000004</v>
      </c>
    </row>
    <row r="2820" spans="1:7" x14ac:dyDescent="0.3">
      <c r="A2820" t="s">
        <v>13039</v>
      </c>
      <c r="B2820" t="s">
        <v>5667</v>
      </c>
      <c r="C2820" t="s">
        <v>5668</v>
      </c>
      <c r="D2820" s="1" t="s">
        <v>38</v>
      </c>
      <c r="E2820" s="3">
        <v>6436.4</v>
      </c>
      <c r="F2820" s="3">
        <f t="shared" si="86"/>
        <v>1626.47828</v>
      </c>
      <c r="G2820" s="3">
        <f t="shared" si="87"/>
        <v>8062.8782799999999</v>
      </c>
    </row>
    <row r="2821" spans="1:7" x14ac:dyDescent="0.3">
      <c r="A2821" t="s">
        <v>13039</v>
      </c>
      <c r="B2821" t="s">
        <v>5669</v>
      </c>
      <c r="C2821" t="s">
        <v>5670</v>
      </c>
      <c r="D2821" s="1" t="s">
        <v>38</v>
      </c>
      <c r="E2821" s="3">
        <v>7821.2</v>
      </c>
      <c r="F2821" s="3">
        <f t="shared" si="86"/>
        <v>1976.4172400000002</v>
      </c>
      <c r="G2821" s="3">
        <f t="shared" si="87"/>
        <v>9797.6172399999996</v>
      </c>
    </row>
    <row r="2822" spans="1:7" x14ac:dyDescent="0.3">
      <c r="A2822" t="s">
        <v>13039</v>
      </c>
      <c r="B2822" t="s">
        <v>5671</v>
      </c>
      <c r="C2822" t="s">
        <v>5672</v>
      </c>
      <c r="D2822" s="1" t="s">
        <v>38</v>
      </c>
      <c r="E2822" s="3">
        <v>7059.51</v>
      </c>
      <c r="F2822" s="3">
        <f t="shared" si="86"/>
        <v>1783.9381770000002</v>
      </c>
      <c r="G2822" s="3">
        <f t="shared" si="87"/>
        <v>8843.4481770000002</v>
      </c>
    </row>
    <row r="2823" spans="1:7" x14ac:dyDescent="0.3">
      <c r="A2823" t="s">
        <v>13039</v>
      </c>
      <c r="B2823" t="s">
        <v>5673</v>
      </c>
      <c r="C2823" t="s">
        <v>5674</v>
      </c>
      <c r="D2823" s="1" t="s">
        <v>38</v>
      </c>
      <c r="E2823" s="3">
        <v>7778.77</v>
      </c>
      <c r="F2823" s="3">
        <f t="shared" ref="F2823:F2886" si="88">+E2823*$F$4</f>
        <v>1965.6951790000003</v>
      </c>
      <c r="G2823" s="3">
        <f t="shared" ref="G2823:G2886" si="89">+E2823+F2823</f>
        <v>9744.4651790000007</v>
      </c>
    </row>
    <row r="2824" spans="1:7" x14ac:dyDescent="0.3">
      <c r="A2824" t="s">
        <v>13039</v>
      </c>
      <c r="B2824" t="s">
        <v>5675</v>
      </c>
      <c r="C2824" t="s">
        <v>5676</v>
      </c>
      <c r="D2824" s="1" t="s">
        <v>38</v>
      </c>
      <c r="E2824" s="3">
        <v>7032.8</v>
      </c>
      <c r="F2824" s="3">
        <f t="shared" si="88"/>
        <v>1777.1885600000003</v>
      </c>
      <c r="G2824" s="3">
        <f t="shared" si="89"/>
        <v>8809.9885599999998</v>
      </c>
    </row>
    <row r="2825" spans="1:7" x14ac:dyDescent="0.3">
      <c r="A2825" t="s">
        <v>13039</v>
      </c>
      <c r="B2825" t="s">
        <v>5677</v>
      </c>
      <c r="C2825" t="s">
        <v>5678</v>
      </c>
      <c r="D2825" s="1" t="s">
        <v>38</v>
      </c>
      <c r="E2825" s="3">
        <v>7726.92</v>
      </c>
      <c r="F2825" s="3">
        <f t="shared" si="88"/>
        <v>1952.5926840000002</v>
      </c>
      <c r="G2825" s="3">
        <f t="shared" si="89"/>
        <v>9679.5126840000012</v>
      </c>
    </row>
    <row r="2826" spans="1:7" x14ac:dyDescent="0.3">
      <c r="A2826" t="s">
        <v>13039</v>
      </c>
      <c r="B2826" t="s">
        <v>5679</v>
      </c>
      <c r="C2826" t="s">
        <v>5680</v>
      </c>
      <c r="D2826" s="1" t="s">
        <v>38</v>
      </c>
      <c r="E2826" s="3">
        <v>7000.17</v>
      </c>
      <c r="F2826" s="3">
        <f t="shared" si="88"/>
        <v>1768.9429590000002</v>
      </c>
      <c r="G2826" s="3">
        <f t="shared" si="89"/>
        <v>8769.112959</v>
      </c>
    </row>
    <row r="2827" spans="1:7" x14ac:dyDescent="0.3">
      <c r="A2827" t="s">
        <v>13039</v>
      </c>
      <c r="B2827" t="s">
        <v>5681</v>
      </c>
      <c r="C2827" t="s">
        <v>5682</v>
      </c>
      <c r="D2827" s="1" t="s">
        <v>38</v>
      </c>
      <c r="E2827" s="3">
        <v>1629.83</v>
      </c>
      <c r="F2827" s="3">
        <f t="shared" si="88"/>
        <v>411.85804100000001</v>
      </c>
      <c r="G2827" s="3">
        <f t="shared" si="89"/>
        <v>2041.6880409999999</v>
      </c>
    </row>
    <row r="2828" spans="1:7" x14ac:dyDescent="0.3">
      <c r="A2828" t="s">
        <v>13039</v>
      </c>
      <c r="B2828" t="s">
        <v>5683</v>
      </c>
      <c r="C2828" t="s">
        <v>5684</v>
      </c>
      <c r="D2828" s="1" t="s">
        <v>38</v>
      </c>
      <c r="E2828" s="3">
        <v>1383.51</v>
      </c>
      <c r="F2828" s="3">
        <f t="shared" si="88"/>
        <v>349.61297700000006</v>
      </c>
      <c r="G2828" s="3">
        <f t="shared" si="89"/>
        <v>1733.122977</v>
      </c>
    </row>
    <row r="2829" spans="1:7" x14ac:dyDescent="0.3">
      <c r="A2829" t="s">
        <v>13039</v>
      </c>
      <c r="B2829" t="s">
        <v>5685</v>
      </c>
      <c r="C2829" t="s">
        <v>5686</v>
      </c>
      <c r="D2829" s="1" t="s">
        <v>38</v>
      </c>
      <c r="E2829" s="3">
        <v>1601.55</v>
      </c>
      <c r="F2829" s="3">
        <f t="shared" si="88"/>
        <v>404.71168500000005</v>
      </c>
      <c r="G2829" s="3">
        <f t="shared" si="89"/>
        <v>2006.2616849999999</v>
      </c>
    </row>
    <row r="2830" spans="1:7" x14ac:dyDescent="0.3">
      <c r="A2830" t="s">
        <v>13039</v>
      </c>
      <c r="B2830" t="s">
        <v>5687</v>
      </c>
      <c r="C2830" t="s">
        <v>5688</v>
      </c>
      <c r="D2830" s="1" t="s">
        <v>38</v>
      </c>
      <c r="E2830" s="3">
        <v>1365.7</v>
      </c>
      <c r="F2830" s="3">
        <f t="shared" si="88"/>
        <v>345.11239000000006</v>
      </c>
      <c r="G2830" s="3">
        <f t="shared" si="89"/>
        <v>1710.8123900000001</v>
      </c>
    </row>
    <row r="2831" spans="1:7" x14ac:dyDescent="0.3">
      <c r="A2831" t="s">
        <v>13039</v>
      </c>
      <c r="B2831" t="s">
        <v>5689</v>
      </c>
      <c r="C2831" t="s">
        <v>5690</v>
      </c>
      <c r="D2831" s="1" t="s">
        <v>38</v>
      </c>
      <c r="E2831" s="3">
        <v>2193.98</v>
      </c>
      <c r="F2831" s="3">
        <f t="shared" si="88"/>
        <v>554.41874600000006</v>
      </c>
      <c r="G2831" s="3">
        <f t="shared" si="89"/>
        <v>2748.3987459999998</v>
      </c>
    </row>
    <row r="2832" spans="1:7" x14ac:dyDescent="0.3">
      <c r="A2832" t="s">
        <v>13039</v>
      </c>
      <c r="B2832" t="s">
        <v>5691</v>
      </c>
      <c r="C2832" t="s">
        <v>5692</v>
      </c>
      <c r="D2832" s="1" t="s">
        <v>38</v>
      </c>
      <c r="E2832" s="3">
        <v>1855.07</v>
      </c>
      <c r="F2832" s="3">
        <f t="shared" si="88"/>
        <v>468.77618900000004</v>
      </c>
      <c r="G2832" s="3">
        <f t="shared" si="89"/>
        <v>2323.8461889999999</v>
      </c>
    </row>
    <row r="2833" spans="1:7" x14ac:dyDescent="0.3">
      <c r="A2833" t="s">
        <v>13039</v>
      </c>
      <c r="B2833" t="s">
        <v>5693</v>
      </c>
      <c r="C2833" t="s">
        <v>5694</v>
      </c>
      <c r="D2833" s="1" t="s">
        <v>38</v>
      </c>
      <c r="E2833" s="3">
        <v>2827.53</v>
      </c>
      <c r="F2833" s="3">
        <f t="shared" si="88"/>
        <v>714.51683100000014</v>
      </c>
      <c r="G2833" s="3">
        <f t="shared" si="89"/>
        <v>3542.0468310000006</v>
      </c>
    </row>
    <row r="2834" spans="1:7" x14ac:dyDescent="0.3">
      <c r="A2834" t="s">
        <v>13039</v>
      </c>
      <c r="B2834" t="s">
        <v>5695</v>
      </c>
      <c r="C2834" t="s">
        <v>5696</v>
      </c>
      <c r="D2834" s="1" t="s">
        <v>38</v>
      </c>
      <c r="E2834" s="3">
        <v>2401.2600000000002</v>
      </c>
      <c r="F2834" s="3">
        <f t="shared" si="88"/>
        <v>606.79840200000012</v>
      </c>
      <c r="G2834" s="3">
        <f t="shared" si="89"/>
        <v>3008.0584020000006</v>
      </c>
    </row>
    <row r="2835" spans="1:7" x14ac:dyDescent="0.3">
      <c r="A2835" t="s">
        <v>13039</v>
      </c>
      <c r="B2835" t="s">
        <v>5697</v>
      </c>
      <c r="C2835" t="s">
        <v>5698</v>
      </c>
      <c r="D2835" s="1" t="s">
        <v>38</v>
      </c>
      <c r="E2835" s="3">
        <v>3367.81</v>
      </c>
      <c r="F2835" s="3">
        <f t="shared" si="88"/>
        <v>851.04558700000007</v>
      </c>
      <c r="G2835" s="3">
        <f t="shared" si="89"/>
        <v>4218.855587</v>
      </c>
    </row>
    <row r="2836" spans="1:7" x14ac:dyDescent="0.3">
      <c r="A2836" t="s">
        <v>13039</v>
      </c>
      <c r="B2836" t="s">
        <v>5699</v>
      </c>
      <c r="C2836" t="s">
        <v>5700</v>
      </c>
      <c r="D2836" s="1" t="s">
        <v>38</v>
      </c>
      <c r="E2836" s="3">
        <v>2875.16</v>
      </c>
      <c r="F2836" s="3">
        <f t="shared" si="88"/>
        <v>726.55293200000006</v>
      </c>
      <c r="G2836" s="3">
        <f t="shared" si="89"/>
        <v>3601.7129319999999</v>
      </c>
    </row>
    <row r="2837" spans="1:7" x14ac:dyDescent="0.3">
      <c r="A2837" t="s">
        <v>13039</v>
      </c>
      <c r="B2837" t="s">
        <v>5701</v>
      </c>
      <c r="C2837" t="s">
        <v>5702</v>
      </c>
      <c r="D2837" s="1" t="s">
        <v>38</v>
      </c>
      <c r="E2837" s="3">
        <v>4323.12</v>
      </c>
      <c r="F2837" s="3">
        <f t="shared" si="88"/>
        <v>1092.4524240000001</v>
      </c>
      <c r="G2837" s="3">
        <f t="shared" si="89"/>
        <v>5415.572424</v>
      </c>
    </row>
    <row r="2838" spans="1:7" x14ac:dyDescent="0.3">
      <c r="A2838" t="s">
        <v>13039</v>
      </c>
      <c r="B2838" t="s">
        <v>5703</v>
      </c>
      <c r="C2838" t="s">
        <v>5704</v>
      </c>
      <c r="D2838" s="1" t="s">
        <v>38</v>
      </c>
      <c r="E2838" s="3">
        <v>3727.39</v>
      </c>
      <c r="F2838" s="3">
        <f t="shared" si="88"/>
        <v>941.91145300000005</v>
      </c>
      <c r="G2838" s="3">
        <f t="shared" si="89"/>
        <v>4669.301453</v>
      </c>
    </row>
    <row r="2839" spans="1:7" x14ac:dyDescent="0.3">
      <c r="A2839" t="s">
        <v>13039</v>
      </c>
      <c r="B2839" t="s">
        <v>5705</v>
      </c>
      <c r="C2839" t="s">
        <v>5706</v>
      </c>
      <c r="D2839" s="1" t="s">
        <v>38</v>
      </c>
      <c r="E2839" s="3">
        <v>1947.22</v>
      </c>
      <c r="F2839" s="3">
        <f t="shared" si="88"/>
        <v>492.06249400000007</v>
      </c>
      <c r="G2839" s="3">
        <f t="shared" si="89"/>
        <v>2439.282494</v>
      </c>
    </row>
    <row r="2840" spans="1:7" x14ac:dyDescent="0.3">
      <c r="A2840" t="s">
        <v>13039</v>
      </c>
      <c r="B2840" t="s">
        <v>5707</v>
      </c>
      <c r="C2840" t="s">
        <v>5708</v>
      </c>
      <c r="D2840" s="1" t="s">
        <v>38</v>
      </c>
      <c r="E2840" s="3">
        <v>1653.72</v>
      </c>
      <c r="F2840" s="3">
        <f t="shared" si="88"/>
        <v>417.89504400000004</v>
      </c>
      <c r="G2840" s="3">
        <f t="shared" si="89"/>
        <v>2071.6150440000001</v>
      </c>
    </row>
    <row r="2841" spans="1:7" x14ac:dyDescent="0.3">
      <c r="A2841" t="s">
        <v>13039</v>
      </c>
      <c r="B2841" t="s">
        <v>5709</v>
      </c>
      <c r="C2841" t="s">
        <v>5710</v>
      </c>
      <c r="D2841" s="1" t="s">
        <v>38</v>
      </c>
      <c r="E2841" s="3">
        <v>1914.22</v>
      </c>
      <c r="F2841" s="3">
        <f t="shared" si="88"/>
        <v>483.7233940000001</v>
      </c>
      <c r="G2841" s="3">
        <f t="shared" si="89"/>
        <v>2397.9433939999999</v>
      </c>
    </row>
    <row r="2842" spans="1:7" x14ac:dyDescent="0.3">
      <c r="A2842" t="s">
        <v>13039</v>
      </c>
      <c r="B2842" t="s">
        <v>5711</v>
      </c>
      <c r="C2842" t="s">
        <v>5712</v>
      </c>
      <c r="D2842" s="1" t="s">
        <v>38</v>
      </c>
      <c r="E2842" s="3">
        <v>1632.95</v>
      </c>
      <c r="F2842" s="3">
        <f t="shared" si="88"/>
        <v>412.64646500000009</v>
      </c>
      <c r="G2842" s="3">
        <f t="shared" si="89"/>
        <v>2045.5964650000001</v>
      </c>
    </row>
    <row r="2843" spans="1:7" x14ac:dyDescent="0.3">
      <c r="A2843" t="s">
        <v>13039</v>
      </c>
      <c r="B2843" t="s">
        <v>5713</v>
      </c>
      <c r="C2843" t="s">
        <v>5714</v>
      </c>
      <c r="D2843" s="1" t="s">
        <v>38</v>
      </c>
      <c r="E2843" s="3">
        <v>2558.66</v>
      </c>
      <c r="F2843" s="3">
        <f t="shared" si="88"/>
        <v>646.57338200000004</v>
      </c>
      <c r="G2843" s="3">
        <f t="shared" si="89"/>
        <v>3205.2333819999999</v>
      </c>
    </row>
    <row r="2844" spans="1:7" x14ac:dyDescent="0.3">
      <c r="A2844" t="s">
        <v>13039</v>
      </c>
      <c r="B2844" t="s">
        <v>5715</v>
      </c>
      <c r="C2844" t="s">
        <v>5716</v>
      </c>
      <c r="D2844" s="1" t="s">
        <v>38</v>
      </c>
      <c r="E2844" s="3">
        <v>2162.09</v>
      </c>
      <c r="F2844" s="3">
        <f t="shared" si="88"/>
        <v>546.36014300000011</v>
      </c>
      <c r="G2844" s="3">
        <f t="shared" si="89"/>
        <v>2708.450143</v>
      </c>
    </row>
    <row r="2845" spans="1:7" x14ac:dyDescent="0.3">
      <c r="A2845" t="s">
        <v>13039</v>
      </c>
      <c r="B2845" t="s">
        <v>5717</v>
      </c>
      <c r="C2845" t="s">
        <v>5718</v>
      </c>
      <c r="D2845" s="1" t="s">
        <v>38</v>
      </c>
      <c r="E2845" s="3">
        <v>3216.84</v>
      </c>
      <c r="F2845" s="3">
        <f t="shared" si="88"/>
        <v>812.89546800000016</v>
      </c>
      <c r="G2845" s="3">
        <f t="shared" si="89"/>
        <v>4029.7354680000003</v>
      </c>
    </row>
    <row r="2846" spans="1:7" x14ac:dyDescent="0.3">
      <c r="A2846" t="s">
        <v>13039</v>
      </c>
      <c r="B2846" t="s">
        <v>5719</v>
      </c>
      <c r="C2846" t="s">
        <v>5720</v>
      </c>
      <c r="D2846" s="1" t="s">
        <v>38</v>
      </c>
      <c r="E2846" s="3">
        <v>2729.43</v>
      </c>
      <c r="F2846" s="3">
        <f t="shared" si="88"/>
        <v>689.72696100000007</v>
      </c>
      <c r="G2846" s="3">
        <f t="shared" si="89"/>
        <v>3419.1569609999997</v>
      </c>
    </row>
    <row r="2847" spans="1:7" x14ac:dyDescent="0.3">
      <c r="A2847" t="s">
        <v>13039</v>
      </c>
      <c r="B2847" t="s">
        <v>5721</v>
      </c>
      <c r="C2847" t="s">
        <v>5722</v>
      </c>
      <c r="D2847" s="1" t="s">
        <v>38</v>
      </c>
      <c r="E2847" s="3">
        <v>3786.48</v>
      </c>
      <c r="F2847" s="3">
        <f t="shared" si="88"/>
        <v>956.84349600000019</v>
      </c>
      <c r="G2847" s="3">
        <f t="shared" si="89"/>
        <v>4743.323496</v>
      </c>
    </row>
    <row r="2848" spans="1:7" x14ac:dyDescent="0.3">
      <c r="A2848" t="s">
        <v>13039</v>
      </c>
      <c r="B2848" t="s">
        <v>5723</v>
      </c>
      <c r="C2848" t="s">
        <v>5724</v>
      </c>
      <c r="D2848" s="1" t="s">
        <v>38</v>
      </c>
      <c r="E2848" s="3">
        <v>3227.44</v>
      </c>
      <c r="F2848" s="3">
        <f t="shared" si="88"/>
        <v>815.57408800000007</v>
      </c>
      <c r="G2848" s="3">
        <f t="shared" si="89"/>
        <v>4043.0140879999999</v>
      </c>
    </row>
    <row r="2849" spans="1:7" x14ac:dyDescent="0.3">
      <c r="A2849" t="s">
        <v>13039</v>
      </c>
      <c r="B2849" t="s">
        <v>5725</v>
      </c>
      <c r="C2849" t="s">
        <v>5726</v>
      </c>
      <c r="D2849" s="1" t="s">
        <v>38</v>
      </c>
      <c r="E2849" s="3">
        <v>4677.6099999999997</v>
      </c>
      <c r="F2849" s="3">
        <f t="shared" si="88"/>
        <v>1182.0320470000001</v>
      </c>
      <c r="G2849" s="3">
        <f t="shared" si="89"/>
        <v>5859.6420469999994</v>
      </c>
    </row>
    <row r="2850" spans="1:7" x14ac:dyDescent="0.3">
      <c r="A2850" t="s">
        <v>13039</v>
      </c>
      <c r="B2850" t="s">
        <v>5727</v>
      </c>
      <c r="C2850" t="s">
        <v>5728</v>
      </c>
      <c r="D2850" s="1" t="s">
        <v>38</v>
      </c>
      <c r="E2850" s="3">
        <v>4010.25</v>
      </c>
      <c r="F2850" s="3">
        <f t="shared" si="88"/>
        <v>1013.3901750000001</v>
      </c>
      <c r="G2850" s="3">
        <f t="shared" si="89"/>
        <v>5023.6401750000005</v>
      </c>
    </row>
    <row r="2851" spans="1:7" x14ac:dyDescent="0.3">
      <c r="A2851" t="s">
        <v>13039</v>
      </c>
      <c r="B2851" t="s">
        <v>5729</v>
      </c>
      <c r="C2851" t="s">
        <v>5730</v>
      </c>
      <c r="D2851" s="1" t="s">
        <v>38</v>
      </c>
      <c r="E2851" s="3">
        <v>2269.31</v>
      </c>
      <c r="F2851" s="3">
        <f t="shared" si="88"/>
        <v>573.45463700000005</v>
      </c>
      <c r="G2851" s="3">
        <f t="shared" si="89"/>
        <v>2842.7646370000002</v>
      </c>
    </row>
    <row r="2852" spans="1:7" x14ac:dyDescent="0.3">
      <c r="A2852" t="s">
        <v>13039</v>
      </c>
      <c r="B2852" t="s">
        <v>5731</v>
      </c>
      <c r="C2852" t="s">
        <v>5732</v>
      </c>
      <c r="D2852" s="1" t="s">
        <v>38</v>
      </c>
      <c r="E2852" s="3">
        <v>1926.9</v>
      </c>
      <c r="F2852" s="3">
        <f t="shared" si="88"/>
        <v>486.92763000000008</v>
      </c>
      <c r="G2852" s="3">
        <f t="shared" si="89"/>
        <v>2413.8276300000002</v>
      </c>
    </row>
    <row r="2853" spans="1:7" x14ac:dyDescent="0.3">
      <c r="A2853" t="s">
        <v>13039</v>
      </c>
      <c r="B2853" t="s">
        <v>5733</v>
      </c>
      <c r="C2853" t="s">
        <v>5734</v>
      </c>
      <c r="D2853" s="1" t="s">
        <v>38</v>
      </c>
      <c r="E2853" s="3">
        <v>2241.0300000000002</v>
      </c>
      <c r="F2853" s="3">
        <f t="shared" si="88"/>
        <v>566.30828100000008</v>
      </c>
      <c r="G2853" s="3">
        <f t="shared" si="89"/>
        <v>2807.3382810000003</v>
      </c>
    </row>
    <row r="2854" spans="1:7" x14ac:dyDescent="0.3">
      <c r="A2854" t="s">
        <v>13039</v>
      </c>
      <c r="B2854" t="s">
        <v>5735</v>
      </c>
      <c r="C2854" t="s">
        <v>5736</v>
      </c>
      <c r="D2854" s="1" t="s">
        <v>38</v>
      </c>
      <c r="E2854" s="3">
        <v>1909.1</v>
      </c>
      <c r="F2854" s="3">
        <f t="shared" si="88"/>
        <v>482.42957000000007</v>
      </c>
      <c r="G2854" s="3">
        <f t="shared" si="89"/>
        <v>2391.5295700000001</v>
      </c>
    </row>
    <row r="2855" spans="1:7" x14ac:dyDescent="0.3">
      <c r="A2855" t="s">
        <v>13039</v>
      </c>
      <c r="B2855" t="s">
        <v>5737</v>
      </c>
      <c r="C2855" t="s">
        <v>5738</v>
      </c>
      <c r="D2855" s="1" t="s">
        <v>38</v>
      </c>
      <c r="E2855" s="3">
        <v>2937.48</v>
      </c>
      <c r="F2855" s="3">
        <f t="shared" si="88"/>
        <v>742.30119600000012</v>
      </c>
      <c r="G2855" s="3">
        <f t="shared" si="89"/>
        <v>3679.7811959999999</v>
      </c>
    </row>
    <row r="2856" spans="1:7" x14ac:dyDescent="0.3">
      <c r="A2856" t="s">
        <v>13039</v>
      </c>
      <c r="B2856" t="s">
        <v>5739</v>
      </c>
      <c r="C2856" t="s">
        <v>5740</v>
      </c>
      <c r="D2856" s="1" t="s">
        <v>38</v>
      </c>
      <c r="E2856" s="3">
        <v>2478.02</v>
      </c>
      <c r="F2856" s="3">
        <f t="shared" si="88"/>
        <v>626.1956540000001</v>
      </c>
      <c r="G2856" s="3">
        <f t="shared" si="89"/>
        <v>3104.2156540000001</v>
      </c>
    </row>
    <row r="2857" spans="1:7" x14ac:dyDescent="0.3">
      <c r="A2857" t="s">
        <v>13039</v>
      </c>
      <c r="B2857" t="s">
        <v>5741</v>
      </c>
      <c r="C2857" t="s">
        <v>5742</v>
      </c>
      <c r="D2857" s="1" t="s">
        <v>38</v>
      </c>
      <c r="E2857" s="3">
        <v>3629.73</v>
      </c>
      <c r="F2857" s="3">
        <f t="shared" si="88"/>
        <v>917.23277100000018</v>
      </c>
      <c r="G2857" s="3">
        <f t="shared" si="89"/>
        <v>4546.9627710000004</v>
      </c>
    </row>
    <row r="2858" spans="1:7" x14ac:dyDescent="0.3">
      <c r="A2858" t="s">
        <v>13039</v>
      </c>
      <c r="B2858" t="s">
        <v>5743</v>
      </c>
      <c r="C2858" t="s">
        <v>5744</v>
      </c>
      <c r="D2858" s="1" t="s">
        <v>38</v>
      </c>
      <c r="E2858" s="3">
        <v>3072.44</v>
      </c>
      <c r="F2858" s="3">
        <f t="shared" si="88"/>
        <v>776.40558800000008</v>
      </c>
      <c r="G2858" s="3">
        <f t="shared" si="89"/>
        <v>3848.8455880000001</v>
      </c>
    </row>
    <row r="2859" spans="1:7" x14ac:dyDescent="0.3">
      <c r="A2859" t="s">
        <v>13039</v>
      </c>
      <c r="B2859" t="s">
        <v>5745</v>
      </c>
      <c r="C2859" t="s">
        <v>5746</v>
      </c>
      <c r="D2859" s="1" t="s">
        <v>38</v>
      </c>
      <c r="E2859" s="3">
        <v>4224</v>
      </c>
      <c r="F2859" s="3">
        <f t="shared" si="88"/>
        <v>1067.4048000000003</v>
      </c>
      <c r="G2859" s="3">
        <f t="shared" si="89"/>
        <v>5291.4048000000003</v>
      </c>
    </row>
    <row r="2860" spans="1:7" x14ac:dyDescent="0.3">
      <c r="A2860" t="s">
        <v>13039</v>
      </c>
      <c r="B2860" t="s">
        <v>5747</v>
      </c>
      <c r="C2860" t="s">
        <v>5748</v>
      </c>
      <c r="D2860" s="1" t="s">
        <v>38</v>
      </c>
      <c r="E2860" s="3">
        <v>3591.59</v>
      </c>
      <c r="F2860" s="3">
        <f t="shared" si="88"/>
        <v>907.59479300000021</v>
      </c>
      <c r="G2860" s="3">
        <f t="shared" si="89"/>
        <v>4499.1847930000004</v>
      </c>
    </row>
    <row r="2861" spans="1:7" x14ac:dyDescent="0.3">
      <c r="A2861" t="s">
        <v>13039</v>
      </c>
      <c r="B2861" t="s">
        <v>5749</v>
      </c>
      <c r="C2861" t="s">
        <v>5750</v>
      </c>
      <c r="D2861" s="1" t="s">
        <v>38</v>
      </c>
      <c r="E2861" s="3">
        <v>5161.51</v>
      </c>
      <c r="F2861" s="3">
        <f t="shared" si="88"/>
        <v>1304.3135770000004</v>
      </c>
      <c r="G2861" s="3">
        <f t="shared" si="89"/>
        <v>6465.823577000001</v>
      </c>
    </row>
    <row r="2862" spans="1:7" x14ac:dyDescent="0.3">
      <c r="A2862" t="s">
        <v>13039</v>
      </c>
      <c r="B2862" t="s">
        <v>5751</v>
      </c>
      <c r="C2862" t="s">
        <v>5752</v>
      </c>
      <c r="D2862" s="1" t="s">
        <v>38</v>
      </c>
      <c r="E2862" s="3">
        <v>4412.05</v>
      </c>
      <c r="F2862" s="3">
        <f t="shared" si="88"/>
        <v>1114.9250350000002</v>
      </c>
      <c r="G2862" s="3">
        <f t="shared" si="89"/>
        <v>5526.9750350000004</v>
      </c>
    </row>
    <row r="2863" spans="1:7" x14ac:dyDescent="0.3">
      <c r="A2863" t="s">
        <v>13039</v>
      </c>
      <c r="B2863" t="s">
        <v>5753</v>
      </c>
      <c r="C2863" t="s">
        <v>5754</v>
      </c>
      <c r="D2863" s="1" t="s">
        <v>427</v>
      </c>
      <c r="E2863" s="3">
        <v>174.75</v>
      </c>
      <c r="F2863" s="3">
        <f t="shared" si="88"/>
        <v>44.15932500000001</v>
      </c>
      <c r="G2863" s="3">
        <f t="shared" si="89"/>
        <v>218.90932500000002</v>
      </c>
    </row>
    <row r="2864" spans="1:7" x14ac:dyDescent="0.3">
      <c r="A2864" t="s">
        <v>13039</v>
      </c>
      <c r="B2864" t="s">
        <v>5755</v>
      </c>
      <c r="C2864" t="s">
        <v>5756</v>
      </c>
      <c r="D2864" s="1" t="s">
        <v>427</v>
      </c>
      <c r="E2864" s="3">
        <v>18.75</v>
      </c>
      <c r="F2864" s="3">
        <f t="shared" si="88"/>
        <v>4.738125000000001</v>
      </c>
      <c r="G2864" s="3">
        <f t="shared" si="89"/>
        <v>23.488125</v>
      </c>
    </row>
    <row r="2865" spans="1:7" x14ac:dyDescent="0.3">
      <c r="A2865" t="s">
        <v>13039</v>
      </c>
      <c r="B2865" t="s">
        <v>5757</v>
      </c>
      <c r="C2865" t="s">
        <v>5758</v>
      </c>
      <c r="D2865" s="1" t="s">
        <v>427</v>
      </c>
      <c r="E2865" s="3">
        <v>194.65</v>
      </c>
      <c r="F2865" s="3">
        <f t="shared" si="88"/>
        <v>49.188055000000006</v>
      </c>
      <c r="G2865" s="3">
        <f t="shared" si="89"/>
        <v>243.838055</v>
      </c>
    </row>
    <row r="2866" spans="1:7" x14ac:dyDescent="0.3">
      <c r="A2866" t="s">
        <v>13039</v>
      </c>
      <c r="B2866" t="s">
        <v>5759</v>
      </c>
      <c r="C2866" t="s">
        <v>5760</v>
      </c>
      <c r="D2866" s="1" t="s">
        <v>427</v>
      </c>
      <c r="E2866" s="3">
        <v>71.03</v>
      </c>
      <c r="F2866" s="3">
        <f t="shared" si="88"/>
        <v>17.949281000000003</v>
      </c>
      <c r="G2866" s="3">
        <f t="shared" si="89"/>
        <v>88.979281</v>
      </c>
    </row>
    <row r="2867" spans="1:7" x14ac:dyDescent="0.3">
      <c r="A2867" t="s">
        <v>13039</v>
      </c>
      <c r="B2867" t="s">
        <v>5761</v>
      </c>
      <c r="C2867" t="s">
        <v>5762</v>
      </c>
      <c r="D2867" s="1" t="s">
        <v>195</v>
      </c>
      <c r="E2867" s="3">
        <v>1184.3599999999999</v>
      </c>
      <c r="F2867" s="3">
        <f t="shared" si="88"/>
        <v>299.28777200000002</v>
      </c>
      <c r="G2867" s="3">
        <f t="shared" si="89"/>
        <v>1483.6477719999998</v>
      </c>
    </row>
    <row r="2868" spans="1:7" x14ac:dyDescent="0.3">
      <c r="A2868" t="s">
        <v>13039</v>
      </c>
      <c r="B2868" t="s">
        <v>5763</v>
      </c>
      <c r="C2868" t="s">
        <v>5764</v>
      </c>
      <c r="D2868" s="1" t="s">
        <v>195</v>
      </c>
      <c r="E2868" s="3">
        <v>1851.99</v>
      </c>
      <c r="F2868" s="3">
        <f t="shared" si="88"/>
        <v>467.99787300000008</v>
      </c>
      <c r="G2868" s="3">
        <f t="shared" si="89"/>
        <v>2319.987873</v>
      </c>
    </row>
    <row r="2869" spans="1:7" x14ac:dyDescent="0.3">
      <c r="A2869" t="s">
        <v>13039</v>
      </c>
      <c r="B2869" t="s">
        <v>5765</v>
      </c>
      <c r="C2869" t="s">
        <v>5766</v>
      </c>
      <c r="D2869" s="1" t="s">
        <v>195</v>
      </c>
      <c r="E2869" s="3">
        <v>2385.1799999999998</v>
      </c>
      <c r="F2869" s="3">
        <f t="shared" si="88"/>
        <v>602.73498600000005</v>
      </c>
      <c r="G2869" s="3">
        <f t="shared" si="89"/>
        <v>2987.9149859999998</v>
      </c>
    </row>
    <row r="2870" spans="1:7" x14ac:dyDescent="0.3">
      <c r="A2870" t="s">
        <v>13039</v>
      </c>
      <c r="B2870" t="s">
        <v>5767</v>
      </c>
      <c r="C2870" t="s">
        <v>5768</v>
      </c>
      <c r="D2870" s="1" t="s">
        <v>195</v>
      </c>
      <c r="E2870" s="3">
        <v>3169.76</v>
      </c>
      <c r="F2870" s="3">
        <f t="shared" si="88"/>
        <v>800.99835200000018</v>
      </c>
      <c r="G2870" s="3">
        <f t="shared" si="89"/>
        <v>3970.7583520000003</v>
      </c>
    </row>
    <row r="2871" spans="1:7" x14ac:dyDescent="0.3">
      <c r="A2871" t="s">
        <v>13039</v>
      </c>
      <c r="B2871" t="s">
        <v>5769</v>
      </c>
      <c r="C2871" t="s">
        <v>5770</v>
      </c>
      <c r="D2871" s="1" t="s">
        <v>195</v>
      </c>
      <c r="E2871" s="3">
        <v>536.74</v>
      </c>
      <c r="F2871" s="3">
        <f t="shared" si="88"/>
        <v>135.63419800000003</v>
      </c>
      <c r="G2871" s="3">
        <f t="shared" si="89"/>
        <v>672.37419799999998</v>
      </c>
    </row>
    <row r="2872" spans="1:7" x14ac:dyDescent="0.3">
      <c r="A2872" t="s">
        <v>13039</v>
      </c>
      <c r="B2872" t="s">
        <v>5771</v>
      </c>
      <c r="C2872" t="s">
        <v>5772</v>
      </c>
      <c r="D2872" s="1" t="s">
        <v>195</v>
      </c>
      <c r="E2872" s="3">
        <v>1384.61</v>
      </c>
      <c r="F2872" s="3">
        <f t="shared" si="88"/>
        <v>349.89094700000004</v>
      </c>
      <c r="G2872" s="3">
        <f t="shared" si="89"/>
        <v>1734.500947</v>
      </c>
    </row>
    <row r="2873" spans="1:7" x14ac:dyDescent="0.3">
      <c r="A2873" t="s">
        <v>13039</v>
      </c>
      <c r="B2873" t="s">
        <v>5773</v>
      </c>
      <c r="C2873" t="s">
        <v>5774</v>
      </c>
      <c r="D2873" s="1" t="s">
        <v>195</v>
      </c>
      <c r="E2873" s="3">
        <v>2324.1</v>
      </c>
      <c r="F2873" s="3">
        <f t="shared" si="88"/>
        <v>587.30007000000001</v>
      </c>
      <c r="G2873" s="3">
        <f t="shared" si="89"/>
        <v>2911.4000699999997</v>
      </c>
    </row>
    <row r="2874" spans="1:7" x14ac:dyDescent="0.3">
      <c r="A2874" t="s">
        <v>13039</v>
      </c>
      <c r="B2874" t="s">
        <v>5775</v>
      </c>
      <c r="C2874" t="s">
        <v>5776</v>
      </c>
      <c r="D2874" s="1" t="s">
        <v>195</v>
      </c>
      <c r="E2874" s="3">
        <v>820.71</v>
      </c>
      <c r="F2874" s="3">
        <f t="shared" si="88"/>
        <v>207.39341700000003</v>
      </c>
      <c r="G2874" s="3">
        <f t="shared" si="89"/>
        <v>1028.103417</v>
      </c>
    </row>
    <row r="2875" spans="1:7" x14ac:dyDescent="0.3">
      <c r="A2875" t="s">
        <v>13039</v>
      </c>
      <c r="B2875" t="s">
        <v>5777</v>
      </c>
      <c r="C2875" t="s">
        <v>5778</v>
      </c>
      <c r="D2875" s="1" t="s">
        <v>195</v>
      </c>
      <c r="E2875" s="3">
        <v>1001.37</v>
      </c>
      <c r="F2875" s="3">
        <f t="shared" si="88"/>
        <v>253.04619900000003</v>
      </c>
      <c r="G2875" s="3">
        <f t="shared" si="89"/>
        <v>1254.416199</v>
      </c>
    </row>
    <row r="2876" spans="1:7" x14ac:dyDescent="0.3">
      <c r="A2876" t="s">
        <v>13039</v>
      </c>
      <c r="B2876" t="s">
        <v>5779</v>
      </c>
      <c r="C2876" t="s">
        <v>5780</v>
      </c>
      <c r="D2876" s="1" t="s">
        <v>195</v>
      </c>
      <c r="E2876" s="3">
        <v>1260.73</v>
      </c>
      <c r="F2876" s="3">
        <f t="shared" si="88"/>
        <v>318.58647100000007</v>
      </c>
      <c r="G2876" s="3">
        <f t="shared" si="89"/>
        <v>1579.3164710000001</v>
      </c>
    </row>
    <row r="2877" spans="1:7" x14ac:dyDescent="0.3">
      <c r="A2877" t="s">
        <v>13039</v>
      </c>
      <c r="B2877" t="s">
        <v>5781</v>
      </c>
      <c r="C2877" t="s">
        <v>5782</v>
      </c>
      <c r="D2877" s="1" t="s">
        <v>195</v>
      </c>
      <c r="E2877" s="3">
        <v>359.8</v>
      </c>
      <c r="F2877" s="3">
        <f t="shared" si="88"/>
        <v>90.92146000000001</v>
      </c>
      <c r="G2877" s="3">
        <f t="shared" si="89"/>
        <v>450.72146000000004</v>
      </c>
    </row>
    <row r="2878" spans="1:7" x14ac:dyDescent="0.3">
      <c r="A2878" t="s">
        <v>13039</v>
      </c>
      <c r="B2878" t="s">
        <v>5783</v>
      </c>
      <c r="C2878" t="s">
        <v>5784</v>
      </c>
      <c r="D2878" s="1" t="s">
        <v>195</v>
      </c>
      <c r="E2878" s="3">
        <v>385.14</v>
      </c>
      <c r="F2878" s="3">
        <f t="shared" si="88"/>
        <v>97.324878000000012</v>
      </c>
      <c r="G2878" s="3">
        <f t="shared" si="89"/>
        <v>482.464878</v>
      </c>
    </row>
    <row r="2879" spans="1:7" x14ac:dyDescent="0.3">
      <c r="A2879" t="s">
        <v>13039</v>
      </c>
      <c r="B2879" t="s">
        <v>5785</v>
      </c>
      <c r="C2879" t="s">
        <v>5786</v>
      </c>
      <c r="D2879" s="1" t="s">
        <v>195</v>
      </c>
      <c r="E2879" s="3">
        <v>333.8</v>
      </c>
      <c r="F2879" s="3">
        <f t="shared" si="88"/>
        <v>84.351260000000011</v>
      </c>
      <c r="G2879" s="3">
        <f t="shared" si="89"/>
        <v>418.15126000000004</v>
      </c>
    </row>
    <row r="2880" spans="1:7" x14ac:dyDescent="0.3">
      <c r="A2880" t="s">
        <v>13039</v>
      </c>
      <c r="B2880" t="s">
        <v>5787</v>
      </c>
      <c r="C2880" t="s">
        <v>5788</v>
      </c>
      <c r="D2880" s="1" t="s">
        <v>195</v>
      </c>
      <c r="E2880" s="3">
        <v>424.21</v>
      </c>
      <c r="F2880" s="3">
        <f t="shared" si="88"/>
        <v>107.19786700000002</v>
      </c>
      <c r="G2880" s="3">
        <f t="shared" si="89"/>
        <v>531.40786700000001</v>
      </c>
    </row>
    <row r="2881" spans="1:7" x14ac:dyDescent="0.3">
      <c r="A2881" t="s">
        <v>13039</v>
      </c>
      <c r="B2881" t="s">
        <v>5789</v>
      </c>
      <c r="C2881" t="s">
        <v>5790</v>
      </c>
      <c r="D2881" s="1" t="s">
        <v>195</v>
      </c>
      <c r="E2881" s="3">
        <v>449.27</v>
      </c>
      <c r="F2881" s="3">
        <f t="shared" si="88"/>
        <v>113.53052900000002</v>
      </c>
      <c r="G2881" s="3">
        <f t="shared" si="89"/>
        <v>562.80052899999998</v>
      </c>
    </row>
    <row r="2882" spans="1:7" x14ac:dyDescent="0.3">
      <c r="A2882" t="s">
        <v>13039</v>
      </c>
      <c r="B2882" t="s">
        <v>5791</v>
      </c>
      <c r="C2882" t="s">
        <v>5792</v>
      </c>
      <c r="D2882" s="1" t="s">
        <v>195</v>
      </c>
      <c r="E2882" s="3">
        <v>757.41</v>
      </c>
      <c r="F2882" s="3">
        <f t="shared" si="88"/>
        <v>191.39750700000002</v>
      </c>
      <c r="G2882" s="3">
        <f t="shared" si="89"/>
        <v>948.80750699999999</v>
      </c>
    </row>
    <row r="2883" spans="1:7" x14ac:dyDescent="0.3">
      <c r="A2883" t="s">
        <v>13039</v>
      </c>
      <c r="B2883" t="s">
        <v>5793</v>
      </c>
      <c r="C2883" t="s">
        <v>5794</v>
      </c>
      <c r="D2883" s="1" t="s">
        <v>195</v>
      </c>
      <c r="E2883" s="3">
        <v>782.48</v>
      </c>
      <c r="F2883" s="3">
        <f t="shared" si="88"/>
        <v>197.73269600000003</v>
      </c>
      <c r="G2883" s="3">
        <f t="shared" si="89"/>
        <v>980.21269600000005</v>
      </c>
    </row>
    <row r="2884" spans="1:7" x14ac:dyDescent="0.3">
      <c r="A2884" t="s">
        <v>13039</v>
      </c>
      <c r="B2884" t="s">
        <v>5795</v>
      </c>
      <c r="C2884" t="s">
        <v>5796</v>
      </c>
      <c r="D2884" s="1" t="s">
        <v>195</v>
      </c>
      <c r="E2884" s="3">
        <v>801.04</v>
      </c>
      <c r="F2884" s="3">
        <f t="shared" si="88"/>
        <v>202.42280800000003</v>
      </c>
      <c r="G2884" s="3">
        <f t="shared" si="89"/>
        <v>1003.462808</v>
      </c>
    </row>
    <row r="2885" spans="1:7" x14ac:dyDescent="0.3">
      <c r="A2885" t="s">
        <v>13039</v>
      </c>
      <c r="B2885" t="s">
        <v>5797</v>
      </c>
      <c r="C2885" t="s">
        <v>5798</v>
      </c>
      <c r="D2885" s="1" t="s">
        <v>195</v>
      </c>
      <c r="E2885" s="3">
        <v>862.16</v>
      </c>
      <c r="F2885" s="3">
        <f t="shared" si="88"/>
        <v>217.86783200000002</v>
      </c>
      <c r="G2885" s="3">
        <f t="shared" si="89"/>
        <v>1080.027832</v>
      </c>
    </row>
    <row r="2886" spans="1:7" x14ac:dyDescent="0.3">
      <c r="A2886" t="s">
        <v>13039</v>
      </c>
      <c r="B2886" t="s">
        <v>5799</v>
      </c>
      <c r="C2886" t="s">
        <v>5800</v>
      </c>
      <c r="D2886" s="1" t="s">
        <v>195</v>
      </c>
      <c r="E2886" s="3">
        <v>841.01</v>
      </c>
      <c r="F2886" s="3">
        <f t="shared" si="88"/>
        <v>212.52322700000002</v>
      </c>
      <c r="G2886" s="3">
        <f t="shared" si="89"/>
        <v>1053.5332269999999</v>
      </c>
    </row>
    <row r="2887" spans="1:7" x14ac:dyDescent="0.3">
      <c r="A2887" t="s">
        <v>13039</v>
      </c>
      <c r="B2887" t="s">
        <v>5801</v>
      </c>
      <c r="C2887" t="s">
        <v>5802</v>
      </c>
      <c r="D2887" s="1" t="s">
        <v>195</v>
      </c>
      <c r="E2887" s="3">
        <v>902.62</v>
      </c>
      <c r="F2887" s="3">
        <f t="shared" ref="F2887:F2950" si="90">+E2887*$F$4</f>
        <v>228.09207400000003</v>
      </c>
      <c r="G2887" s="3">
        <f t="shared" ref="G2887:G2950" si="91">+E2887+F2887</f>
        <v>1130.712074</v>
      </c>
    </row>
    <row r="2888" spans="1:7" x14ac:dyDescent="0.3">
      <c r="A2888" t="s">
        <v>13039</v>
      </c>
      <c r="B2888" t="s">
        <v>5803</v>
      </c>
      <c r="C2888" t="s">
        <v>5804</v>
      </c>
      <c r="D2888" s="1" t="s">
        <v>195</v>
      </c>
      <c r="E2888" s="3">
        <v>942.67</v>
      </c>
      <c r="F2888" s="3">
        <f t="shared" si="90"/>
        <v>238.21270900000002</v>
      </c>
      <c r="G2888" s="3">
        <f t="shared" si="91"/>
        <v>1180.882709</v>
      </c>
    </row>
    <row r="2889" spans="1:7" x14ac:dyDescent="0.3">
      <c r="A2889" t="s">
        <v>13039</v>
      </c>
      <c r="B2889" t="s">
        <v>5805</v>
      </c>
      <c r="C2889" t="s">
        <v>5806</v>
      </c>
      <c r="D2889" s="1" t="s">
        <v>195</v>
      </c>
      <c r="E2889" s="3">
        <v>1014.05</v>
      </c>
      <c r="F2889" s="3">
        <f t="shared" si="90"/>
        <v>256.25043500000004</v>
      </c>
      <c r="G2889" s="3">
        <f t="shared" si="91"/>
        <v>1270.3004350000001</v>
      </c>
    </row>
    <row r="2890" spans="1:7" x14ac:dyDescent="0.3">
      <c r="A2890" t="s">
        <v>13039</v>
      </c>
      <c r="B2890" t="s">
        <v>5807</v>
      </c>
      <c r="C2890" t="s">
        <v>5808</v>
      </c>
      <c r="D2890" s="1" t="s">
        <v>195</v>
      </c>
      <c r="E2890" s="3">
        <v>1158.99</v>
      </c>
      <c r="F2890" s="3">
        <f t="shared" si="90"/>
        <v>292.87677300000007</v>
      </c>
      <c r="G2890" s="3">
        <f t="shared" si="91"/>
        <v>1451.8667730000002</v>
      </c>
    </row>
    <row r="2891" spans="1:7" x14ac:dyDescent="0.3">
      <c r="A2891" t="s">
        <v>13039</v>
      </c>
      <c r="B2891" t="s">
        <v>5809</v>
      </c>
      <c r="C2891" t="s">
        <v>5810</v>
      </c>
      <c r="D2891" s="1" t="s">
        <v>195</v>
      </c>
      <c r="E2891" s="3">
        <v>1240.1600000000001</v>
      </c>
      <c r="F2891" s="3">
        <f t="shared" si="90"/>
        <v>313.38843200000008</v>
      </c>
      <c r="G2891" s="3">
        <f t="shared" si="91"/>
        <v>1553.548432</v>
      </c>
    </row>
    <row r="2892" spans="1:7" x14ac:dyDescent="0.3">
      <c r="A2892" t="s">
        <v>13039</v>
      </c>
      <c r="B2892" t="s">
        <v>5811</v>
      </c>
      <c r="C2892" t="s">
        <v>5812</v>
      </c>
      <c r="D2892" s="1" t="s">
        <v>195</v>
      </c>
      <c r="E2892" s="3">
        <v>1175.4000000000001</v>
      </c>
      <c r="F2892" s="3">
        <f t="shared" si="90"/>
        <v>297.02358000000004</v>
      </c>
      <c r="G2892" s="3">
        <f t="shared" si="91"/>
        <v>1472.4235800000001</v>
      </c>
    </row>
    <row r="2893" spans="1:7" x14ac:dyDescent="0.3">
      <c r="A2893" t="s">
        <v>13039</v>
      </c>
      <c r="B2893" t="s">
        <v>5813</v>
      </c>
      <c r="C2893" t="s">
        <v>5814</v>
      </c>
      <c r="D2893" s="1" t="s">
        <v>195</v>
      </c>
      <c r="E2893" s="3">
        <v>1241.9000000000001</v>
      </c>
      <c r="F2893" s="3">
        <f t="shared" si="90"/>
        <v>313.82813000000004</v>
      </c>
      <c r="G2893" s="3">
        <f t="shared" si="91"/>
        <v>1555.7281300000002</v>
      </c>
    </row>
    <row r="2894" spans="1:7" x14ac:dyDescent="0.3">
      <c r="A2894" t="s">
        <v>13039</v>
      </c>
      <c r="B2894" t="s">
        <v>5815</v>
      </c>
      <c r="C2894" t="s">
        <v>5816</v>
      </c>
      <c r="D2894" s="1" t="s">
        <v>195</v>
      </c>
      <c r="E2894" s="3">
        <v>1315.44</v>
      </c>
      <c r="F2894" s="3">
        <f t="shared" si="90"/>
        <v>332.41168800000008</v>
      </c>
      <c r="G2894" s="3">
        <f t="shared" si="91"/>
        <v>1647.8516880000002</v>
      </c>
    </row>
    <row r="2895" spans="1:7" x14ac:dyDescent="0.3">
      <c r="A2895" t="s">
        <v>13039</v>
      </c>
      <c r="B2895" t="s">
        <v>5817</v>
      </c>
      <c r="C2895" t="s">
        <v>5818</v>
      </c>
      <c r="D2895" s="1" t="s">
        <v>195</v>
      </c>
      <c r="E2895" s="3">
        <v>1401.49</v>
      </c>
      <c r="F2895" s="3">
        <f t="shared" si="90"/>
        <v>354.15652300000005</v>
      </c>
      <c r="G2895" s="3">
        <f t="shared" si="91"/>
        <v>1755.6465230000001</v>
      </c>
    </row>
    <row r="2896" spans="1:7" x14ac:dyDescent="0.3">
      <c r="A2896" t="s">
        <v>13039</v>
      </c>
      <c r="B2896" t="s">
        <v>5819</v>
      </c>
      <c r="C2896" t="s">
        <v>5820</v>
      </c>
      <c r="D2896" s="1" t="s">
        <v>195</v>
      </c>
      <c r="E2896" s="3">
        <v>4457.66</v>
      </c>
      <c r="F2896" s="3">
        <f t="shared" si="90"/>
        <v>1126.4506820000001</v>
      </c>
      <c r="G2896" s="3">
        <f t="shared" si="91"/>
        <v>5584.1106820000005</v>
      </c>
    </row>
    <row r="2897" spans="1:7" x14ac:dyDescent="0.3">
      <c r="A2897" t="s">
        <v>13039</v>
      </c>
      <c r="B2897" t="s">
        <v>5821</v>
      </c>
      <c r="C2897" t="s">
        <v>5822</v>
      </c>
      <c r="D2897" s="1" t="s">
        <v>195</v>
      </c>
      <c r="E2897" s="3">
        <v>4542.25</v>
      </c>
      <c r="F2897" s="3">
        <f t="shared" si="90"/>
        <v>1147.8265750000003</v>
      </c>
      <c r="G2897" s="3">
        <f t="shared" si="91"/>
        <v>5690.076575</v>
      </c>
    </row>
    <row r="2898" spans="1:7" x14ac:dyDescent="0.3">
      <c r="A2898" t="s">
        <v>13039</v>
      </c>
      <c r="B2898" t="s">
        <v>5823</v>
      </c>
      <c r="C2898" t="s">
        <v>5824</v>
      </c>
      <c r="D2898" s="1" t="s">
        <v>195</v>
      </c>
      <c r="E2898" s="3">
        <v>138.41</v>
      </c>
      <c r="F2898" s="3">
        <f t="shared" si="90"/>
        <v>34.976207000000002</v>
      </c>
      <c r="G2898" s="3">
        <f t="shared" si="91"/>
        <v>173.38620700000001</v>
      </c>
    </row>
    <row r="2899" spans="1:7" x14ac:dyDescent="0.3">
      <c r="A2899" t="s">
        <v>13039</v>
      </c>
      <c r="B2899" t="s">
        <v>5825</v>
      </c>
      <c r="C2899" t="s">
        <v>5826</v>
      </c>
      <c r="D2899" s="1" t="s">
        <v>195</v>
      </c>
      <c r="E2899" s="3">
        <v>163.82</v>
      </c>
      <c r="F2899" s="3">
        <f t="shared" si="90"/>
        <v>41.397314000000001</v>
      </c>
      <c r="G2899" s="3">
        <f t="shared" si="91"/>
        <v>205.21731399999999</v>
      </c>
    </row>
    <row r="2900" spans="1:7" x14ac:dyDescent="0.3">
      <c r="A2900" t="s">
        <v>13039</v>
      </c>
      <c r="B2900" t="s">
        <v>5827</v>
      </c>
      <c r="C2900" t="s">
        <v>5828</v>
      </c>
      <c r="D2900" s="1" t="s">
        <v>195</v>
      </c>
      <c r="E2900" s="3">
        <v>195.76</v>
      </c>
      <c r="F2900" s="3">
        <f t="shared" si="90"/>
        <v>49.468552000000003</v>
      </c>
      <c r="G2900" s="3">
        <f t="shared" si="91"/>
        <v>245.22855199999998</v>
      </c>
    </row>
    <row r="2901" spans="1:7" x14ac:dyDescent="0.3">
      <c r="A2901" t="s">
        <v>13039</v>
      </c>
      <c r="B2901" t="s">
        <v>5829</v>
      </c>
      <c r="C2901" t="s">
        <v>5830</v>
      </c>
      <c r="D2901" s="1" t="s">
        <v>195</v>
      </c>
      <c r="E2901" s="3">
        <v>223.34</v>
      </c>
      <c r="F2901" s="3">
        <f t="shared" si="90"/>
        <v>56.438018000000007</v>
      </c>
      <c r="G2901" s="3">
        <f t="shared" si="91"/>
        <v>279.77801800000003</v>
      </c>
    </row>
    <row r="2902" spans="1:7" x14ac:dyDescent="0.3">
      <c r="A2902" t="s">
        <v>13039</v>
      </c>
      <c r="B2902" t="s">
        <v>5831</v>
      </c>
      <c r="C2902" t="s">
        <v>5832</v>
      </c>
      <c r="D2902" s="1" t="s">
        <v>195</v>
      </c>
      <c r="E2902" s="3">
        <v>250.92</v>
      </c>
      <c r="F2902" s="3">
        <f t="shared" si="90"/>
        <v>63.407484000000004</v>
      </c>
      <c r="G2902" s="3">
        <f t="shared" si="91"/>
        <v>314.32748399999997</v>
      </c>
    </row>
    <row r="2903" spans="1:7" x14ac:dyDescent="0.3">
      <c r="A2903" t="s">
        <v>13039</v>
      </c>
      <c r="B2903" t="s">
        <v>5833</v>
      </c>
      <c r="C2903" t="s">
        <v>5834</v>
      </c>
      <c r="D2903" s="1" t="s">
        <v>195</v>
      </c>
      <c r="E2903" s="3">
        <v>310.44</v>
      </c>
      <c r="F2903" s="3">
        <f t="shared" si="90"/>
        <v>78.448188000000016</v>
      </c>
      <c r="G2903" s="3">
        <f t="shared" si="91"/>
        <v>388.88818800000001</v>
      </c>
    </row>
    <row r="2904" spans="1:7" x14ac:dyDescent="0.3">
      <c r="A2904" t="s">
        <v>13039</v>
      </c>
      <c r="B2904" t="s">
        <v>5835</v>
      </c>
      <c r="C2904" t="s">
        <v>5836</v>
      </c>
      <c r="D2904" s="1" t="s">
        <v>195</v>
      </c>
      <c r="E2904" s="3">
        <v>363.43</v>
      </c>
      <c r="F2904" s="3">
        <f t="shared" si="90"/>
        <v>91.838761000000019</v>
      </c>
      <c r="G2904" s="3">
        <f t="shared" si="91"/>
        <v>455.26876100000004</v>
      </c>
    </row>
    <row r="2905" spans="1:7" x14ac:dyDescent="0.3">
      <c r="A2905" t="s">
        <v>13039</v>
      </c>
      <c r="B2905" t="s">
        <v>5837</v>
      </c>
      <c r="C2905" t="s">
        <v>5838</v>
      </c>
      <c r="D2905" s="1" t="s">
        <v>195</v>
      </c>
      <c r="E2905" s="3">
        <v>61.56</v>
      </c>
      <c r="F2905" s="3">
        <f t="shared" si="90"/>
        <v>15.556212000000002</v>
      </c>
      <c r="G2905" s="3">
        <f t="shared" si="91"/>
        <v>77.116212000000004</v>
      </c>
    </row>
    <row r="2906" spans="1:7" x14ac:dyDescent="0.3">
      <c r="A2906" t="s">
        <v>13039</v>
      </c>
      <c r="B2906" t="s">
        <v>5839</v>
      </c>
      <c r="C2906" t="s">
        <v>5840</v>
      </c>
      <c r="D2906" s="1" t="s">
        <v>195</v>
      </c>
      <c r="E2906" s="3">
        <v>50.75</v>
      </c>
      <c r="F2906" s="3">
        <f t="shared" si="90"/>
        <v>12.824525000000001</v>
      </c>
      <c r="G2906" s="3">
        <f t="shared" si="91"/>
        <v>63.574525000000001</v>
      </c>
    </row>
    <row r="2907" spans="1:7" x14ac:dyDescent="0.3">
      <c r="A2907" t="s">
        <v>13039</v>
      </c>
      <c r="B2907" t="s">
        <v>5841</v>
      </c>
      <c r="C2907" t="s">
        <v>5842</v>
      </c>
      <c r="D2907" s="1" t="s">
        <v>195</v>
      </c>
      <c r="E2907" s="3">
        <v>77.98</v>
      </c>
      <c r="F2907" s="3">
        <f t="shared" si="90"/>
        <v>19.705546000000005</v>
      </c>
      <c r="G2907" s="3">
        <f t="shared" si="91"/>
        <v>97.685546000000016</v>
      </c>
    </row>
    <row r="2908" spans="1:7" x14ac:dyDescent="0.3">
      <c r="A2908" t="s">
        <v>13039</v>
      </c>
      <c r="B2908" t="s">
        <v>5843</v>
      </c>
      <c r="C2908" t="s">
        <v>5844</v>
      </c>
      <c r="D2908" s="1" t="s">
        <v>195</v>
      </c>
      <c r="E2908" s="3">
        <v>62.75</v>
      </c>
      <c r="F2908" s="3">
        <f t="shared" si="90"/>
        <v>15.856925000000002</v>
      </c>
      <c r="G2908" s="3">
        <f t="shared" si="91"/>
        <v>78.606925000000004</v>
      </c>
    </row>
    <row r="2909" spans="1:7" x14ac:dyDescent="0.3">
      <c r="A2909" t="s">
        <v>13039</v>
      </c>
      <c r="B2909" t="s">
        <v>5845</v>
      </c>
      <c r="C2909" t="s">
        <v>5846</v>
      </c>
      <c r="D2909" s="1" t="s">
        <v>38</v>
      </c>
      <c r="E2909" s="3">
        <v>1532.85</v>
      </c>
      <c r="F2909" s="3">
        <f t="shared" si="90"/>
        <v>387.35119500000002</v>
      </c>
      <c r="G2909" s="3">
        <f t="shared" si="91"/>
        <v>1920.2011949999999</v>
      </c>
    </row>
    <row r="2910" spans="1:7" x14ac:dyDescent="0.3">
      <c r="A2910" t="s">
        <v>13039</v>
      </c>
      <c r="B2910" t="s">
        <v>5847</v>
      </c>
      <c r="C2910" t="s">
        <v>5848</v>
      </c>
      <c r="D2910" s="1" t="s">
        <v>38</v>
      </c>
      <c r="E2910" s="3">
        <v>1481.79</v>
      </c>
      <c r="F2910" s="3">
        <f t="shared" si="90"/>
        <v>374.44833300000005</v>
      </c>
      <c r="G2910" s="3">
        <f t="shared" si="91"/>
        <v>1856.238333</v>
      </c>
    </row>
    <row r="2911" spans="1:7" x14ac:dyDescent="0.3">
      <c r="A2911" t="s">
        <v>13039</v>
      </c>
      <c r="B2911" t="s">
        <v>5849</v>
      </c>
      <c r="C2911" t="s">
        <v>5850</v>
      </c>
      <c r="D2911" s="1" t="s">
        <v>38</v>
      </c>
      <c r="E2911" s="3">
        <v>1803.46</v>
      </c>
      <c r="F2911" s="3">
        <f t="shared" si="90"/>
        <v>455.73434200000008</v>
      </c>
      <c r="G2911" s="3">
        <f t="shared" si="91"/>
        <v>2259.1943420000002</v>
      </c>
    </row>
    <row r="2912" spans="1:7" x14ac:dyDescent="0.3">
      <c r="A2912" t="s">
        <v>13039</v>
      </c>
      <c r="B2912" t="s">
        <v>5851</v>
      </c>
      <c r="C2912" t="s">
        <v>5852</v>
      </c>
      <c r="D2912" s="1" t="s">
        <v>38</v>
      </c>
      <c r="E2912" s="3">
        <v>1744.22</v>
      </c>
      <c r="F2912" s="3">
        <f t="shared" si="90"/>
        <v>440.7643940000001</v>
      </c>
      <c r="G2912" s="3">
        <f t="shared" si="91"/>
        <v>2184.9843940000001</v>
      </c>
    </row>
    <row r="2913" spans="1:7" x14ac:dyDescent="0.3">
      <c r="A2913" t="s">
        <v>13039</v>
      </c>
      <c r="B2913" t="s">
        <v>5853</v>
      </c>
      <c r="C2913" t="s">
        <v>5854</v>
      </c>
      <c r="D2913" s="1" t="s">
        <v>38</v>
      </c>
      <c r="E2913" s="3">
        <v>2067.85</v>
      </c>
      <c r="F2913" s="3">
        <f t="shared" si="90"/>
        <v>522.54569500000002</v>
      </c>
      <c r="G2913" s="3">
        <f t="shared" si="91"/>
        <v>2590.3956950000002</v>
      </c>
    </row>
    <row r="2914" spans="1:7" x14ac:dyDescent="0.3">
      <c r="A2914" t="s">
        <v>13039</v>
      </c>
      <c r="B2914" t="s">
        <v>5855</v>
      </c>
      <c r="C2914" t="s">
        <v>5856</v>
      </c>
      <c r="D2914" s="1" t="s">
        <v>38</v>
      </c>
      <c r="E2914" s="3">
        <v>2001.92</v>
      </c>
      <c r="F2914" s="3">
        <f t="shared" si="90"/>
        <v>505.88518400000009</v>
      </c>
      <c r="G2914" s="3">
        <f t="shared" si="91"/>
        <v>2507.8051840000003</v>
      </c>
    </row>
    <row r="2915" spans="1:7" x14ac:dyDescent="0.3">
      <c r="A2915" t="s">
        <v>13039</v>
      </c>
      <c r="B2915" t="s">
        <v>5857</v>
      </c>
      <c r="C2915" t="s">
        <v>5858</v>
      </c>
      <c r="D2915" s="1" t="s">
        <v>38</v>
      </c>
      <c r="E2915" s="3">
        <v>2338.4299999999998</v>
      </c>
      <c r="F2915" s="3">
        <f t="shared" si="90"/>
        <v>590.92126100000007</v>
      </c>
      <c r="G2915" s="3">
        <f t="shared" si="91"/>
        <v>2929.3512609999998</v>
      </c>
    </row>
    <row r="2916" spans="1:7" x14ac:dyDescent="0.3">
      <c r="A2916" t="s">
        <v>13039</v>
      </c>
      <c r="B2916" t="s">
        <v>5859</v>
      </c>
      <c r="C2916" t="s">
        <v>5860</v>
      </c>
      <c r="D2916" s="1" t="s">
        <v>38</v>
      </c>
      <c r="E2916" s="3">
        <v>2264.31</v>
      </c>
      <c r="F2916" s="3">
        <f t="shared" si="90"/>
        <v>572.19113700000003</v>
      </c>
      <c r="G2916" s="3">
        <f t="shared" si="91"/>
        <v>2836.5011370000002</v>
      </c>
    </row>
    <row r="2917" spans="1:7" x14ac:dyDescent="0.3">
      <c r="A2917" t="s">
        <v>13039</v>
      </c>
      <c r="B2917" t="s">
        <v>5861</v>
      </c>
      <c r="C2917" t="s">
        <v>5862</v>
      </c>
      <c r="D2917" s="1" t="s">
        <v>38</v>
      </c>
      <c r="E2917" s="3">
        <v>2602.8200000000002</v>
      </c>
      <c r="F2917" s="3">
        <f t="shared" si="90"/>
        <v>657.73261400000013</v>
      </c>
      <c r="G2917" s="3">
        <f t="shared" si="91"/>
        <v>3260.5526140000002</v>
      </c>
    </row>
    <row r="2918" spans="1:7" x14ac:dyDescent="0.3">
      <c r="A2918" t="s">
        <v>13039</v>
      </c>
      <c r="B2918" t="s">
        <v>5863</v>
      </c>
      <c r="C2918" t="s">
        <v>5864</v>
      </c>
      <c r="D2918" s="1" t="s">
        <v>38</v>
      </c>
      <c r="E2918" s="3">
        <v>2522.0100000000002</v>
      </c>
      <c r="F2918" s="3">
        <f t="shared" si="90"/>
        <v>637.3119270000002</v>
      </c>
      <c r="G2918" s="3">
        <f t="shared" si="91"/>
        <v>3159.3219270000004</v>
      </c>
    </row>
    <row r="2919" spans="1:7" x14ac:dyDescent="0.3">
      <c r="A2919" t="s">
        <v>13039</v>
      </c>
      <c r="B2919" t="s">
        <v>5865</v>
      </c>
      <c r="C2919" t="s">
        <v>5866</v>
      </c>
      <c r="D2919" s="1" t="s">
        <v>38</v>
      </c>
      <c r="E2919" s="3">
        <v>2873.43</v>
      </c>
      <c r="F2919" s="3">
        <f t="shared" si="90"/>
        <v>726.11576100000002</v>
      </c>
      <c r="G2919" s="3">
        <f t="shared" si="91"/>
        <v>3599.5457609999999</v>
      </c>
    </row>
    <row r="2920" spans="1:7" x14ac:dyDescent="0.3">
      <c r="A2920" t="s">
        <v>13039</v>
      </c>
      <c r="B2920" t="s">
        <v>5867</v>
      </c>
      <c r="C2920" t="s">
        <v>5868</v>
      </c>
      <c r="D2920" s="1" t="s">
        <v>38</v>
      </c>
      <c r="E2920" s="3">
        <v>2784.43</v>
      </c>
      <c r="F2920" s="3">
        <f t="shared" si="90"/>
        <v>703.62546100000009</v>
      </c>
      <c r="G2920" s="3">
        <f t="shared" si="91"/>
        <v>3488.0554609999999</v>
      </c>
    </row>
    <row r="2921" spans="1:7" x14ac:dyDescent="0.3">
      <c r="A2921" t="s">
        <v>13039</v>
      </c>
      <c r="B2921" t="s">
        <v>5869</v>
      </c>
      <c r="C2921" t="s">
        <v>5870</v>
      </c>
      <c r="D2921" s="1" t="s">
        <v>38</v>
      </c>
      <c r="E2921" s="3">
        <v>3137.82</v>
      </c>
      <c r="F2921" s="3">
        <f t="shared" si="90"/>
        <v>792.92711400000019</v>
      </c>
      <c r="G2921" s="3">
        <f t="shared" si="91"/>
        <v>3930.7471140000002</v>
      </c>
    </row>
    <row r="2922" spans="1:7" x14ac:dyDescent="0.3">
      <c r="A2922" t="s">
        <v>13039</v>
      </c>
      <c r="B2922" t="s">
        <v>5871</v>
      </c>
      <c r="C2922" t="s">
        <v>5872</v>
      </c>
      <c r="D2922" s="1" t="s">
        <v>38</v>
      </c>
      <c r="E2922" s="3">
        <v>3042.13</v>
      </c>
      <c r="F2922" s="3">
        <f t="shared" si="90"/>
        <v>768.74625100000014</v>
      </c>
      <c r="G2922" s="3">
        <f t="shared" si="91"/>
        <v>3810.8762510000001</v>
      </c>
    </row>
    <row r="2923" spans="1:7" x14ac:dyDescent="0.3">
      <c r="A2923" t="s">
        <v>13039</v>
      </c>
      <c r="B2923" t="s">
        <v>5873</v>
      </c>
      <c r="C2923" t="s">
        <v>5874</v>
      </c>
      <c r="D2923" s="1" t="s">
        <v>427</v>
      </c>
      <c r="E2923" s="3">
        <v>67.819999999999993</v>
      </c>
      <c r="F2923" s="3">
        <f t="shared" si="90"/>
        <v>17.138114000000002</v>
      </c>
      <c r="G2923" s="3">
        <f t="shared" si="91"/>
        <v>84.958113999999995</v>
      </c>
    </row>
    <row r="2924" spans="1:7" x14ac:dyDescent="0.3">
      <c r="A2924" t="s">
        <v>13039</v>
      </c>
      <c r="B2924" t="s">
        <v>5875</v>
      </c>
      <c r="C2924" t="s">
        <v>5876</v>
      </c>
      <c r="D2924" s="1" t="s">
        <v>195</v>
      </c>
      <c r="E2924" s="3">
        <v>26.49</v>
      </c>
      <c r="F2924" s="3">
        <f t="shared" si="90"/>
        <v>6.6940230000000005</v>
      </c>
      <c r="G2924" s="3">
        <f t="shared" si="91"/>
        <v>33.184022999999996</v>
      </c>
    </row>
    <row r="2925" spans="1:7" x14ac:dyDescent="0.3">
      <c r="A2925" t="s">
        <v>13039</v>
      </c>
      <c r="B2925" t="s">
        <v>5877</v>
      </c>
      <c r="C2925" t="s">
        <v>5878</v>
      </c>
      <c r="D2925" s="1" t="s">
        <v>195</v>
      </c>
      <c r="E2925" s="3">
        <v>22.04</v>
      </c>
      <c r="F2925" s="3">
        <f t="shared" si="90"/>
        <v>5.5695080000000008</v>
      </c>
      <c r="G2925" s="3">
        <f t="shared" si="91"/>
        <v>27.609507999999998</v>
      </c>
    </row>
    <row r="2926" spans="1:7" x14ac:dyDescent="0.3">
      <c r="A2926" t="s">
        <v>13039</v>
      </c>
      <c r="B2926" t="s">
        <v>5879</v>
      </c>
      <c r="C2926" t="s">
        <v>5880</v>
      </c>
      <c r="D2926" s="1" t="s">
        <v>195</v>
      </c>
      <c r="E2926" s="3">
        <v>776.62</v>
      </c>
      <c r="F2926" s="3">
        <f t="shared" si="90"/>
        <v>196.25187400000002</v>
      </c>
      <c r="G2926" s="3">
        <f t="shared" si="91"/>
        <v>972.87187400000005</v>
      </c>
    </row>
    <row r="2927" spans="1:7" x14ac:dyDescent="0.3">
      <c r="A2927" t="s">
        <v>13039</v>
      </c>
      <c r="B2927" t="s">
        <v>5881</v>
      </c>
      <c r="C2927" t="s">
        <v>5882</v>
      </c>
      <c r="D2927" s="1" t="s">
        <v>195</v>
      </c>
      <c r="E2927" s="3">
        <v>703.07</v>
      </c>
      <c r="F2927" s="3">
        <f t="shared" si="90"/>
        <v>177.66578900000005</v>
      </c>
      <c r="G2927" s="3">
        <f t="shared" si="91"/>
        <v>880.73578900000007</v>
      </c>
    </row>
    <row r="2928" spans="1:7" x14ac:dyDescent="0.3">
      <c r="A2928" t="s">
        <v>13039</v>
      </c>
      <c r="B2928" t="s">
        <v>5883</v>
      </c>
      <c r="C2928" t="s">
        <v>5884</v>
      </c>
      <c r="D2928" s="1" t="s">
        <v>195</v>
      </c>
      <c r="E2928" s="3">
        <v>853.74</v>
      </c>
      <c r="F2928" s="3">
        <f t="shared" si="90"/>
        <v>215.74009800000005</v>
      </c>
      <c r="G2928" s="3">
        <f t="shared" si="91"/>
        <v>1069.480098</v>
      </c>
    </row>
    <row r="2929" spans="1:7" x14ac:dyDescent="0.3">
      <c r="A2929" t="s">
        <v>13039</v>
      </c>
      <c r="B2929" t="s">
        <v>5885</v>
      </c>
      <c r="C2929" t="s">
        <v>5886</v>
      </c>
      <c r="D2929" s="1" t="s">
        <v>195</v>
      </c>
      <c r="E2929" s="3">
        <v>772.28</v>
      </c>
      <c r="F2929" s="3">
        <f t="shared" si="90"/>
        <v>195.15515600000003</v>
      </c>
      <c r="G2929" s="3">
        <f t="shared" si="91"/>
        <v>967.43515600000001</v>
      </c>
    </row>
    <row r="2930" spans="1:7" x14ac:dyDescent="0.3">
      <c r="A2930" t="s">
        <v>13039</v>
      </c>
      <c r="B2930" t="s">
        <v>5887</v>
      </c>
      <c r="C2930" t="s">
        <v>5888</v>
      </c>
      <c r="D2930" s="1" t="s">
        <v>195</v>
      </c>
      <c r="E2930" s="3">
        <v>1035</v>
      </c>
      <c r="F2930" s="3">
        <f t="shared" si="90"/>
        <v>261.54450000000003</v>
      </c>
      <c r="G2930" s="3">
        <f t="shared" si="91"/>
        <v>1296.5445</v>
      </c>
    </row>
    <row r="2931" spans="1:7" x14ac:dyDescent="0.3">
      <c r="A2931" t="s">
        <v>13039</v>
      </c>
      <c r="B2931" t="s">
        <v>5889</v>
      </c>
      <c r="C2931" t="s">
        <v>5890</v>
      </c>
      <c r="D2931" s="1" t="s">
        <v>195</v>
      </c>
      <c r="E2931" s="3">
        <v>932.69</v>
      </c>
      <c r="F2931" s="3">
        <f t="shared" si="90"/>
        <v>235.69076300000006</v>
      </c>
      <c r="G2931" s="3">
        <f t="shared" si="91"/>
        <v>1168.3807630000001</v>
      </c>
    </row>
    <row r="2932" spans="1:7" x14ac:dyDescent="0.3">
      <c r="A2932" t="s">
        <v>13039</v>
      </c>
      <c r="B2932" t="s">
        <v>5891</v>
      </c>
      <c r="C2932" t="s">
        <v>5892</v>
      </c>
      <c r="D2932" s="1" t="s">
        <v>195</v>
      </c>
      <c r="E2932" s="3">
        <v>1188.1500000000001</v>
      </c>
      <c r="F2932" s="3">
        <f t="shared" si="90"/>
        <v>300.24550500000009</v>
      </c>
      <c r="G2932" s="3">
        <f t="shared" si="91"/>
        <v>1488.3955050000002</v>
      </c>
    </row>
    <row r="2933" spans="1:7" x14ac:dyDescent="0.3">
      <c r="A2933" t="s">
        <v>13039</v>
      </c>
      <c r="B2933" t="s">
        <v>5893</v>
      </c>
      <c r="C2933" t="s">
        <v>5894</v>
      </c>
      <c r="D2933" s="1" t="s">
        <v>195</v>
      </c>
      <c r="E2933" s="3">
        <v>1071.25</v>
      </c>
      <c r="F2933" s="3">
        <f t="shared" si="90"/>
        <v>270.70487500000002</v>
      </c>
      <c r="G2933" s="3">
        <f t="shared" si="91"/>
        <v>1341.9548749999999</v>
      </c>
    </row>
    <row r="2934" spans="1:7" x14ac:dyDescent="0.3">
      <c r="A2934" t="s">
        <v>13039</v>
      </c>
      <c r="B2934" t="s">
        <v>5895</v>
      </c>
      <c r="C2934" t="s">
        <v>5896</v>
      </c>
      <c r="D2934" s="1" t="s">
        <v>195</v>
      </c>
      <c r="E2934" s="3">
        <v>1412.88</v>
      </c>
      <c r="F2934" s="3">
        <f t="shared" si="90"/>
        <v>357.03477600000008</v>
      </c>
      <c r="G2934" s="3">
        <f t="shared" si="91"/>
        <v>1769.9147760000001</v>
      </c>
    </row>
    <row r="2935" spans="1:7" x14ac:dyDescent="0.3">
      <c r="A2935" t="s">
        <v>13039</v>
      </c>
      <c r="B2935" t="s">
        <v>5897</v>
      </c>
      <c r="C2935" t="s">
        <v>5898</v>
      </c>
      <c r="D2935" s="1" t="s">
        <v>195</v>
      </c>
      <c r="E2935" s="3">
        <v>1273.45</v>
      </c>
      <c r="F2935" s="3">
        <f t="shared" si="90"/>
        <v>321.80081500000006</v>
      </c>
      <c r="G2935" s="3">
        <f t="shared" si="91"/>
        <v>1595.2508150000001</v>
      </c>
    </row>
    <row r="2936" spans="1:7" x14ac:dyDescent="0.3">
      <c r="A2936" t="s">
        <v>13039</v>
      </c>
      <c r="B2936" t="s">
        <v>5899</v>
      </c>
      <c r="C2936" t="s">
        <v>5900</v>
      </c>
      <c r="D2936" s="1" t="s">
        <v>195</v>
      </c>
      <c r="E2936" s="3">
        <v>1566.25</v>
      </c>
      <c r="F2936" s="3">
        <f t="shared" si="90"/>
        <v>395.79137500000007</v>
      </c>
      <c r="G2936" s="3">
        <f t="shared" si="91"/>
        <v>1962.041375</v>
      </c>
    </row>
    <row r="2937" spans="1:7" x14ac:dyDescent="0.3">
      <c r="A2937" t="s">
        <v>13039</v>
      </c>
      <c r="B2937" t="s">
        <v>5901</v>
      </c>
      <c r="C2937" t="s">
        <v>5902</v>
      </c>
      <c r="D2937" s="1" t="s">
        <v>195</v>
      </c>
      <c r="E2937" s="3">
        <v>1401.48</v>
      </c>
      <c r="F2937" s="3">
        <f t="shared" si="90"/>
        <v>354.15399600000006</v>
      </c>
      <c r="G2937" s="3">
        <f t="shared" si="91"/>
        <v>1755.633996</v>
      </c>
    </row>
    <row r="2938" spans="1:7" x14ac:dyDescent="0.3">
      <c r="A2938" t="s">
        <v>13039</v>
      </c>
      <c r="B2938" t="s">
        <v>5903</v>
      </c>
      <c r="C2938" t="s">
        <v>5904</v>
      </c>
      <c r="D2938" s="1" t="s">
        <v>195</v>
      </c>
      <c r="E2938" s="3">
        <v>1812.01</v>
      </c>
      <c r="F2938" s="3">
        <f t="shared" si="90"/>
        <v>457.89492700000005</v>
      </c>
      <c r="G2938" s="3">
        <f t="shared" si="91"/>
        <v>2269.904927</v>
      </c>
    </row>
    <row r="2939" spans="1:7" x14ac:dyDescent="0.3">
      <c r="A2939" t="s">
        <v>13039</v>
      </c>
      <c r="B2939" t="s">
        <v>5905</v>
      </c>
      <c r="C2939" t="s">
        <v>5906</v>
      </c>
      <c r="D2939" s="1" t="s">
        <v>195</v>
      </c>
      <c r="E2939" s="3">
        <v>1622.21</v>
      </c>
      <c r="F2939" s="3">
        <f t="shared" si="90"/>
        <v>409.93246700000009</v>
      </c>
      <c r="G2939" s="3">
        <f t="shared" si="91"/>
        <v>2032.1424670000001</v>
      </c>
    </row>
    <row r="2940" spans="1:7" x14ac:dyDescent="0.3">
      <c r="A2940" t="s">
        <v>13039</v>
      </c>
      <c r="B2940" t="s">
        <v>5907</v>
      </c>
      <c r="C2940" t="s">
        <v>5908</v>
      </c>
      <c r="D2940" s="1" t="s">
        <v>195</v>
      </c>
      <c r="E2940" s="3">
        <v>2121.02</v>
      </c>
      <c r="F2940" s="3">
        <f t="shared" si="90"/>
        <v>535.98175400000002</v>
      </c>
      <c r="G2940" s="3">
        <f t="shared" si="91"/>
        <v>2657.0017539999999</v>
      </c>
    </row>
    <row r="2941" spans="1:7" x14ac:dyDescent="0.3">
      <c r="A2941" t="s">
        <v>13039</v>
      </c>
      <c r="B2941" t="s">
        <v>5909</v>
      </c>
      <c r="C2941" t="s">
        <v>5910</v>
      </c>
      <c r="D2941" s="1" t="s">
        <v>195</v>
      </c>
      <c r="E2941" s="3">
        <v>1899.97</v>
      </c>
      <c r="F2941" s="3">
        <f t="shared" si="90"/>
        <v>480.12241900000009</v>
      </c>
      <c r="G2941" s="3">
        <f t="shared" si="91"/>
        <v>2380.0924190000001</v>
      </c>
    </row>
    <row r="2942" spans="1:7" x14ac:dyDescent="0.3">
      <c r="A2942" t="s">
        <v>13039</v>
      </c>
      <c r="B2942" t="s">
        <v>5911</v>
      </c>
      <c r="C2942" t="s">
        <v>5912</v>
      </c>
      <c r="D2942" s="1" t="s">
        <v>195</v>
      </c>
      <c r="E2942" s="3">
        <v>2083.5500000000002</v>
      </c>
      <c r="F2942" s="3">
        <f t="shared" si="90"/>
        <v>526.51308500000016</v>
      </c>
      <c r="G2942" s="3">
        <f t="shared" si="91"/>
        <v>2610.0630850000002</v>
      </c>
    </row>
    <row r="2943" spans="1:7" x14ac:dyDescent="0.3">
      <c r="A2943" t="s">
        <v>13039</v>
      </c>
      <c r="B2943" t="s">
        <v>5913</v>
      </c>
      <c r="C2943" t="s">
        <v>5914</v>
      </c>
      <c r="D2943" s="1" t="s">
        <v>195</v>
      </c>
      <c r="E2943" s="3">
        <v>1856.32</v>
      </c>
      <c r="F2943" s="3">
        <f t="shared" si="90"/>
        <v>469.09206400000005</v>
      </c>
      <c r="G2943" s="3">
        <f t="shared" si="91"/>
        <v>2325.4120640000001</v>
      </c>
    </row>
    <row r="2944" spans="1:7" x14ac:dyDescent="0.3">
      <c r="A2944" t="s">
        <v>13039</v>
      </c>
      <c r="B2944" t="s">
        <v>5915</v>
      </c>
      <c r="C2944" t="s">
        <v>5916</v>
      </c>
      <c r="D2944" s="1" t="s">
        <v>195</v>
      </c>
      <c r="E2944" s="3">
        <v>662.77</v>
      </c>
      <c r="F2944" s="3">
        <f t="shared" si="90"/>
        <v>167.48197900000002</v>
      </c>
      <c r="G2944" s="3">
        <f t="shared" si="91"/>
        <v>830.25197900000001</v>
      </c>
    </row>
    <row r="2945" spans="1:7" x14ac:dyDescent="0.3">
      <c r="A2945" t="s">
        <v>13039</v>
      </c>
      <c r="B2945" t="s">
        <v>5917</v>
      </c>
      <c r="C2945" t="s">
        <v>5918</v>
      </c>
      <c r="D2945" s="1" t="s">
        <v>195</v>
      </c>
      <c r="E2945" s="3">
        <v>605.85</v>
      </c>
      <c r="F2945" s="3">
        <f t="shared" si="90"/>
        <v>153.09829500000004</v>
      </c>
      <c r="G2945" s="3">
        <f t="shared" si="91"/>
        <v>758.94829500000003</v>
      </c>
    </row>
    <row r="2946" spans="1:7" x14ac:dyDescent="0.3">
      <c r="A2946" t="s">
        <v>13039</v>
      </c>
      <c r="B2946" t="s">
        <v>5919</v>
      </c>
      <c r="C2946" t="s">
        <v>5920</v>
      </c>
      <c r="D2946" s="1" t="s">
        <v>195</v>
      </c>
      <c r="E2946" s="3">
        <v>2693.85</v>
      </c>
      <c r="F2946" s="3">
        <f t="shared" si="90"/>
        <v>680.73589500000003</v>
      </c>
      <c r="G2946" s="3">
        <f t="shared" si="91"/>
        <v>3374.5858950000002</v>
      </c>
    </row>
    <row r="2947" spans="1:7" x14ac:dyDescent="0.3">
      <c r="A2947" t="s">
        <v>13039</v>
      </c>
      <c r="B2947" t="s">
        <v>5921</v>
      </c>
      <c r="C2947" t="s">
        <v>5922</v>
      </c>
      <c r="D2947" s="1" t="s">
        <v>195</v>
      </c>
      <c r="E2947" s="3">
        <v>2402.85</v>
      </c>
      <c r="F2947" s="3">
        <f t="shared" si="90"/>
        <v>607.20019500000001</v>
      </c>
      <c r="G2947" s="3">
        <f t="shared" si="91"/>
        <v>3010.0501949999998</v>
      </c>
    </row>
    <row r="2948" spans="1:7" x14ac:dyDescent="0.3">
      <c r="A2948" t="s">
        <v>13039</v>
      </c>
      <c r="B2948" t="s">
        <v>5923</v>
      </c>
      <c r="C2948" t="s">
        <v>5924</v>
      </c>
      <c r="D2948" s="1" t="s">
        <v>195</v>
      </c>
      <c r="E2948" s="3">
        <v>229.36</v>
      </c>
      <c r="F2948" s="3">
        <f t="shared" si="90"/>
        <v>57.959272000000013</v>
      </c>
      <c r="G2948" s="3">
        <f t="shared" si="91"/>
        <v>287.31927200000001</v>
      </c>
    </row>
    <row r="2949" spans="1:7" x14ac:dyDescent="0.3">
      <c r="A2949" t="s">
        <v>13039</v>
      </c>
      <c r="B2949" t="s">
        <v>5925</v>
      </c>
      <c r="C2949" t="s">
        <v>5926</v>
      </c>
      <c r="D2949" s="1" t="s">
        <v>195</v>
      </c>
      <c r="E2949" s="3">
        <v>205.04</v>
      </c>
      <c r="F2949" s="3">
        <f t="shared" si="90"/>
        <v>51.813608000000002</v>
      </c>
      <c r="G2949" s="3">
        <f t="shared" si="91"/>
        <v>256.85360800000001</v>
      </c>
    </row>
    <row r="2950" spans="1:7" x14ac:dyDescent="0.3">
      <c r="A2950" t="s">
        <v>13039</v>
      </c>
      <c r="B2950" t="s">
        <v>5927</v>
      </c>
      <c r="C2950" t="s">
        <v>5928</v>
      </c>
      <c r="D2950" s="1" t="s">
        <v>195</v>
      </c>
      <c r="E2950" s="3">
        <v>359.04</v>
      </c>
      <c r="F2950" s="3">
        <f t="shared" si="90"/>
        <v>90.729408000000021</v>
      </c>
      <c r="G2950" s="3">
        <f t="shared" si="91"/>
        <v>449.76940800000006</v>
      </c>
    </row>
    <row r="2951" spans="1:7" x14ac:dyDescent="0.3">
      <c r="A2951" t="s">
        <v>13039</v>
      </c>
      <c r="B2951" t="s">
        <v>5929</v>
      </c>
      <c r="C2951" t="s">
        <v>5930</v>
      </c>
      <c r="D2951" s="1" t="s">
        <v>195</v>
      </c>
      <c r="E2951" s="3">
        <v>325.83</v>
      </c>
      <c r="F2951" s="3">
        <f t="shared" ref="F2951:F3014" si="92">+E2951*$F$4</f>
        <v>82.337241000000006</v>
      </c>
      <c r="G2951" s="3">
        <f t="shared" ref="G2951:G3014" si="93">+E2951+F2951</f>
        <v>408.16724099999999</v>
      </c>
    </row>
    <row r="2952" spans="1:7" x14ac:dyDescent="0.3">
      <c r="A2952" t="s">
        <v>13039</v>
      </c>
      <c r="B2952" t="s">
        <v>5931</v>
      </c>
      <c r="C2952" t="s">
        <v>5932</v>
      </c>
      <c r="D2952" s="1" t="s">
        <v>195</v>
      </c>
      <c r="E2952" s="3">
        <v>862.5</v>
      </c>
      <c r="F2952" s="3">
        <f t="shared" si="92"/>
        <v>217.95375000000004</v>
      </c>
      <c r="G2952" s="3">
        <f t="shared" si="93"/>
        <v>1080.4537500000001</v>
      </c>
    </row>
    <row r="2953" spans="1:7" x14ac:dyDescent="0.3">
      <c r="A2953" t="s">
        <v>13039</v>
      </c>
      <c r="B2953" t="s">
        <v>5933</v>
      </c>
      <c r="C2953" t="s">
        <v>5934</v>
      </c>
      <c r="D2953" s="1" t="s">
        <v>195</v>
      </c>
      <c r="E2953" s="3">
        <v>786.71</v>
      </c>
      <c r="F2953" s="3">
        <f t="shared" si="92"/>
        <v>198.80161700000005</v>
      </c>
      <c r="G2953" s="3">
        <f t="shared" si="93"/>
        <v>985.51161700000011</v>
      </c>
    </row>
    <row r="2954" spans="1:7" x14ac:dyDescent="0.3">
      <c r="A2954" t="s">
        <v>13039</v>
      </c>
      <c r="B2954" t="s">
        <v>5935</v>
      </c>
      <c r="C2954" t="s">
        <v>5936</v>
      </c>
      <c r="D2954" s="1" t="s">
        <v>195</v>
      </c>
      <c r="E2954" s="3">
        <v>596.29</v>
      </c>
      <c r="F2954" s="3">
        <f t="shared" si="92"/>
        <v>150.68248300000002</v>
      </c>
      <c r="G2954" s="3">
        <f t="shared" si="93"/>
        <v>746.97248300000001</v>
      </c>
    </row>
    <row r="2955" spans="1:7" x14ac:dyDescent="0.3">
      <c r="A2955" t="s">
        <v>13039</v>
      </c>
      <c r="B2955" t="s">
        <v>5937</v>
      </c>
      <c r="C2955" t="s">
        <v>5938</v>
      </c>
      <c r="D2955" s="1" t="s">
        <v>195</v>
      </c>
      <c r="E2955" s="3">
        <v>548.84</v>
      </c>
      <c r="F2955" s="3">
        <f t="shared" si="92"/>
        <v>138.69186800000003</v>
      </c>
      <c r="G2955" s="3">
        <f t="shared" si="93"/>
        <v>687.53186800000003</v>
      </c>
    </row>
    <row r="2956" spans="1:7" x14ac:dyDescent="0.3">
      <c r="A2956" t="s">
        <v>13039</v>
      </c>
      <c r="B2956" t="s">
        <v>5939</v>
      </c>
      <c r="C2956" t="s">
        <v>5940</v>
      </c>
      <c r="D2956" s="1" t="s">
        <v>195</v>
      </c>
      <c r="E2956" s="3">
        <v>605.4</v>
      </c>
      <c r="F2956" s="3">
        <f t="shared" si="92"/>
        <v>152.98458000000002</v>
      </c>
      <c r="G2956" s="3">
        <f t="shared" si="93"/>
        <v>758.38458000000003</v>
      </c>
    </row>
    <row r="2957" spans="1:7" x14ac:dyDescent="0.3">
      <c r="A2957" t="s">
        <v>13039</v>
      </c>
      <c r="B2957" t="s">
        <v>5941</v>
      </c>
      <c r="C2957" t="s">
        <v>5942</v>
      </c>
      <c r="D2957" s="1" t="s">
        <v>195</v>
      </c>
      <c r="E2957" s="3">
        <v>553.87</v>
      </c>
      <c r="F2957" s="3">
        <f t="shared" si="92"/>
        <v>139.96294900000001</v>
      </c>
      <c r="G2957" s="3">
        <f t="shared" si="93"/>
        <v>693.83294899999999</v>
      </c>
    </row>
    <row r="2958" spans="1:7" x14ac:dyDescent="0.3">
      <c r="A2958" t="s">
        <v>13039</v>
      </c>
      <c r="B2958" t="s">
        <v>5943</v>
      </c>
      <c r="C2958" t="s">
        <v>5944</v>
      </c>
      <c r="D2958" s="1" t="s">
        <v>195</v>
      </c>
      <c r="E2958" s="3">
        <v>739.03</v>
      </c>
      <c r="F2958" s="3">
        <f t="shared" si="92"/>
        <v>186.75288100000003</v>
      </c>
      <c r="G2958" s="3">
        <f t="shared" si="93"/>
        <v>925.78288099999997</v>
      </c>
    </row>
    <row r="2959" spans="1:7" x14ac:dyDescent="0.3">
      <c r="A2959" t="s">
        <v>13039</v>
      </c>
      <c r="B2959" t="s">
        <v>5945</v>
      </c>
      <c r="C2959" t="s">
        <v>5946</v>
      </c>
      <c r="D2959" s="1" t="s">
        <v>195</v>
      </c>
      <c r="E2959" s="3">
        <v>675.35</v>
      </c>
      <c r="F2959" s="3">
        <f t="shared" si="92"/>
        <v>170.66094500000003</v>
      </c>
      <c r="G2959" s="3">
        <f t="shared" si="93"/>
        <v>846.01094499999999</v>
      </c>
    </row>
    <row r="2960" spans="1:7" x14ac:dyDescent="0.3">
      <c r="A2960" t="s">
        <v>13039</v>
      </c>
      <c r="B2960" t="s">
        <v>5947</v>
      </c>
      <c r="C2960" t="s">
        <v>5948</v>
      </c>
      <c r="D2960" s="1" t="s">
        <v>38</v>
      </c>
      <c r="E2960" s="3">
        <v>741.08</v>
      </c>
      <c r="F2960" s="3">
        <f t="shared" si="92"/>
        <v>187.27091600000003</v>
      </c>
      <c r="G2960" s="3">
        <f t="shared" si="93"/>
        <v>928.3509160000001</v>
      </c>
    </row>
    <row r="2961" spans="1:7" x14ac:dyDescent="0.3">
      <c r="A2961" t="s">
        <v>13039</v>
      </c>
      <c r="B2961" t="s">
        <v>5949</v>
      </c>
      <c r="C2961" t="s">
        <v>5950</v>
      </c>
      <c r="D2961" s="1" t="s">
        <v>38</v>
      </c>
      <c r="E2961" s="3">
        <v>956.59</v>
      </c>
      <c r="F2961" s="3">
        <f t="shared" si="92"/>
        <v>241.73029300000005</v>
      </c>
      <c r="G2961" s="3">
        <f t="shared" si="93"/>
        <v>1198.320293</v>
      </c>
    </row>
    <row r="2962" spans="1:7" x14ac:dyDescent="0.3">
      <c r="A2962" t="s">
        <v>13039</v>
      </c>
      <c r="B2962" t="s">
        <v>5951</v>
      </c>
      <c r="C2962" t="s">
        <v>5952</v>
      </c>
      <c r="D2962" s="1" t="s">
        <v>38</v>
      </c>
      <c r="E2962" s="3">
        <v>1037.1600000000001</v>
      </c>
      <c r="F2962" s="3">
        <f t="shared" si="92"/>
        <v>262.09033200000005</v>
      </c>
      <c r="G2962" s="3">
        <f t="shared" si="93"/>
        <v>1299.2503320000001</v>
      </c>
    </row>
    <row r="2963" spans="1:7" x14ac:dyDescent="0.3">
      <c r="A2963" t="s">
        <v>13039</v>
      </c>
      <c r="B2963" t="s">
        <v>5953</v>
      </c>
      <c r="C2963" t="s">
        <v>5954</v>
      </c>
      <c r="D2963" s="1" t="s">
        <v>38</v>
      </c>
      <c r="E2963" s="3">
        <v>1366.99</v>
      </c>
      <c r="F2963" s="3">
        <f t="shared" si="92"/>
        <v>345.43837300000007</v>
      </c>
      <c r="G2963" s="3">
        <f t="shared" si="93"/>
        <v>1712.4283730000002</v>
      </c>
    </row>
    <row r="2964" spans="1:7" x14ac:dyDescent="0.3">
      <c r="A2964" t="s">
        <v>13039</v>
      </c>
      <c r="B2964" t="s">
        <v>5955</v>
      </c>
      <c r="C2964" t="s">
        <v>5956</v>
      </c>
      <c r="D2964" s="1" t="s">
        <v>38</v>
      </c>
      <c r="E2964" s="3">
        <v>1369.12</v>
      </c>
      <c r="F2964" s="3">
        <f t="shared" si="92"/>
        <v>345.97662400000002</v>
      </c>
      <c r="G2964" s="3">
        <f t="shared" si="93"/>
        <v>1715.0966239999998</v>
      </c>
    </row>
    <row r="2965" spans="1:7" x14ac:dyDescent="0.3">
      <c r="A2965" t="s">
        <v>13039</v>
      </c>
      <c r="B2965" t="s">
        <v>5957</v>
      </c>
      <c r="C2965" t="s">
        <v>5958</v>
      </c>
      <c r="D2965" s="1" t="s">
        <v>38</v>
      </c>
      <c r="E2965" s="3">
        <v>1833.42</v>
      </c>
      <c r="F2965" s="3">
        <f t="shared" si="92"/>
        <v>463.3052340000001</v>
      </c>
      <c r="G2965" s="3">
        <f t="shared" si="93"/>
        <v>2296.725234</v>
      </c>
    </row>
    <row r="2966" spans="1:7" x14ac:dyDescent="0.3">
      <c r="A2966" t="s">
        <v>13039</v>
      </c>
      <c r="B2966" t="s">
        <v>5959</v>
      </c>
      <c r="C2966" t="s">
        <v>5960</v>
      </c>
      <c r="D2966" s="1" t="s">
        <v>38</v>
      </c>
      <c r="E2966" s="3">
        <v>1751.6</v>
      </c>
      <c r="F2966" s="3">
        <f t="shared" si="92"/>
        <v>442.62932000000006</v>
      </c>
      <c r="G2966" s="3">
        <f t="shared" si="93"/>
        <v>2194.2293199999999</v>
      </c>
    </row>
    <row r="2967" spans="1:7" x14ac:dyDescent="0.3">
      <c r="A2967" t="s">
        <v>13039</v>
      </c>
      <c r="B2967" t="s">
        <v>5961</v>
      </c>
      <c r="C2967" t="s">
        <v>5962</v>
      </c>
      <c r="D2967" s="1" t="s">
        <v>38</v>
      </c>
      <c r="E2967" s="3">
        <v>2383.52</v>
      </c>
      <c r="F2967" s="3">
        <f t="shared" si="92"/>
        <v>602.31550400000003</v>
      </c>
      <c r="G2967" s="3">
        <f t="shared" si="93"/>
        <v>2985.8355040000001</v>
      </c>
    </row>
    <row r="2968" spans="1:7" x14ac:dyDescent="0.3">
      <c r="A2968" t="s">
        <v>13039</v>
      </c>
      <c r="B2968" t="s">
        <v>5963</v>
      </c>
      <c r="C2968" t="s">
        <v>5964</v>
      </c>
      <c r="D2968" s="1" t="s">
        <v>38</v>
      </c>
      <c r="E2968" s="3">
        <v>2160.29</v>
      </c>
      <c r="F2968" s="3">
        <f t="shared" si="92"/>
        <v>545.90528300000005</v>
      </c>
      <c r="G2968" s="3">
        <f t="shared" si="93"/>
        <v>2706.195283</v>
      </c>
    </row>
    <row r="2969" spans="1:7" x14ac:dyDescent="0.3">
      <c r="A2969" t="s">
        <v>13039</v>
      </c>
      <c r="B2969" t="s">
        <v>5965</v>
      </c>
      <c r="C2969" t="s">
        <v>5966</v>
      </c>
      <c r="D2969" s="1" t="s">
        <v>38</v>
      </c>
      <c r="E2969" s="3">
        <v>2971.26</v>
      </c>
      <c r="F2969" s="3">
        <f t="shared" si="92"/>
        <v>750.83740200000011</v>
      </c>
      <c r="G2969" s="3">
        <f t="shared" si="93"/>
        <v>3722.0974020000003</v>
      </c>
    </row>
    <row r="2970" spans="1:7" x14ac:dyDescent="0.3">
      <c r="A2970" t="s">
        <v>13039</v>
      </c>
      <c r="B2970" t="s">
        <v>5967</v>
      </c>
      <c r="C2970" t="s">
        <v>5968</v>
      </c>
      <c r="D2970" s="1" t="s">
        <v>38</v>
      </c>
      <c r="E2970" s="3">
        <v>1734.78</v>
      </c>
      <c r="F2970" s="3">
        <f t="shared" si="92"/>
        <v>438.37890600000003</v>
      </c>
      <c r="G2970" s="3">
        <f t="shared" si="93"/>
        <v>2173.1589060000001</v>
      </c>
    </row>
    <row r="2971" spans="1:7" x14ac:dyDescent="0.3">
      <c r="A2971" t="s">
        <v>13039</v>
      </c>
      <c r="B2971" t="s">
        <v>5969</v>
      </c>
      <c r="C2971" t="s">
        <v>5970</v>
      </c>
      <c r="D2971" s="1" t="s">
        <v>38</v>
      </c>
      <c r="E2971" s="3">
        <v>2352.09</v>
      </c>
      <c r="F2971" s="3">
        <f t="shared" si="92"/>
        <v>594.37314300000014</v>
      </c>
      <c r="G2971" s="3">
        <f t="shared" si="93"/>
        <v>2946.4631430000004</v>
      </c>
    </row>
    <row r="2972" spans="1:7" x14ac:dyDescent="0.3">
      <c r="A2972" t="s">
        <v>13039</v>
      </c>
      <c r="B2972" t="s">
        <v>5971</v>
      </c>
      <c r="C2972" t="s">
        <v>5972</v>
      </c>
      <c r="D2972" s="1" t="s">
        <v>38</v>
      </c>
      <c r="E2972" s="3">
        <v>2252.6</v>
      </c>
      <c r="F2972" s="3">
        <f t="shared" si="92"/>
        <v>569.23202000000003</v>
      </c>
      <c r="G2972" s="3">
        <f t="shared" si="93"/>
        <v>2821.8320199999998</v>
      </c>
    </row>
    <row r="2973" spans="1:7" x14ac:dyDescent="0.3">
      <c r="A2973" t="s">
        <v>13039</v>
      </c>
      <c r="B2973" t="s">
        <v>5973</v>
      </c>
      <c r="C2973" t="s">
        <v>5974</v>
      </c>
      <c r="D2973" s="1" t="s">
        <v>38</v>
      </c>
      <c r="E2973" s="3">
        <v>3103.02</v>
      </c>
      <c r="F2973" s="3">
        <f t="shared" si="92"/>
        <v>784.1331540000001</v>
      </c>
      <c r="G2973" s="3">
        <f t="shared" si="93"/>
        <v>3887.1531540000001</v>
      </c>
    </row>
    <row r="2974" spans="1:7" x14ac:dyDescent="0.3">
      <c r="A2974" t="s">
        <v>13039</v>
      </c>
      <c r="B2974" t="s">
        <v>5975</v>
      </c>
      <c r="C2974" t="s">
        <v>5976</v>
      </c>
      <c r="D2974" s="1" t="s">
        <v>38</v>
      </c>
      <c r="E2974" s="3">
        <v>2772.14</v>
      </c>
      <c r="F2974" s="3">
        <f t="shared" si="92"/>
        <v>700.51977800000009</v>
      </c>
      <c r="G2974" s="3">
        <f t="shared" si="93"/>
        <v>3472.6597780000002</v>
      </c>
    </row>
    <row r="2975" spans="1:7" x14ac:dyDescent="0.3">
      <c r="A2975" t="s">
        <v>13039</v>
      </c>
      <c r="B2975" t="s">
        <v>5977</v>
      </c>
      <c r="C2975" t="s">
        <v>5978</v>
      </c>
      <c r="D2975" s="1" t="s">
        <v>38</v>
      </c>
      <c r="E2975" s="3">
        <v>3856.56</v>
      </c>
      <c r="F2975" s="3">
        <f t="shared" si="92"/>
        <v>974.55271200000016</v>
      </c>
      <c r="G2975" s="3">
        <f t="shared" si="93"/>
        <v>4831.1127120000001</v>
      </c>
    </row>
    <row r="2976" spans="1:7" x14ac:dyDescent="0.3">
      <c r="A2976" t="s">
        <v>13039</v>
      </c>
      <c r="B2976" t="s">
        <v>5979</v>
      </c>
      <c r="C2976" t="s">
        <v>5980</v>
      </c>
      <c r="D2976" s="1" t="s">
        <v>38</v>
      </c>
      <c r="E2976" s="3">
        <v>2597.3000000000002</v>
      </c>
      <c r="F2976" s="3">
        <f t="shared" si="92"/>
        <v>656.33771000000013</v>
      </c>
      <c r="G2976" s="3">
        <f t="shared" si="93"/>
        <v>3253.6377100000004</v>
      </c>
    </row>
    <row r="2977" spans="1:7" x14ac:dyDescent="0.3">
      <c r="A2977" t="s">
        <v>13039</v>
      </c>
      <c r="B2977" t="s">
        <v>5981</v>
      </c>
      <c r="C2977" t="s">
        <v>5982</v>
      </c>
      <c r="D2977" s="1" t="s">
        <v>38</v>
      </c>
      <c r="E2977" s="3">
        <v>3594.91</v>
      </c>
      <c r="F2977" s="3">
        <f t="shared" si="92"/>
        <v>908.43375700000013</v>
      </c>
      <c r="G2977" s="3">
        <f t="shared" si="93"/>
        <v>4503.3437569999996</v>
      </c>
    </row>
    <row r="2978" spans="1:7" x14ac:dyDescent="0.3">
      <c r="A2978" t="s">
        <v>13039</v>
      </c>
      <c r="B2978" t="s">
        <v>5983</v>
      </c>
      <c r="C2978" t="s">
        <v>5984</v>
      </c>
      <c r="D2978" s="1" t="s">
        <v>38</v>
      </c>
      <c r="E2978" s="3">
        <v>3313.7</v>
      </c>
      <c r="F2978" s="3">
        <f t="shared" si="92"/>
        <v>837.3719900000001</v>
      </c>
      <c r="G2978" s="3">
        <f t="shared" si="93"/>
        <v>4151.0719900000004</v>
      </c>
    </row>
    <row r="2979" spans="1:7" x14ac:dyDescent="0.3">
      <c r="A2979" t="s">
        <v>13039</v>
      </c>
      <c r="B2979" t="s">
        <v>5985</v>
      </c>
      <c r="C2979" t="s">
        <v>5986</v>
      </c>
      <c r="D2979" s="1" t="s">
        <v>38</v>
      </c>
      <c r="E2979" s="3">
        <v>4642.9399999999996</v>
      </c>
      <c r="F2979" s="3">
        <f t="shared" si="92"/>
        <v>1173.2709380000001</v>
      </c>
      <c r="G2979" s="3">
        <f t="shared" si="93"/>
        <v>5816.2109380000002</v>
      </c>
    </row>
    <row r="2980" spans="1:7" x14ac:dyDescent="0.3">
      <c r="A2980" t="s">
        <v>13039</v>
      </c>
      <c r="B2980" t="s">
        <v>5987</v>
      </c>
      <c r="C2980" t="s">
        <v>5988</v>
      </c>
      <c r="D2980" s="1" t="s">
        <v>38</v>
      </c>
      <c r="E2980" s="3">
        <v>4084.52</v>
      </c>
      <c r="F2980" s="3">
        <f t="shared" si="92"/>
        <v>1032.1582040000001</v>
      </c>
      <c r="G2980" s="3">
        <f t="shared" si="93"/>
        <v>5116.6782039999998</v>
      </c>
    </row>
    <row r="2981" spans="1:7" x14ac:dyDescent="0.3">
      <c r="A2981" t="s">
        <v>13039</v>
      </c>
      <c r="B2981" t="s">
        <v>5989</v>
      </c>
      <c r="C2981" t="s">
        <v>5990</v>
      </c>
      <c r="D2981" s="1" t="s">
        <v>38</v>
      </c>
      <c r="E2981" s="3">
        <v>5771.33</v>
      </c>
      <c r="F2981" s="3">
        <f t="shared" si="92"/>
        <v>1458.4150910000001</v>
      </c>
      <c r="G2981" s="3">
        <f t="shared" si="93"/>
        <v>7229.7450909999998</v>
      </c>
    </row>
    <row r="2982" spans="1:7" x14ac:dyDescent="0.3">
      <c r="A2982" t="s">
        <v>13039</v>
      </c>
      <c r="B2982" t="s">
        <v>5991</v>
      </c>
      <c r="C2982" t="s">
        <v>5992</v>
      </c>
      <c r="D2982" s="1" t="s">
        <v>38</v>
      </c>
      <c r="E2982" s="3">
        <v>545</v>
      </c>
      <c r="F2982" s="3">
        <f t="shared" si="92"/>
        <v>137.72150000000002</v>
      </c>
      <c r="G2982" s="3">
        <f t="shared" si="93"/>
        <v>682.72149999999999</v>
      </c>
    </row>
    <row r="2983" spans="1:7" x14ac:dyDescent="0.3">
      <c r="A2983" t="s">
        <v>13039</v>
      </c>
      <c r="B2983" t="s">
        <v>5993</v>
      </c>
      <c r="C2983" t="s">
        <v>5994</v>
      </c>
      <c r="D2983" s="1" t="s">
        <v>38</v>
      </c>
      <c r="E2983" s="3">
        <v>676.13</v>
      </c>
      <c r="F2983" s="3">
        <f t="shared" si="92"/>
        <v>170.85805100000002</v>
      </c>
      <c r="G2983" s="3">
        <f t="shared" si="93"/>
        <v>846.98805100000004</v>
      </c>
    </row>
    <row r="2984" spans="1:7" x14ac:dyDescent="0.3">
      <c r="A2984" t="s">
        <v>13039</v>
      </c>
      <c r="B2984" t="s">
        <v>5995</v>
      </c>
      <c r="C2984" t="s">
        <v>5996</v>
      </c>
      <c r="D2984" s="1" t="s">
        <v>38</v>
      </c>
      <c r="E2984" s="3">
        <v>647.21</v>
      </c>
      <c r="F2984" s="3">
        <f t="shared" si="92"/>
        <v>163.54996700000004</v>
      </c>
      <c r="G2984" s="3">
        <f t="shared" si="93"/>
        <v>810.75996700000007</v>
      </c>
    </row>
    <row r="2985" spans="1:7" x14ac:dyDescent="0.3">
      <c r="A2985" t="s">
        <v>13039</v>
      </c>
      <c r="B2985" t="s">
        <v>5997</v>
      </c>
      <c r="C2985" t="s">
        <v>5998</v>
      </c>
      <c r="D2985" s="1" t="s">
        <v>38</v>
      </c>
      <c r="E2985" s="3">
        <v>563.76</v>
      </c>
      <c r="F2985" s="3">
        <f t="shared" si="92"/>
        <v>142.46215200000003</v>
      </c>
      <c r="G2985" s="3">
        <f t="shared" si="93"/>
        <v>706.22215200000005</v>
      </c>
    </row>
    <row r="2986" spans="1:7" x14ac:dyDescent="0.3">
      <c r="A2986" t="s">
        <v>13039</v>
      </c>
      <c r="B2986" t="s">
        <v>5999</v>
      </c>
      <c r="C2986" t="s">
        <v>6000</v>
      </c>
      <c r="D2986" s="1" t="s">
        <v>38</v>
      </c>
      <c r="E2986" s="3">
        <v>345.43</v>
      </c>
      <c r="F2986" s="3">
        <f t="shared" si="92"/>
        <v>87.290161000000012</v>
      </c>
      <c r="G2986" s="3">
        <f t="shared" si="93"/>
        <v>432.72016100000002</v>
      </c>
    </row>
    <row r="2987" spans="1:7" x14ac:dyDescent="0.3">
      <c r="A2987" t="s">
        <v>13039</v>
      </c>
      <c r="B2987" t="s">
        <v>6001</v>
      </c>
      <c r="C2987" t="s">
        <v>6002</v>
      </c>
      <c r="D2987" s="1" t="s">
        <v>38</v>
      </c>
      <c r="E2987" s="3">
        <v>415.93</v>
      </c>
      <c r="F2987" s="3">
        <f t="shared" si="92"/>
        <v>105.10551100000002</v>
      </c>
      <c r="G2987" s="3">
        <f t="shared" si="93"/>
        <v>521.03551100000004</v>
      </c>
    </row>
    <row r="2988" spans="1:7" x14ac:dyDescent="0.3">
      <c r="A2988" t="s">
        <v>13039</v>
      </c>
      <c r="B2988" t="s">
        <v>6003</v>
      </c>
      <c r="C2988" t="s">
        <v>6004</v>
      </c>
      <c r="D2988" s="1" t="s">
        <v>38</v>
      </c>
      <c r="E2988" s="3">
        <v>464.36</v>
      </c>
      <c r="F2988" s="3">
        <f t="shared" si="92"/>
        <v>117.34377200000002</v>
      </c>
      <c r="G2988" s="3">
        <f t="shared" si="93"/>
        <v>581.70377200000007</v>
      </c>
    </row>
    <row r="2989" spans="1:7" x14ac:dyDescent="0.3">
      <c r="A2989" t="s">
        <v>13039</v>
      </c>
      <c r="B2989" t="s">
        <v>6005</v>
      </c>
      <c r="C2989" t="s">
        <v>6006</v>
      </c>
      <c r="D2989" s="1" t="s">
        <v>38</v>
      </c>
      <c r="E2989" s="3">
        <v>405.47</v>
      </c>
      <c r="F2989" s="3">
        <f t="shared" si="92"/>
        <v>102.46226900000002</v>
      </c>
      <c r="G2989" s="3">
        <f t="shared" si="93"/>
        <v>507.93226900000002</v>
      </c>
    </row>
    <row r="2990" spans="1:7" x14ac:dyDescent="0.3">
      <c r="A2990" t="s">
        <v>13039</v>
      </c>
      <c r="B2990" t="s">
        <v>6007</v>
      </c>
      <c r="C2990" t="s">
        <v>6008</v>
      </c>
      <c r="D2990" s="1" t="s">
        <v>38</v>
      </c>
      <c r="E2990" s="3">
        <v>543.92999999999995</v>
      </c>
      <c r="F2990" s="3">
        <f t="shared" si="92"/>
        <v>137.451111</v>
      </c>
      <c r="G2990" s="3">
        <f t="shared" si="93"/>
        <v>681.38111099999992</v>
      </c>
    </row>
    <row r="2991" spans="1:7" x14ac:dyDescent="0.3">
      <c r="A2991" t="s">
        <v>13039</v>
      </c>
      <c r="B2991" t="s">
        <v>6009</v>
      </c>
      <c r="C2991" t="s">
        <v>6010</v>
      </c>
      <c r="D2991" s="1" t="s">
        <v>38</v>
      </c>
      <c r="E2991" s="3">
        <v>674.49</v>
      </c>
      <c r="F2991" s="3">
        <f t="shared" si="92"/>
        <v>170.44362300000003</v>
      </c>
      <c r="G2991" s="3">
        <f t="shared" si="93"/>
        <v>844.93362300000001</v>
      </c>
    </row>
    <row r="2992" spans="1:7" x14ac:dyDescent="0.3">
      <c r="A2992" t="s">
        <v>13039</v>
      </c>
      <c r="B2992" t="s">
        <v>6011</v>
      </c>
      <c r="C2992" t="s">
        <v>6012</v>
      </c>
      <c r="D2992" s="1" t="s">
        <v>38</v>
      </c>
      <c r="E2992" s="3">
        <v>1561.34</v>
      </c>
      <c r="F2992" s="3">
        <f t="shared" si="92"/>
        <v>394.55061800000004</v>
      </c>
      <c r="G2992" s="3">
        <f t="shared" si="93"/>
        <v>1955.8906179999999</v>
      </c>
    </row>
    <row r="2993" spans="1:7" x14ac:dyDescent="0.3">
      <c r="A2993" t="s">
        <v>13039</v>
      </c>
      <c r="B2993" t="s">
        <v>6013</v>
      </c>
      <c r="C2993" t="s">
        <v>6014</v>
      </c>
      <c r="D2993" s="1" t="s">
        <v>38</v>
      </c>
      <c r="E2993" s="3">
        <v>1411.93</v>
      </c>
      <c r="F2993" s="3">
        <f t="shared" si="92"/>
        <v>356.79471100000006</v>
      </c>
      <c r="G2993" s="3">
        <f t="shared" si="93"/>
        <v>1768.7247110000001</v>
      </c>
    </row>
    <row r="2994" spans="1:7" x14ac:dyDescent="0.3">
      <c r="A2994" t="s">
        <v>13039</v>
      </c>
      <c r="B2994" t="s">
        <v>6015</v>
      </c>
      <c r="C2994" t="s">
        <v>6016</v>
      </c>
      <c r="D2994" s="1" t="s">
        <v>38</v>
      </c>
      <c r="E2994" s="3">
        <v>672.06</v>
      </c>
      <c r="F2994" s="3">
        <f t="shared" si="92"/>
        <v>169.82956200000001</v>
      </c>
      <c r="G2994" s="3">
        <f t="shared" si="93"/>
        <v>841.88956199999996</v>
      </c>
    </row>
    <row r="2995" spans="1:7" x14ac:dyDescent="0.3">
      <c r="A2995" t="s">
        <v>13039</v>
      </c>
      <c r="B2995" t="s">
        <v>6017</v>
      </c>
      <c r="C2995" t="s">
        <v>6018</v>
      </c>
      <c r="D2995" s="1" t="s">
        <v>38</v>
      </c>
      <c r="E2995" s="3">
        <v>852.49</v>
      </c>
      <c r="F2995" s="3">
        <f t="shared" si="92"/>
        <v>215.42422300000004</v>
      </c>
      <c r="G2995" s="3">
        <f t="shared" si="93"/>
        <v>1067.914223</v>
      </c>
    </row>
    <row r="2996" spans="1:7" x14ac:dyDescent="0.3">
      <c r="A2996" t="s">
        <v>13039</v>
      </c>
      <c r="B2996" t="s">
        <v>6019</v>
      </c>
      <c r="C2996" t="s">
        <v>6020</v>
      </c>
      <c r="D2996" s="1" t="s">
        <v>38</v>
      </c>
      <c r="E2996" s="3">
        <v>1788.43</v>
      </c>
      <c r="F2996" s="3">
        <f t="shared" si="92"/>
        <v>451.93626100000006</v>
      </c>
      <c r="G2996" s="3">
        <f t="shared" si="93"/>
        <v>2240.3662610000001</v>
      </c>
    </row>
    <row r="2997" spans="1:7" x14ac:dyDescent="0.3">
      <c r="A2997" t="s">
        <v>13039</v>
      </c>
      <c r="B2997" t="s">
        <v>6021</v>
      </c>
      <c r="C2997" t="s">
        <v>6022</v>
      </c>
      <c r="D2997" s="1" t="s">
        <v>38</v>
      </c>
      <c r="E2997" s="3">
        <v>1614.66</v>
      </c>
      <c r="F2997" s="3">
        <f t="shared" si="92"/>
        <v>408.02458200000007</v>
      </c>
      <c r="G2997" s="3">
        <f t="shared" si="93"/>
        <v>2022.6845820000001</v>
      </c>
    </row>
    <row r="2998" spans="1:7" x14ac:dyDescent="0.3">
      <c r="A2998" t="s">
        <v>13039</v>
      </c>
      <c r="B2998" t="s">
        <v>6023</v>
      </c>
      <c r="C2998" t="s">
        <v>6024</v>
      </c>
      <c r="D2998" s="1" t="s">
        <v>38</v>
      </c>
      <c r="E2998" s="3">
        <v>872.25</v>
      </c>
      <c r="F2998" s="3">
        <f t="shared" si="92"/>
        <v>220.41757500000003</v>
      </c>
      <c r="G2998" s="3">
        <f t="shared" si="93"/>
        <v>1092.6675749999999</v>
      </c>
    </row>
    <row r="2999" spans="1:7" x14ac:dyDescent="0.3">
      <c r="A2999" t="s">
        <v>13039</v>
      </c>
      <c r="B2999" t="s">
        <v>6025</v>
      </c>
      <c r="C2999" t="s">
        <v>6026</v>
      </c>
      <c r="D2999" s="1" t="s">
        <v>38</v>
      </c>
      <c r="E2999" s="3">
        <v>1122.53</v>
      </c>
      <c r="F2999" s="3">
        <f t="shared" si="92"/>
        <v>283.66333100000003</v>
      </c>
      <c r="G2999" s="3">
        <f t="shared" si="93"/>
        <v>1406.1933309999999</v>
      </c>
    </row>
    <row r="3000" spans="1:7" x14ac:dyDescent="0.3">
      <c r="A3000" t="s">
        <v>13039</v>
      </c>
      <c r="B3000" t="s">
        <v>6027</v>
      </c>
      <c r="C3000" t="s">
        <v>6028</v>
      </c>
      <c r="D3000" s="1" t="s">
        <v>38</v>
      </c>
      <c r="E3000" s="3">
        <v>2764.06</v>
      </c>
      <c r="F3000" s="3">
        <f t="shared" si="92"/>
        <v>698.47796200000005</v>
      </c>
      <c r="G3000" s="3">
        <f t="shared" si="93"/>
        <v>3462.5379619999999</v>
      </c>
    </row>
    <row r="3001" spans="1:7" x14ac:dyDescent="0.3">
      <c r="A3001" t="s">
        <v>13039</v>
      </c>
      <c r="B3001" t="s">
        <v>6029</v>
      </c>
      <c r="C3001" t="s">
        <v>6030</v>
      </c>
      <c r="D3001" s="1" t="s">
        <v>38</v>
      </c>
      <c r="E3001" s="3">
        <v>2485.19</v>
      </c>
      <c r="F3001" s="3">
        <f t="shared" si="92"/>
        <v>628.00751300000013</v>
      </c>
      <c r="G3001" s="3">
        <f t="shared" si="93"/>
        <v>3113.1975130000001</v>
      </c>
    </row>
    <row r="3002" spans="1:7" x14ac:dyDescent="0.3">
      <c r="A3002" t="s">
        <v>13039</v>
      </c>
      <c r="B3002" t="s">
        <v>6031</v>
      </c>
      <c r="C3002" t="s">
        <v>6032</v>
      </c>
      <c r="D3002" s="1" t="s">
        <v>38</v>
      </c>
      <c r="E3002" s="3">
        <v>1119.92</v>
      </c>
      <c r="F3002" s="3">
        <f t="shared" si="92"/>
        <v>283.00378400000005</v>
      </c>
      <c r="G3002" s="3">
        <f t="shared" si="93"/>
        <v>1402.9237840000001</v>
      </c>
    </row>
    <row r="3003" spans="1:7" x14ac:dyDescent="0.3">
      <c r="A3003" t="s">
        <v>13039</v>
      </c>
      <c r="B3003" t="s">
        <v>6033</v>
      </c>
      <c r="C3003" t="s">
        <v>6034</v>
      </c>
      <c r="D3003" s="1" t="s">
        <v>38</v>
      </c>
      <c r="E3003" s="3">
        <v>1467.01</v>
      </c>
      <c r="F3003" s="3">
        <f t="shared" si="92"/>
        <v>370.71342700000002</v>
      </c>
      <c r="G3003" s="3">
        <f t="shared" si="93"/>
        <v>1837.7234269999999</v>
      </c>
    </row>
    <row r="3004" spans="1:7" x14ac:dyDescent="0.3">
      <c r="A3004" t="s">
        <v>13039</v>
      </c>
      <c r="B3004" t="s">
        <v>6035</v>
      </c>
      <c r="C3004" t="s">
        <v>6036</v>
      </c>
      <c r="D3004" s="1" t="s">
        <v>38</v>
      </c>
      <c r="E3004" s="3">
        <v>3497.74</v>
      </c>
      <c r="F3004" s="3">
        <f t="shared" si="92"/>
        <v>883.87889800000005</v>
      </c>
      <c r="G3004" s="3">
        <f t="shared" si="93"/>
        <v>4381.6188979999997</v>
      </c>
    </row>
    <row r="3005" spans="1:7" x14ac:dyDescent="0.3">
      <c r="A3005" t="s">
        <v>13039</v>
      </c>
      <c r="B3005" t="s">
        <v>6037</v>
      </c>
      <c r="C3005" t="s">
        <v>6038</v>
      </c>
      <c r="D3005" s="1" t="s">
        <v>38</v>
      </c>
      <c r="E3005" s="3">
        <v>3131.62</v>
      </c>
      <c r="F3005" s="3">
        <f t="shared" si="92"/>
        <v>791.36037400000009</v>
      </c>
      <c r="G3005" s="3">
        <f t="shared" si="93"/>
        <v>3922.9803739999998</v>
      </c>
    </row>
    <row r="3006" spans="1:7" x14ac:dyDescent="0.3">
      <c r="A3006" t="s">
        <v>13039</v>
      </c>
      <c r="B3006" t="s">
        <v>6039</v>
      </c>
      <c r="C3006" t="s">
        <v>6040</v>
      </c>
      <c r="D3006" s="1" t="s">
        <v>38</v>
      </c>
      <c r="E3006" s="3">
        <v>1381.18</v>
      </c>
      <c r="F3006" s="3">
        <f t="shared" si="92"/>
        <v>349.02418600000004</v>
      </c>
      <c r="G3006" s="3">
        <f t="shared" si="93"/>
        <v>1730.2041860000002</v>
      </c>
    </row>
    <row r="3007" spans="1:7" x14ac:dyDescent="0.3">
      <c r="A3007" t="s">
        <v>13039</v>
      </c>
      <c r="B3007" t="s">
        <v>6041</v>
      </c>
      <c r="C3007" t="s">
        <v>6042</v>
      </c>
      <c r="D3007" s="1" t="s">
        <v>38</v>
      </c>
      <c r="E3007" s="3">
        <v>1830.98</v>
      </c>
      <c r="F3007" s="3">
        <f t="shared" si="92"/>
        <v>462.68864600000006</v>
      </c>
      <c r="G3007" s="3">
        <f t="shared" si="93"/>
        <v>2293.6686460000001</v>
      </c>
    </row>
    <row r="3008" spans="1:7" x14ac:dyDescent="0.3">
      <c r="A3008" t="s">
        <v>13039</v>
      </c>
      <c r="B3008" t="s">
        <v>6043</v>
      </c>
      <c r="C3008" t="s">
        <v>6044</v>
      </c>
      <c r="D3008" s="1" t="s">
        <v>38</v>
      </c>
      <c r="E3008" s="3">
        <v>5049.68</v>
      </c>
      <c r="F3008" s="3">
        <f t="shared" si="92"/>
        <v>1276.0541360000002</v>
      </c>
      <c r="G3008" s="3">
        <f t="shared" si="93"/>
        <v>6325.7341360000009</v>
      </c>
    </row>
    <row r="3009" spans="1:7" x14ac:dyDescent="0.3">
      <c r="A3009" t="s">
        <v>13039</v>
      </c>
      <c r="B3009" t="s">
        <v>6045</v>
      </c>
      <c r="C3009" t="s">
        <v>6046</v>
      </c>
      <c r="D3009" s="1" t="s">
        <v>38</v>
      </c>
      <c r="E3009" s="3">
        <v>4495.8100000000004</v>
      </c>
      <c r="F3009" s="3">
        <f t="shared" si="92"/>
        <v>1136.0911870000002</v>
      </c>
      <c r="G3009" s="3">
        <f t="shared" si="93"/>
        <v>5631.9011870000004</v>
      </c>
    </row>
    <row r="3010" spans="1:7" x14ac:dyDescent="0.3">
      <c r="A3010" t="s">
        <v>13039</v>
      </c>
      <c r="B3010" t="s">
        <v>6047</v>
      </c>
      <c r="C3010" t="s">
        <v>6048</v>
      </c>
      <c r="D3010" s="1" t="s">
        <v>38</v>
      </c>
      <c r="E3010" s="3">
        <v>1719.58</v>
      </c>
      <c r="F3010" s="3">
        <f t="shared" si="92"/>
        <v>434.53786600000007</v>
      </c>
      <c r="G3010" s="3">
        <f t="shared" si="93"/>
        <v>2154.117866</v>
      </c>
    </row>
    <row r="3011" spans="1:7" x14ac:dyDescent="0.3">
      <c r="A3011" t="s">
        <v>13039</v>
      </c>
      <c r="B3011" t="s">
        <v>6049</v>
      </c>
      <c r="C3011" t="s">
        <v>6050</v>
      </c>
      <c r="D3011" s="1" t="s">
        <v>38</v>
      </c>
      <c r="E3011" s="3">
        <v>2307.69</v>
      </c>
      <c r="F3011" s="3">
        <f t="shared" si="92"/>
        <v>583.15326300000015</v>
      </c>
      <c r="G3011" s="3">
        <f t="shared" si="93"/>
        <v>2890.8432630000002</v>
      </c>
    </row>
    <row r="3012" spans="1:7" x14ac:dyDescent="0.3">
      <c r="A3012" t="s">
        <v>13039</v>
      </c>
      <c r="B3012" t="s">
        <v>6051</v>
      </c>
      <c r="C3012" t="s">
        <v>6052</v>
      </c>
      <c r="D3012" s="1" t="s">
        <v>38</v>
      </c>
      <c r="E3012" s="3">
        <v>8335.6</v>
      </c>
      <c r="F3012" s="3">
        <f t="shared" si="92"/>
        <v>2106.4061200000006</v>
      </c>
      <c r="G3012" s="3">
        <f t="shared" si="93"/>
        <v>10442.006120000002</v>
      </c>
    </row>
    <row r="3013" spans="1:7" x14ac:dyDescent="0.3">
      <c r="A3013" t="s">
        <v>13039</v>
      </c>
      <c r="B3013" t="s">
        <v>6053</v>
      </c>
      <c r="C3013" t="s">
        <v>6054</v>
      </c>
      <c r="D3013" s="1" t="s">
        <v>38</v>
      </c>
      <c r="E3013" s="3">
        <v>7382.09</v>
      </c>
      <c r="F3013" s="3">
        <f t="shared" si="92"/>
        <v>1865.4541430000004</v>
      </c>
      <c r="G3013" s="3">
        <f t="shared" si="93"/>
        <v>9247.544143000001</v>
      </c>
    </row>
    <row r="3014" spans="1:7" x14ac:dyDescent="0.3">
      <c r="A3014" t="s">
        <v>13039</v>
      </c>
      <c r="B3014" t="s">
        <v>6055</v>
      </c>
      <c r="C3014" t="s">
        <v>6056</v>
      </c>
      <c r="D3014" s="1" t="s">
        <v>38</v>
      </c>
      <c r="E3014" s="3">
        <v>1860.18</v>
      </c>
      <c r="F3014" s="3">
        <f t="shared" si="92"/>
        <v>470.06748600000009</v>
      </c>
      <c r="G3014" s="3">
        <f t="shared" si="93"/>
        <v>2330.2474860000002</v>
      </c>
    </row>
    <row r="3015" spans="1:7" x14ac:dyDescent="0.3">
      <c r="A3015" t="s">
        <v>13039</v>
      </c>
      <c r="B3015" t="s">
        <v>6057</v>
      </c>
      <c r="C3015" t="s">
        <v>6058</v>
      </c>
      <c r="D3015" s="1" t="s">
        <v>38</v>
      </c>
      <c r="E3015" s="3">
        <v>2504.2399999999998</v>
      </c>
      <c r="F3015" s="3">
        <f t="shared" ref="F3015:F3078" si="94">+E3015*$F$4</f>
        <v>632.82144800000003</v>
      </c>
      <c r="G3015" s="3">
        <f t="shared" ref="G3015:G3078" si="95">+E3015+F3015</f>
        <v>3137.0614479999999</v>
      </c>
    </row>
    <row r="3016" spans="1:7" x14ac:dyDescent="0.3">
      <c r="A3016" t="s">
        <v>13039</v>
      </c>
      <c r="B3016" t="s">
        <v>6059</v>
      </c>
      <c r="C3016" t="s">
        <v>6060</v>
      </c>
      <c r="D3016" s="1" t="s">
        <v>38</v>
      </c>
      <c r="E3016" s="3">
        <v>5791.83</v>
      </c>
      <c r="F3016" s="3">
        <f t="shared" si="94"/>
        <v>1463.5954410000002</v>
      </c>
      <c r="G3016" s="3">
        <f t="shared" si="95"/>
        <v>7255.4254410000003</v>
      </c>
    </row>
    <row r="3017" spans="1:7" x14ac:dyDescent="0.3">
      <c r="A3017" t="s">
        <v>13039</v>
      </c>
      <c r="B3017" t="s">
        <v>6061</v>
      </c>
      <c r="C3017" t="s">
        <v>6062</v>
      </c>
      <c r="D3017" s="1" t="s">
        <v>38</v>
      </c>
      <c r="E3017" s="3">
        <v>5128.6499999999996</v>
      </c>
      <c r="F3017" s="3">
        <f t="shared" si="94"/>
        <v>1296.009855</v>
      </c>
      <c r="G3017" s="3">
        <f t="shared" si="95"/>
        <v>6424.6598549999999</v>
      </c>
    </row>
    <row r="3018" spans="1:7" x14ac:dyDescent="0.3">
      <c r="A3018" t="s">
        <v>13039</v>
      </c>
      <c r="B3018" t="s">
        <v>6063</v>
      </c>
      <c r="C3018" t="s">
        <v>6064</v>
      </c>
      <c r="D3018" s="1" t="s">
        <v>38</v>
      </c>
      <c r="E3018" s="3">
        <v>2265.0700000000002</v>
      </c>
      <c r="F3018" s="3">
        <f t="shared" si="94"/>
        <v>572.38318900000013</v>
      </c>
      <c r="G3018" s="3">
        <f t="shared" si="95"/>
        <v>2837.4531890000003</v>
      </c>
    </row>
    <row r="3019" spans="1:7" x14ac:dyDescent="0.3">
      <c r="A3019" t="s">
        <v>13039</v>
      </c>
      <c r="B3019" t="s">
        <v>6065</v>
      </c>
      <c r="C3019" t="s">
        <v>6066</v>
      </c>
      <c r="D3019" s="1" t="s">
        <v>38</v>
      </c>
      <c r="E3019" s="3">
        <v>3078.63</v>
      </c>
      <c r="F3019" s="3">
        <f t="shared" si="94"/>
        <v>777.96980100000019</v>
      </c>
      <c r="G3019" s="3">
        <f t="shared" si="95"/>
        <v>3856.5998010000003</v>
      </c>
    </row>
    <row r="3020" spans="1:7" x14ac:dyDescent="0.3">
      <c r="A3020" t="s">
        <v>13039</v>
      </c>
      <c r="B3020" t="s">
        <v>6067</v>
      </c>
      <c r="C3020" t="s">
        <v>6068</v>
      </c>
      <c r="D3020" s="1" t="s">
        <v>38</v>
      </c>
      <c r="E3020" s="3">
        <v>7839.47</v>
      </c>
      <c r="F3020" s="3">
        <f t="shared" si="94"/>
        <v>1981.0340690000003</v>
      </c>
      <c r="G3020" s="3">
        <f t="shared" si="95"/>
        <v>9820.5040690000005</v>
      </c>
    </row>
    <row r="3021" spans="1:7" x14ac:dyDescent="0.3">
      <c r="A3021" t="s">
        <v>13039</v>
      </c>
      <c r="B3021" t="s">
        <v>6069</v>
      </c>
      <c r="C3021" t="s">
        <v>6070</v>
      </c>
      <c r="D3021" s="1" t="s">
        <v>38</v>
      </c>
      <c r="E3021" s="3">
        <v>6906.85</v>
      </c>
      <c r="F3021" s="3">
        <f t="shared" si="94"/>
        <v>1745.3609950000002</v>
      </c>
      <c r="G3021" s="3">
        <f t="shared" si="95"/>
        <v>8652.2109950000013</v>
      </c>
    </row>
    <row r="3022" spans="1:7" x14ac:dyDescent="0.3">
      <c r="A3022" t="s">
        <v>13039</v>
      </c>
      <c r="B3022" t="s">
        <v>6071</v>
      </c>
      <c r="C3022" t="s">
        <v>6072</v>
      </c>
      <c r="D3022" s="1" t="s">
        <v>38</v>
      </c>
      <c r="E3022" s="3">
        <v>2787.85</v>
      </c>
      <c r="F3022" s="3">
        <f t="shared" si="94"/>
        <v>704.4896950000001</v>
      </c>
      <c r="G3022" s="3">
        <f t="shared" si="95"/>
        <v>3492.3396950000001</v>
      </c>
    </row>
    <row r="3023" spans="1:7" x14ac:dyDescent="0.3">
      <c r="A3023" t="s">
        <v>13039</v>
      </c>
      <c r="B3023" t="s">
        <v>6073</v>
      </c>
      <c r="C3023" t="s">
        <v>6074</v>
      </c>
      <c r="D3023" s="1" t="s">
        <v>38</v>
      </c>
      <c r="E3023" s="3">
        <v>3823.76</v>
      </c>
      <c r="F3023" s="3">
        <f t="shared" si="94"/>
        <v>966.26415200000019</v>
      </c>
      <c r="G3023" s="3">
        <f t="shared" si="95"/>
        <v>4790.024152</v>
      </c>
    </row>
    <row r="3024" spans="1:7" x14ac:dyDescent="0.3">
      <c r="A3024" t="s">
        <v>13039</v>
      </c>
      <c r="B3024" t="s">
        <v>6075</v>
      </c>
      <c r="C3024" t="s">
        <v>6076</v>
      </c>
      <c r="D3024" s="1" t="s">
        <v>38</v>
      </c>
      <c r="E3024" s="3">
        <v>11821.27</v>
      </c>
      <c r="F3024" s="3">
        <f t="shared" si="94"/>
        <v>2987.2349290000006</v>
      </c>
      <c r="G3024" s="3">
        <f t="shared" si="95"/>
        <v>14808.504929000001</v>
      </c>
    </row>
    <row r="3025" spans="1:7" x14ac:dyDescent="0.3">
      <c r="A3025" t="s">
        <v>13039</v>
      </c>
      <c r="B3025" t="s">
        <v>6077</v>
      </c>
      <c r="C3025" t="s">
        <v>6078</v>
      </c>
      <c r="D3025" s="1" t="s">
        <v>38</v>
      </c>
      <c r="E3025" s="3">
        <v>10355.43</v>
      </c>
      <c r="F3025" s="3">
        <f t="shared" si="94"/>
        <v>2616.8171610000004</v>
      </c>
      <c r="G3025" s="3">
        <f t="shared" si="95"/>
        <v>12972.247161000001</v>
      </c>
    </row>
    <row r="3026" spans="1:7" x14ac:dyDescent="0.3">
      <c r="A3026" t="s">
        <v>13039</v>
      </c>
      <c r="B3026" t="s">
        <v>6079</v>
      </c>
      <c r="C3026" t="s">
        <v>6080</v>
      </c>
      <c r="D3026" s="1" t="s">
        <v>38</v>
      </c>
      <c r="E3026" s="3">
        <v>2601.5</v>
      </c>
      <c r="F3026" s="3">
        <f t="shared" si="94"/>
        <v>657.3990500000001</v>
      </c>
      <c r="G3026" s="3">
        <f t="shared" si="95"/>
        <v>3258.89905</v>
      </c>
    </row>
    <row r="3027" spans="1:7" x14ac:dyDescent="0.3">
      <c r="A3027" t="s">
        <v>13039</v>
      </c>
      <c r="B3027" t="s">
        <v>6081</v>
      </c>
      <c r="C3027" t="s">
        <v>6082</v>
      </c>
      <c r="D3027" s="1" t="s">
        <v>38</v>
      </c>
      <c r="E3027" s="3">
        <v>3541.77</v>
      </c>
      <c r="F3027" s="3">
        <f t="shared" si="94"/>
        <v>895.00527900000009</v>
      </c>
      <c r="G3027" s="3">
        <f t="shared" si="95"/>
        <v>4436.7752790000004</v>
      </c>
    </row>
    <row r="3028" spans="1:7" x14ac:dyDescent="0.3">
      <c r="A3028" t="s">
        <v>13039</v>
      </c>
      <c r="B3028" t="s">
        <v>6083</v>
      </c>
      <c r="C3028" t="s">
        <v>6084</v>
      </c>
      <c r="D3028" s="1" t="s">
        <v>38</v>
      </c>
      <c r="E3028" s="3">
        <v>8054.7</v>
      </c>
      <c r="F3028" s="3">
        <f t="shared" si="94"/>
        <v>2035.4226900000003</v>
      </c>
      <c r="G3028" s="3">
        <f t="shared" si="95"/>
        <v>10090.12269</v>
      </c>
    </row>
    <row r="3029" spans="1:7" x14ac:dyDescent="0.3">
      <c r="A3029" t="s">
        <v>13039</v>
      </c>
      <c r="B3029" t="s">
        <v>6085</v>
      </c>
      <c r="C3029" t="s">
        <v>6086</v>
      </c>
      <c r="D3029" s="1" t="s">
        <v>38</v>
      </c>
      <c r="E3029" s="3">
        <v>7114.08</v>
      </c>
      <c r="F3029" s="3">
        <f t="shared" si="94"/>
        <v>1797.7280160000003</v>
      </c>
      <c r="G3029" s="3">
        <f t="shared" si="95"/>
        <v>8911.8080160000009</v>
      </c>
    </row>
    <row r="3030" spans="1:7" x14ac:dyDescent="0.3">
      <c r="A3030" t="s">
        <v>13039</v>
      </c>
      <c r="B3030" t="s">
        <v>6087</v>
      </c>
      <c r="C3030" t="s">
        <v>6088</v>
      </c>
      <c r="D3030" s="1" t="s">
        <v>38</v>
      </c>
      <c r="E3030" s="3">
        <v>3023.87</v>
      </c>
      <c r="F3030" s="3">
        <f t="shared" si="94"/>
        <v>764.13194900000008</v>
      </c>
      <c r="G3030" s="3">
        <f t="shared" si="95"/>
        <v>3788.001949</v>
      </c>
    </row>
    <row r="3031" spans="1:7" x14ac:dyDescent="0.3">
      <c r="A3031" t="s">
        <v>13039</v>
      </c>
      <c r="B3031" t="s">
        <v>6089</v>
      </c>
      <c r="C3031" t="s">
        <v>6090</v>
      </c>
      <c r="D3031" s="1" t="s">
        <v>38</v>
      </c>
      <c r="E3031" s="3">
        <v>4186.66</v>
      </c>
      <c r="F3031" s="3">
        <f t="shared" si="94"/>
        <v>1057.9689820000001</v>
      </c>
      <c r="G3031" s="3">
        <f t="shared" si="95"/>
        <v>5244.6289820000002</v>
      </c>
    </row>
    <row r="3032" spans="1:7" x14ac:dyDescent="0.3">
      <c r="A3032" t="s">
        <v>13039</v>
      </c>
      <c r="B3032" t="s">
        <v>6091</v>
      </c>
      <c r="C3032" t="s">
        <v>6092</v>
      </c>
      <c r="D3032" s="1" t="s">
        <v>38</v>
      </c>
      <c r="E3032" s="3">
        <v>11520.65</v>
      </c>
      <c r="F3032" s="3">
        <f t="shared" si="94"/>
        <v>2911.2682550000004</v>
      </c>
      <c r="G3032" s="3">
        <f t="shared" si="95"/>
        <v>14431.918255</v>
      </c>
    </row>
    <row r="3033" spans="1:7" x14ac:dyDescent="0.3">
      <c r="A3033" t="s">
        <v>13039</v>
      </c>
      <c r="B3033" t="s">
        <v>6093</v>
      </c>
      <c r="C3033" t="s">
        <v>6094</v>
      </c>
      <c r="D3033" s="1" t="s">
        <v>38</v>
      </c>
      <c r="E3033" s="3">
        <v>10105.43</v>
      </c>
      <c r="F3033" s="3">
        <f t="shared" si="94"/>
        <v>2553.6421610000002</v>
      </c>
      <c r="G3033" s="3">
        <f t="shared" si="95"/>
        <v>12659.072161</v>
      </c>
    </row>
    <row r="3034" spans="1:7" x14ac:dyDescent="0.3">
      <c r="A3034" t="s">
        <v>13039</v>
      </c>
      <c r="B3034" t="s">
        <v>6095</v>
      </c>
      <c r="C3034" t="s">
        <v>6096</v>
      </c>
      <c r="D3034" s="1" t="s">
        <v>38</v>
      </c>
      <c r="E3034" s="3">
        <v>639.20000000000005</v>
      </c>
      <c r="F3034" s="3">
        <f t="shared" si="94"/>
        <v>161.52584000000004</v>
      </c>
      <c r="G3034" s="3">
        <f t="shared" si="95"/>
        <v>800.72584000000006</v>
      </c>
    </row>
    <row r="3035" spans="1:7" x14ac:dyDescent="0.3">
      <c r="A3035" t="s">
        <v>13039</v>
      </c>
      <c r="B3035" t="s">
        <v>6097</v>
      </c>
      <c r="C3035" t="s">
        <v>6098</v>
      </c>
      <c r="D3035" s="1" t="s">
        <v>38</v>
      </c>
      <c r="E3035" s="3">
        <v>797.13</v>
      </c>
      <c r="F3035" s="3">
        <f t="shared" si="94"/>
        <v>201.43475100000003</v>
      </c>
      <c r="G3035" s="3">
        <f t="shared" si="95"/>
        <v>998.564751</v>
      </c>
    </row>
    <row r="3036" spans="1:7" x14ac:dyDescent="0.3">
      <c r="A3036" t="s">
        <v>13039</v>
      </c>
      <c r="B3036" t="s">
        <v>6099</v>
      </c>
      <c r="C3036" t="s">
        <v>6100</v>
      </c>
      <c r="D3036" s="1" t="s">
        <v>38</v>
      </c>
      <c r="E3036" s="3">
        <v>709.94</v>
      </c>
      <c r="F3036" s="3">
        <f t="shared" si="94"/>
        <v>179.40183800000003</v>
      </c>
      <c r="G3036" s="3">
        <f t="shared" si="95"/>
        <v>889.34183800000005</v>
      </c>
    </row>
    <row r="3037" spans="1:7" x14ac:dyDescent="0.3">
      <c r="A3037" t="s">
        <v>13039</v>
      </c>
      <c r="B3037" t="s">
        <v>6101</v>
      </c>
      <c r="C3037" t="s">
        <v>6102</v>
      </c>
      <c r="D3037" s="1" t="s">
        <v>38</v>
      </c>
      <c r="E3037" s="3">
        <v>891.31</v>
      </c>
      <c r="F3037" s="3">
        <f t="shared" si="94"/>
        <v>225.23403700000003</v>
      </c>
      <c r="G3037" s="3">
        <f t="shared" si="95"/>
        <v>1116.5440369999999</v>
      </c>
    </row>
    <row r="3038" spans="1:7" x14ac:dyDescent="0.3">
      <c r="A3038" t="s">
        <v>13039</v>
      </c>
      <c r="B3038" t="s">
        <v>6103</v>
      </c>
      <c r="C3038" t="s">
        <v>6104</v>
      </c>
      <c r="D3038" s="1" t="s">
        <v>38</v>
      </c>
      <c r="E3038" s="3">
        <v>827.92</v>
      </c>
      <c r="F3038" s="3">
        <f t="shared" si="94"/>
        <v>209.21538400000003</v>
      </c>
      <c r="G3038" s="3">
        <f t="shared" si="95"/>
        <v>1037.1353839999999</v>
      </c>
    </row>
    <row r="3039" spans="1:7" x14ac:dyDescent="0.3">
      <c r="A3039" t="s">
        <v>13039</v>
      </c>
      <c r="B3039" t="s">
        <v>6105</v>
      </c>
      <c r="C3039" t="s">
        <v>6106</v>
      </c>
      <c r="D3039" s="1" t="s">
        <v>38</v>
      </c>
      <c r="E3039" s="3">
        <v>1051.7</v>
      </c>
      <c r="F3039" s="3">
        <f t="shared" si="94"/>
        <v>265.76459000000006</v>
      </c>
      <c r="G3039" s="3">
        <f t="shared" si="95"/>
        <v>1317.46459</v>
      </c>
    </row>
    <row r="3040" spans="1:7" x14ac:dyDescent="0.3">
      <c r="A3040" t="s">
        <v>13039</v>
      </c>
      <c r="B3040" t="s">
        <v>6107</v>
      </c>
      <c r="C3040" t="s">
        <v>6108</v>
      </c>
      <c r="D3040" s="1" t="s">
        <v>38</v>
      </c>
      <c r="E3040" s="3">
        <v>870.6</v>
      </c>
      <c r="F3040" s="3">
        <f t="shared" si="94"/>
        <v>220.00062000000003</v>
      </c>
      <c r="G3040" s="3">
        <f t="shared" si="95"/>
        <v>1090.6006200000002</v>
      </c>
    </row>
    <row r="3041" spans="1:7" x14ac:dyDescent="0.3">
      <c r="A3041" t="s">
        <v>13039</v>
      </c>
      <c r="B3041" t="s">
        <v>6109</v>
      </c>
      <c r="C3041" t="s">
        <v>6110</v>
      </c>
      <c r="D3041" s="1" t="s">
        <v>38</v>
      </c>
      <c r="E3041" s="3">
        <v>1107.17</v>
      </c>
      <c r="F3041" s="3">
        <f t="shared" si="94"/>
        <v>279.78185900000005</v>
      </c>
      <c r="G3041" s="3">
        <f t="shared" si="95"/>
        <v>1386.9518590000002</v>
      </c>
    </row>
    <row r="3042" spans="1:7" x14ac:dyDescent="0.3">
      <c r="A3042" t="s">
        <v>13039</v>
      </c>
      <c r="B3042" t="s">
        <v>6111</v>
      </c>
      <c r="C3042" t="s">
        <v>6112</v>
      </c>
      <c r="D3042" s="1" t="s">
        <v>38</v>
      </c>
      <c r="E3042" s="3">
        <v>1132.3800000000001</v>
      </c>
      <c r="F3042" s="3">
        <f t="shared" si="94"/>
        <v>286.15242600000005</v>
      </c>
      <c r="G3042" s="3">
        <f t="shared" si="95"/>
        <v>1418.5324260000002</v>
      </c>
    </row>
    <row r="3043" spans="1:7" x14ac:dyDescent="0.3">
      <c r="A3043" t="s">
        <v>13039</v>
      </c>
      <c r="B3043" t="s">
        <v>6113</v>
      </c>
      <c r="C3043" t="s">
        <v>6114</v>
      </c>
      <c r="D3043" s="1" t="s">
        <v>38</v>
      </c>
      <c r="E3043" s="3">
        <v>1462.94</v>
      </c>
      <c r="F3043" s="3">
        <f t="shared" si="94"/>
        <v>369.68493800000005</v>
      </c>
      <c r="G3043" s="3">
        <f t="shared" si="95"/>
        <v>1832.6249380000002</v>
      </c>
    </row>
    <row r="3044" spans="1:7" x14ac:dyDescent="0.3">
      <c r="A3044" t="s">
        <v>13039</v>
      </c>
      <c r="B3044" t="s">
        <v>6115</v>
      </c>
      <c r="C3044" t="s">
        <v>6116</v>
      </c>
      <c r="D3044" s="1" t="s">
        <v>38</v>
      </c>
      <c r="E3044" s="3">
        <v>1252.9000000000001</v>
      </c>
      <c r="F3044" s="3">
        <f t="shared" si="94"/>
        <v>316.60783000000009</v>
      </c>
      <c r="G3044" s="3">
        <f t="shared" si="95"/>
        <v>1569.5078300000002</v>
      </c>
    </row>
    <row r="3045" spans="1:7" x14ac:dyDescent="0.3">
      <c r="A3045" t="s">
        <v>13039</v>
      </c>
      <c r="B3045" t="s">
        <v>6117</v>
      </c>
      <c r="C3045" t="s">
        <v>6118</v>
      </c>
      <c r="D3045" s="1" t="s">
        <v>38</v>
      </c>
      <c r="E3045" s="3">
        <v>1630.96</v>
      </c>
      <c r="F3045" s="3">
        <f t="shared" si="94"/>
        <v>412.14359200000007</v>
      </c>
      <c r="G3045" s="3">
        <f t="shared" si="95"/>
        <v>2043.1035920000002</v>
      </c>
    </row>
    <row r="3046" spans="1:7" x14ac:dyDescent="0.3">
      <c r="A3046" t="s">
        <v>13039</v>
      </c>
      <c r="B3046" t="s">
        <v>6119</v>
      </c>
      <c r="C3046" t="s">
        <v>6120</v>
      </c>
      <c r="D3046" s="1" t="s">
        <v>38</v>
      </c>
      <c r="E3046" s="3">
        <v>332.39</v>
      </c>
      <c r="F3046" s="3">
        <f t="shared" si="94"/>
        <v>83.99495300000001</v>
      </c>
      <c r="G3046" s="3">
        <f t="shared" si="95"/>
        <v>416.384953</v>
      </c>
    </row>
    <row r="3047" spans="1:7" x14ac:dyDescent="0.3">
      <c r="A3047" t="s">
        <v>13039</v>
      </c>
      <c r="B3047" t="s">
        <v>6121</v>
      </c>
      <c r="C3047" t="s">
        <v>6122</v>
      </c>
      <c r="D3047" s="1" t="s">
        <v>38</v>
      </c>
      <c r="E3047" s="3">
        <v>400.21</v>
      </c>
      <c r="F3047" s="3">
        <f t="shared" si="94"/>
        <v>101.13306700000001</v>
      </c>
      <c r="G3047" s="3">
        <f t="shared" si="95"/>
        <v>501.34306700000002</v>
      </c>
    </row>
    <row r="3048" spans="1:7" x14ac:dyDescent="0.3">
      <c r="A3048" t="s">
        <v>13039</v>
      </c>
      <c r="B3048" t="s">
        <v>6123</v>
      </c>
      <c r="C3048" t="s">
        <v>6124</v>
      </c>
      <c r="D3048" s="1" t="s">
        <v>38</v>
      </c>
      <c r="E3048" s="3">
        <v>422.09</v>
      </c>
      <c r="F3048" s="3">
        <f t="shared" si="94"/>
        <v>106.66214300000001</v>
      </c>
      <c r="G3048" s="3">
        <f t="shared" si="95"/>
        <v>528.75214299999993</v>
      </c>
    </row>
    <row r="3049" spans="1:7" x14ac:dyDescent="0.3">
      <c r="A3049" t="s">
        <v>13039</v>
      </c>
      <c r="B3049" t="s">
        <v>6125</v>
      </c>
      <c r="C3049" t="s">
        <v>6126</v>
      </c>
      <c r="D3049" s="1" t="s">
        <v>38</v>
      </c>
      <c r="E3049" s="3">
        <v>513.1</v>
      </c>
      <c r="F3049" s="3">
        <f t="shared" si="94"/>
        <v>129.66037000000003</v>
      </c>
      <c r="G3049" s="3">
        <f t="shared" si="95"/>
        <v>642.76037000000008</v>
      </c>
    </row>
    <row r="3050" spans="1:7" x14ac:dyDescent="0.3">
      <c r="A3050" t="s">
        <v>13039</v>
      </c>
      <c r="B3050" t="s">
        <v>6127</v>
      </c>
      <c r="C3050" t="s">
        <v>6128</v>
      </c>
      <c r="D3050" s="1" t="s">
        <v>38</v>
      </c>
      <c r="E3050" s="3">
        <v>475.91</v>
      </c>
      <c r="F3050" s="3">
        <f t="shared" si="94"/>
        <v>120.26245700000003</v>
      </c>
      <c r="G3050" s="3">
        <f t="shared" si="95"/>
        <v>596.17245700000001</v>
      </c>
    </row>
    <row r="3051" spans="1:7" x14ac:dyDescent="0.3">
      <c r="A3051" t="s">
        <v>13039</v>
      </c>
      <c r="B3051" t="s">
        <v>6129</v>
      </c>
      <c r="C3051" t="s">
        <v>6130</v>
      </c>
      <c r="D3051" s="1" t="s">
        <v>38</v>
      </c>
      <c r="E3051" s="3">
        <v>582.27</v>
      </c>
      <c r="F3051" s="3">
        <f t="shared" si="94"/>
        <v>147.13962900000001</v>
      </c>
      <c r="G3051" s="3">
        <f t="shared" si="95"/>
        <v>729.409629</v>
      </c>
    </row>
    <row r="3052" spans="1:7" x14ac:dyDescent="0.3">
      <c r="A3052" t="s">
        <v>13039</v>
      </c>
      <c r="B3052" t="s">
        <v>6131</v>
      </c>
      <c r="C3052" t="s">
        <v>6132</v>
      </c>
      <c r="D3052" s="1" t="s">
        <v>38</v>
      </c>
      <c r="E3052" s="3">
        <v>538.24</v>
      </c>
      <c r="F3052" s="3">
        <f t="shared" si="94"/>
        <v>136.01324800000003</v>
      </c>
      <c r="G3052" s="3">
        <f t="shared" si="95"/>
        <v>674.25324799999999</v>
      </c>
    </row>
    <row r="3053" spans="1:7" x14ac:dyDescent="0.3">
      <c r="A3053" t="s">
        <v>13039</v>
      </c>
      <c r="B3053" t="s">
        <v>6133</v>
      </c>
      <c r="C3053" t="s">
        <v>6134</v>
      </c>
      <c r="D3053" s="1" t="s">
        <v>38</v>
      </c>
      <c r="E3053" s="3">
        <v>664.3</v>
      </c>
      <c r="F3053" s="3">
        <f t="shared" si="94"/>
        <v>167.86861000000002</v>
      </c>
      <c r="G3053" s="3">
        <f t="shared" si="95"/>
        <v>832.16860999999994</v>
      </c>
    </row>
    <row r="3054" spans="1:7" x14ac:dyDescent="0.3">
      <c r="A3054" t="s">
        <v>13039</v>
      </c>
      <c r="B3054" t="s">
        <v>6135</v>
      </c>
      <c r="C3054" t="s">
        <v>6136</v>
      </c>
      <c r="D3054" s="1" t="s">
        <v>38</v>
      </c>
      <c r="E3054" s="3">
        <v>559.22</v>
      </c>
      <c r="F3054" s="3">
        <f t="shared" si="94"/>
        <v>141.31489400000004</v>
      </c>
      <c r="G3054" s="3">
        <f t="shared" si="95"/>
        <v>700.53489400000012</v>
      </c>
    </row>
    <row r="3055" spans="1:7" x14ac:dyDescent="0.3">
      <c r="A3055" t="s">
        <v>13039</v>
      </c>
      <c r="B3055" t="s">
        <v>6137</v>
      </c>
      <c r="C3055" t="s">
        <v>6138</v>
      </c>
      <c r="D3055" s="1" t="s">
        <v>38</v>
      </c>
      <c r="E3055" s="3">
        <v>694.79</v>
      </c>
      <c r="F3055" s="3">
        <f t="shared" si="94"/>
        <v>175.57343300000002</v>
      </c>
      <c r="G3055" s="3">
        <f t="shared" si="95"/>
        <v>870.36343299999999</v>
      </c>
    </row>
    <row r="3056" spans="1:7" x14ac:dyDescent="0.3">
      <c r="A3056" t="s">
        <v>13039</v>
      </c>
      <c r="B3056" t="s">
        <v>6139</v>
      </c>
      <c r="C3056" t="s">
        <v>6140</v>
      </c>
      <c r="D3056" s="1" t="s">
        <v>195</v>
      </c>
      <c r="E3056" s="3">
        <v>36.36</v>
      </c>
      <c r="F3056" s="3">
        <f t="shared" si="94"/>
        <v>9.1881720000000016</v>
      </c>
      <c r="G3056" s="3">
        <f t="shared" si="95"/>
        <v>45.548172000000001</v>
      </c>
    </row>
    <row r="3057" spans="1:7" x14ac:dyDescent="0.3">
      <c r="A3057" t="s">
        <v>13039</v>
      </c>
      <c r="B3057" t="s">
        <v>6141</v>
      </c>
      <c r="C3057" t="s">
        <v>6142</v>
      </c>
      <c r="D3057" s="1" t="s">
        <v>195</v>
      </c>
      <c r="E3057" s="3">
        <v>71.709999999999994</v>
      </c>
      <c r="F3057" s="3">
        <f t="shared" si="94"/>
        <v>18.121117000000002</v>
      </c>
      <c r="G3057" s="3">
        <f t="shared" si="95"/>
        <v>89.831116999999992</v>
      </c>
    </row>
    <row r="3058" spans="1:7" x14ac:dyDescent="0.3">
      <c r="A3058" t="s">
        <v>13039</v>
      </c>
      <c r="B3058" t="s">
        <v>6143</v>
      </c>
      <c r="C3058" t="s">
        <v>6144</v>
      </c>
      <c r="D3058" s="1" t="s">
        <v>195</v>
      </c>
      <c r="E3058" s="3">
        <v>89.41</v>
      </c>
      <c r="F3058" s="3">
        <f t="shared" si="94"/>
        <v>22.593907000000002</v>
      </c>
      <c r="G3058" s="3">
        <f t="shared" si="95"/>
        <v>112.003907</v>
      </c>
    </row>
    <row r="3059" spans="1:7" x14ac:dyDescent="0.3">
      <c r="A3059" t="s">
        <v>13039</v>
      </c>
      <c r="B3059" t="s">
        <v>6145</v>
      </c>
      <c r="C3059" t="s">
        <v>6146</v>
      </c>
      <c r="D3059" s="1" t="s">
        <v>195</v>
      </c>
      <c r="E3059" s="3">
        <v>96.01</v>
      </c>
      <c r="F3059" s="3">
        <f t="shared" si="94"/>
        <v>24.261727000000004</v>
      </c>
      <c r="G3059" s="3">
        <f t="shared" si="95"/>
        <v>120.27172700000001</v>
      </c>
    </row>
    <row r="3060" spans="1:7" x14ac:dyDescent="0.3">
      <c r="A3060" t="s">
        <v>13039</v>
      </c>
      <c r="B3060" t="s">
        <v>6147</v>
      </c>
      <c r="C3060" t="s">
        <v>6148</v>
      </c>
      <c r="D3060" s="1" t="s">
        <v>195</v>
      </c>
      <c r="E3060" s="3">
        <v>73.83</v>
      </c>
      <c r="F3060" s="3">
        <f t="shared" si="94"/>
        <v>18.656841000000004</v>
      </c>
      <c r="G3060" s="3">
        <f t="shared" si="95"/>
        <v>92.486840999999998</v>
      </c>
    </row>
    <row r="3061" spans="1:7" x14ac:dyDescent="0.3">
      <c r="A3061" t="s">
        <v>13039</v>
      </c>
      <c r="B3061" t="s">
        <v>6149</v>
      </c>
      <c r="C3061" t="s">
        <v>6150</v>
      </c>
      <c r="D3061" s="1" t="s">
        <v>195</v>
      </c>
      <c r="E3061" s="3">
        <v>155.86000000000001</v>
      </c>
      <c r="F3061" s="3">
        <f t="shared" si="94"/>
        <v>39.385822000000012</v>
      </c>
      <c r="G3061" s="3">
        <f t="shared" si="95"/>
        <v>195.24582200000003</v>
      </c>
    </row>
    <row r="3062" spans="1:7" x14ac:dyDescent="0.3">
      <c r="A3062" t="s">
        <v>13039</v>
      </c>
      <c r="B3062" t="s">
        <v>6151</v>
      </c>
      <c r="C3062" t="s">
        <v>6152</v>
      </c>
      <c r="D3062" s="1" t="s">
        <v>195</v>
      </c>
      <c r="E3062" s="3">
        <v>146.09</v>
      </c>
      <c r="F3062" s="3">
        <f t="shared" si="94"/>
        <v>36.916943000000003</v>
      </c>
      <c r="G3062" s="3">
        <f t="shared" si="95"/>
        <v>183.00694300000001</v>
      </c>
    </row>
    <row r="3063" spans="1:7" x14ac:dyDescent="0.3">
      <c r="A3063" t="s">
        <v>13039</v>
      </c>
      <c r="B3063" t="s">
        <v>6153</v>
      </c>
      <c r="C3063" t="s">
        <v>6154</v>
      </c>
      <c r="D3063" s="1" t="s">
        <v>195</v>
      </c>
      <c r="E3063" s="3">
        <v>37.89</v>
      </c>
      <c r="F3063" s="3">
        <f t="shared" si="94"/>
        <v>9.5748030000000011</v>
      </c>
      <c r="G3063" s="3">
        <f t="shared" si="95"/>
        <v>47.464803000000003</v>
      </c>
    </row>
    <row r="3064" spans="1:7" x14ac:dyDescent="0.3">
      <c r="A3064" t="s">
        <v>13039</v>
      </c>
      <c r="B3064" t="s">
        <v>6155</v>
      </c>
      <c r="C3064" t="s">
        <v>6156</v>
      </c>
      <c r="D3064" s="1" t="s">
        <v>195</v>
      </c>
      <c r="E3064" s="3">
        <v>46.57</v>
      </c>
      <c r="F3064" s="3">
        <f t="shared" si="94"/>
        <v>11.768239000000001</v>
      </c>
      <c r="G3064" s="3">
        <f t="shared" si="95"/>
        <v>58.338239000000002</v>
      </c>
    </row>
    <row r="3065" spans="1:7" x14ac:dyDescent="0.3">
      <c r="A3065" t="s">
        <v>13039</v>
      </c>
      <c r="B3065" t="s">
        <v>6157</v>
      </c>
      <c r="C3065" t="s">
        <v>6158</v>
      </c>
      <c r="D3065" s="1" t="s">
        <v>195</v>
      </c>
      <c r="E3065" s="3">
        <v>63.91</v>
      </c>
      <c r="F3065" s="3">
        <f t="shared" si="94"/>
        <v>16.150057</v>
      </c>
      <c r="G3065" s="3">
        <f t="shared" si="95"/>
        <v>80.060057</v>
      </c>
    </row>
    <row r="3066" spans="1:7" x14ac:dyDescent="0.3">
      <c r="A3066" t="s">
        <v>13039</v>
      </c>
      <c r="B3066" t="s">
        <v>6159</v>
      </c>
      <c r="C3066" t="s">
        <v>6160</v>
      </c>
      <c r="D3066" s="1" t="s">
        <v>195</v>
      </c>
      <c r="E3066" s="3">
        <v>85.58</v>
      </c>
      <c r="F3066" s="3">
        <f t="shared" si="94"/>
        <v>21.626066000000002</v>
      </c>
      <c r="G3066" s="3">
        <f t="shared" si="95"/>
        <v>107.20606599999999</v>
      </c>
    </row>
    <row r="3067" spans="1:7" x14ac:dyDescent="0.3">
      <c r="A3067" t="s">
        <v>13039</v>
      </c>
      <c r="B3067" t="s">
        <v>6161</v>
      </c>
      <c r="C3067" t="s">
        <v>6162</v>
      </c>
      <c r="D3067" s="1" t="s">
        <v>195</v>
      </c>
      <c r="E3067" s="3">
        <v>365.24</v>
      </c>
      <c r="F3067" s="3">
        <f t="shared" si="94"/>
        <v>92.296148000000017</v>
      </c>
      <c r="G3067" s="3">
        <f t="shared" si="95"/>
        <v>457.53614800000003</v>
      </c>
    </row>
    <row r="3068" spans="1:7" x14ac:dyDescent="0.3">
      <c r="A3068" t="s">
        <v>13039</v>
      </c>
      <c r="B3068" t="s">
        <v>6163</v>
      </c>
      <c r="C3068" t="s">
        <v>6164</v>
      </c>
      <c r="D3068" s="1" t="s">
        <v>195</v>
      </c>
      <c r="E3068" s="3">
        <v>117.7</v>
      </c>
      <c r="F3068" s="3">
        <f t="shared" si="94"/>
        <v>29.742790000000007</v>
      </c>
      <c r="G3068" s="3">
        <f t="shared" si="95"/>
        <v>147.44279</v>
      </c>
    </row>
    <row r="3069" spans="1:7" x14ac:dyDescent="0.3">
      <c r="A3069" t="s">
        <v>13039</v>
      </c>
      <c r="B3069" t="s">
        <v>6165</v>
      </c>
      <c r="C3069" t="s">
        <v>6166</v>
      </c>
      <c r="D3069" s="1" t="s">
        <v>195</v>
      </c>
      <c r="E3069" s="3">
        <v>98.19</v>
      </c>
      <c r="F3069" s="3">
        <f t="shared" si="94"/>
        <v>24.812613000000002</v>
      </c>
      <c r="G3069" s="3">
        <f t="shared" si="95"/>
        <v>123.002613</v>
      </c>
    </row>
    <row r="3070" spans="1:7" x14ac:dyDescent="0.3">
      <c r="A3070" t="s">
        <v>13039</v>
      </c>
      <c r="B3070" t="s">
        <v>6167</v>
      </c>
      <c r="C3070" t="s">
        <v>6168</v>
      </c>
      <c r="D3070" s="1" t="s">
        <v>195</v>
      </c>
      <c r="E3070" s="3">
        <v>122.91</v>
      </c>
      <c r="F3070" s="3">
        <f t="shared" si="94"/>
        <v>31.059357000000002</v>
      </c>
      <c r="G3070" s="3">
        <f t="shared" si="95"/>
        <v>153.969357</v>
      </c>
    </row>
    <row r="3071" spans="1:7" x14ac:dyDescent="0.3">
      <c r="A3071" t="s">
        <v>13039</v>
      </c>
      <c r="B3071" t="s">
        <v>6169</v>
      </c>
      <c r="C3071" t="s">
        <v>6170</v>
      </c>
      <c r="D3071" s="1" t="s">
        <v>195</v>
      </c>
      <c r="E3071" s="3">
        <v>107.38</v>
      </c>
      <c r="F3071" s="3">
        <f t="shared" si="94"/>
        <v>27.134926000000004</v>
      </c>
      <c r="G3071" s="3">
        <f t="shared" si="95"/>
        <v>134.514926</v>
      </c>
    </row>
    <row r="3072" spans="1:7" x14ac:dyDescent="0.3">
      <c r="A3072" t="s">
        <v>13039</v>
      </c>
      <c r="B3072" t="s">
        <v>6171</v>
      </c>
      <c r="C3072" t="s">
        <v>6172</v>
      </c>
      <c r="D3072" s="1" t="s">
        <v>195</v>
      </c>
      <c r="E3072" s="3">
        <v>131.32</v>
      </c>
      <c r="F3072" s="3">
        <f t="shared" si="94"/>
        <v>33.184564000000002</v>
      </c>
      <c r="G3072" s="3">
        <f t="shared" si="95"/>
        <v>164.50456399999999</v>
      </c>
    </row>
    <row r="3073" spans="1:7" x14ac:dyDescent="0.3">
      <c r="A3073" t="s">
        <v>13039</v>
      </c>
      <c r="B3073" t="s">
        <v>6173</v>
      </c>
      <c r="C3073" t="s">
        <v>6174</v>
      </c>
      <c r="D3073" s="1" t="s">
        <v>195</v>
      </c>
      <c r="E3073" s="3">
        <v>111.81</v>
      </c>
      <c r="F3073" s="3">
        <f t="shared" si="94"/>
        <v>28.254387000000005</v>
      </c>
      <c r="G3073" s="3">
        <f t="shared" si="95"/>
        <v>140.06438700000001</v>
      </c>
    </row>
    <row r="3074" spans="1:7" x14ac:dyDescent="0.3">
      <c r="A3074" t="s">
        <v>13039</v>
      </c>
      <c r="B3074" t="s">
        <v>6175</v>
      </c>
      <c r="C3074" t="s">
        <v>6176</v>
      </c>
      <c r="D3074" s="1" t="s">
        <v>195</v>
      </c>
      <c r="E3074" s="3">
        <v>136.52000000000001</v>
      </c>
      <c r="F3074" s="3">
        <f t="shared" si="94"/>
        <v>34.498604000000007</v>
      </c>
      <c r="G3074" s="3">
        <f t="shared" si="95"/>
        <v>171.01860400000001</v>
      </c>
    </row>
    <row r="3075" spans="1:7" x14ac:dyDescent="0.3">
      <c r="A3075" t="s">
        <v>13039</v>
      </c>
      <c r="B3075" t="s">
        <v>6177</v>
      </c>
      <c r="C3075" t="s">
        <v>6178</v>
      </c>
      <c r="D3075" s="1" t="s">
        <v>195</v>
      </c>
      <c r="E3075" s="3">
        <v>120.99</v>
      </c>
      <c r="F3075" s="3">
        <f t="shared" si="94"/>
        <v>30.574173000000002</v>
      </c>
      <c r="G3075" s="3">
        <f t="shared" si="95"/>
        <v>151.56417299999998</v>
      </c>
    </row>
    <row r="3076" spans="1:7" x14ac:dyDescent="0.3">
      <c r="A3076" t="s">
        <v>13039</v>
      </c>
      <c r="B3076" t="s">
        <v>6179</v>
      </c>
      <c r="C3076" t="s">
        <v>6180</v>
      </c>
      <c r="D3076" s="1" t="s">
        <v>195</v>
      </c>
      <c r="E3076" s="3">
        <v>91.31</v>
      </c>
      <c r="F3076" s="3">
        <f t="shared" si="94"/>
        <v>23.074037000000004</v>
      </c>
      <c r="G3076" s="3">
        <f t="shared" si="95"/>
        <v>114.38403700000001</v>
      </c>
    </row>
    <row r="3077" spans="1:7" x14ac:dyDescent="0.3">
      <c r="A3077" t="s">
        <v>13039</v>
      </c>
      <c r="B3077" t="s">
        <v>6181</v>
      </c>
      <c r="C3077" t="s">
        <v>6182</v>
      </c>
      <c r="D3077" s="1" t="s">
        <v>195</v>
      </c>
      <c r="E3077" s="3">
        <v>69.12</v>
      </c>
      <c r="F3077" s="3">
        <f t="shared" si="94"/>
        <v>17.466624000000003</v>
      </c>
      <c r="G3077" s="3">
        <f t="shared" si="95"/>
        <v>86.586624</v>
      </c>
    </row>
    <row r="3078" spans="1:7" x14ac:dyDescent="0.3">
      <c r="A3078" t="s">
        <v>13039</v>
      </c>
      <c r="B3078" t="s">
        <v>6183</v>
      </c>
      <c r="C3078" t="s">
        <v>6184</v>
      </c>
      <c r="D3078" s="1" t="s">
        <v>195</v>
      </c>
      <c r="E3078" s="3">
        <v>77.7</v>
      </c>
      <c r="F3078" s="3">
        <f t="shared" si="94"/>
        <v>19.634790000000002</v>
      </c>
      <c r="G3078" s="3">
        <f t="shared" si="95"/>
        <v>97.334789999999998</v>
      </c>
    </row>
    <row r="3079" spans="1:7" x14ac:dyDescent="0.3">
      <c r="A3079" t="s">
        <v>13039</v>
      </c>
      <c r="B3079" t="s">
        <v>6185</v>
      </c>
      <c r="C3079" t="s">
        <v>6186</v>
      </c>
      <c r="D3079" s="1" t="s">
        <v>195</v>
      </c>
      <c r="E3079" s="3">
        <v>55.51</v>
      </c>
      <c r="F3079" s="3">
        <f t="shared" ref="F3079:F3142" si="96">+E3079*$F$4</f>
        <v>14.027377000000001</v>
      </c>
      <c r="G3079" s="3">
        <f t="shared" ref="G3079:G3142" si="97">+E3079+F3079</f>
        <v>69.537376999999992</v>
      </c>
    </row>
    <row r="3080" spans="1:7" x14ac:dyDescent="0.3">
      <c r="A3080" t="s">
        <v>13039</v>
      </c>
      <c r="B3080" t="s">
        <v>6187</v>
      </c>
      <c r="C3080" t="s">
        <v>6188</v>
      </c>
      <c r="D3080" s="1" t="s">
        <v>195</v>
      </c>
      <c r="E3080" s="3">
        <v>115.12</v>
      </c>
      <c r="F3080" s="3">
        <f t="shared" si="96"/>
        <v>29.090824000000005</v>
      </c>
      <c r="G3080" s="3">
        <f t="shared" si="97"/>
        <v>144.210824</v>
      </c>
    </row>
    <row r="3081" spans="1:7" x14ac:dyDescent="0.3">
      <c r="A3081" t="s">
        <v>13039</v>
      </c>
      <c r="B3081" t="s">
        <v>6189</v>
      </c>
      <c r="C3081" t="s">
        <v>6190</v>
      </c>
      <c r="D3081" s="1" t="s">
        <v>195</v>
      </c>
      <c r="E3081" s="3">
        <v>91.7</v>
      </c>
      <c r="F3081" s="3">
        <f t="shared" si="96"/>
        <v>23.172590000000003</v>
      </c>
      <c r="G3081" s="3">
        <f t="shared" si="97"/>
        <v>114.87259</v>
      </c>
    </row>
    <row r="3082" spans="1:7" x14ac:dyDescent="0.3">
      <c r="A3082" t="s">
        <v>13039</v>
      </c>
      <c r="B3082" t="s">
        <v>6191</v>
      </c>
      <c r="C3082" t="s">
        <v>6192</v>
      </c>
      <c r="D3082" s="1" t="s">
        <v>195</v>
      </c>
      <c r="E3082" s="3">
        <v>141.78</v>
      </c>
      <c r="F3082" s="3">
        <f t="shared" si="96"/>
        <v>35.827806000000002</v>
      </c>
      <c r="G3082" s="3">
        <f t="shared" si="97"/>
        <v>177.60780600000001</v>
      </c>
    </row>
    <row r="3083" spans="1:7" x14ac:dyDescent="0.3">
      <c r="A3083" t="s">
        <v>13039</v>
      </c>
      <c r="B3083" t="s">
        <v>6193</v>
      </c>
      <c r="C3083" t="s">
        <v>6194</v>
      </c>
      <c r="D3083" s="1" t="s">
        <v>195</v>
      </c>
      <c r="E3083" s="3">
        <v>65.41</v>
      </c>
      <c r="F3083" s="3">
        <f t="shared" si="96"/>
        <v>16.529107</v>
      </c>
      <c r="G3083" s="3">
        <f t="shared" si="97"/>
        <v>81.939106999999993</v>
      </c>
    </row>
    <row r="3084" spans="1:7" x14ac:dyDescent="0.3">
      <c r="A3084" t="s">
        <v>13039</v>
      </c>
      <c r="B3084" t="s">
        <v>6195</v>
      </c>
      <c r="C3084" t="s">
        <v>6196</v>
      </c>
      <c r="D3084" s="1" t="s">
        <v>195</v>
      </c>
      <c r="E3084" s="3">
        <v>151.91999999999999</v>
      </c>
      <c r="F3084" s="3">
        <f t="shared" si="96"/>
        <v>38.390184000000005</v>
      </c>
      <c r="G3084" s="3">
        <f t="shared" si="97"/>
        <v>190.31018399999999</v>
      </c>
    </row>
    <row r="3085" spans="1:7" x14ac:dyDescent="0.3">
      <c r="A3085" t="s">
        <v>13039</v>
      </c>
      <c r="B3085" t="s">
        <v>6197</v>
      </c>
      <c r="C3085" t="s">
        <v>6198</v>
      </c>
      <c r="D3085" s="1" t="s">
        <v>195</v>
      </c>
      <c r="E3085" s="3">
        <v>63.62</v>
      </c>
      <c r="F3085" s="3">
        <f t="shared" si="96"/>
        <v>16.076774</v>
      </c>
      <c r="G3085" s="3">
        <f t="shared" si="97"/>
        <v>79.696774000000005</v>
      </c>
    </row>
    <row r="3086" spans="1:7" x14ac:dyDescent="0.3">
      <c r="A3086" t="s">
        <v>13039</v>
      </c>
      <c r="B3086" t="s">
        <v>6199</v>
      </c>
      <c r="C3086" t="s">
        <v>6200</v>
      </c>
      <c r="D3086" s="1" t="s">
        <v>195</v>
      </c>
      <c r="E3086" s="3">
        <v>223.94</v>
      </c>
      <c r="F3086" s="3">
        <f t="shared" si="96"/>
        <v>56.589638000000008</v>
      </c>
      <c r="G3086" s="3">
        <f t="shared" si="97"/>
        <v>280.52963799999998</v>
      </c>
    </row>
    <row r="3087" spans="1:7" x14ac:dyDescent="0.3">
      <c r="A3087" t="s">
        <v>13039</v>
      </c>
      <c r="B3087" t="s">
        <v>6201</v>
      </c>
      <c r="C3087" t="s">
        <v>6202</v>
      </c>
      <c r="D3087" s="1" t="s">
        <v>195</v>
      </c>
      <c r="E3087" s="3">
        <v>117.37</v>
      </c>
      <c r="F3087" s="3">
        <f t="shared" si="96"/>
        <v>29.659399000000004</v>
      </c>
      <c r="G3087" s="3">
        <f t="shared" si="97"/>
        <v>147.02939900000001</v>
      </c>
    </row>
    <row r="3088" spans="1:7" x14ac:dyDescent="0.3">
      <c r="A3088" t="s">
        <v>13039</v>
      </c>
      <c r="B3088" t="s">
        <v>6203</v>
      </c>
      <c r="C3088" t="s">
        <v>6204</v>
      </c>
      <c r="D3088" s="1" t="s">
        <v>195</v>
      </c>
      <c r="E3088" s="3">
        <v>195.73</v>
      </c>
      <c r="F3088" s="3">
        <f t="shared" si="96"/>
        <v>49.460971000000008</v>
      </c>
      <c r="G3088" s="3">
        <f t="shared" si="97"/>
        <v>245.19097099999999</v>
      </c>
    </row>
    <row r="3089" spans="1:7" x14ac:dyDescent="0.3">
      <c r="A3089" t="s">
        <v>13039</v>
      </c>
      <c r="B3089" t="s">
        <v>6205</v>
      </c>
      <c r="C3089" t="s">
        <v>6206</v>
      </c>
      <c r="D3089" s="1" t="s">
        <v>195</v>
      </c>
      <c r="E3089" s="3">
        <v>117.68</v>
      </c>
      <c r="F3089" s="3">
        <f t="shared" si="96"/>
        <v>29.737736000000005</v>
      </c>
      <c r="G3089" s="3">
        <f t="shared" si="97"/>
        <v>147.41773600000002</v>
      </c>
    </row>
    <row r="3090" spans="1:7" x14ac:dyDescent="0.3">
      <c r="A3090" t="s">
        <v>13039</v>
      </c>
      <c r="B3090" t="s">
        <v>6207</v>
      </c>
      <c r="C3090" t="s">
        <v>6208</v>
      </c>
      <c r="D3090" s="1" t="s">
        <v>195</v>
      </c>
      <c r="E3090" s="3">
        <v>238.95</v>
      </c>
      <c r="F3090" s="3">
        <f t="shared" si="96"/>
        <v>60.382665000000003</v>
      </c>
      <c r="G3090" s="3">
        <f t="shared" si="97"/>
        <v>299.33266500000002</v>
      </c>
    </row>
    <row r="3091" spans="1:7" x14ac:dyDescent="0.3">
      <c r="A3091" t="s">
        <v>13039</v>
      </c>
      <c r="B3091" t="s">
        <v>6209</v>
      </c>
      <c r="C3091" t="s">
        <v>6210</v>
      </c>
      <c r="D3091" s="1" t="s">
        <v>195</v>
      </c>
      <c r="E3091" s="3">
        <v>114.5</v>
      </c>
      <c r="F3091" s="3">
        <f t="shared" si="96"/>
        <v>28.934150000000002</v>
      </c>
      <c r="G3091" s="3">
        <f t="shared" si="97"/>
        <v>143.43414999999999</v>
      </c>
    </row>
    <row r="3092" spans="1:7" x14ac:dyDescent="0.3">
      <c r="A3092" t="s">
        <v>13039</v>
      </c>
      <c r="B3092" t="s">
        <v>6211</v>
      </c>
      <c r="C3092" t="s">
        <v>6212</v>
      </c>
      <c r="D3092" s="1" t="s">
        <v>195</v>
      </c>
      <c r="E3092" s="3">
        <v>206.24</v>
      </c>
      <c r="F3092" s="3">
        <f t="shared" si="96"/>
        <v>52.116848000000012</v>
      </c>
      <c r="G3092" s="3">
        <f t="shared" si="97"/>
        <v>258.35684800000001</v>
      </c>
    </row>
    <row r="3093" spans="1:7" x14ac:dyDescent="0.3">
      <c r="A3093" t="s">
        <v>13039</v>
      </c>
      <c r="B3093" t="s">
        <v>6213</v>
      </c>
      <c r="C3093" t="s">
        <v>6214</v>
      </c>
      <c r="D3093" s="1" t="s">
        <v>195</v>
      </c>
      <c r="E3093" s="3">
        <v>115.67</v>
      </c>
      <c r="F3093" s="3">
        <f t="shared" si="96"/>
        <v>29.229809000000003</v>
      </c>
      <c r="G3093" s="3">
        <f t="shared" si="97"/>
        <v>144.899809</v>
      </c>
    </row>
    <row r="3094" spans="1:7" x14ac:dyDescent="0.3">
      <c r="A3094" t="s">
        <v>13039</v>
      </c>
      <c r="B3094" t="s">
        <v>6215</v>
      </c>
      <c r="C3094" t="s">
        <v>6216</v>
      </c>
      <c r="D3094" s="1" t="s">
        <v>195</v>
      </c>
      <c r="E3094" s="3">
        <v>152.69999999999999</v>
      </c>
      <c r="F3094" s="3">
        <f t="shared" si="96"/>
        <v>38.587290000000003</v>
      </c>
      <c r="G3094" s="3">
        <f t="shared" si="97"/>
        <v>191.28728999999998</v>
      </c>
    </row>
    <row r="3095" spans="1:7" x14ac:dyDescent="0.3">
      <c r="A3095" t="s">
        <v>13039</v>
      </c>
      <c r="B3095" t="s">
        <v>6217</v>
      </c>
      <c r="C3095" t="s">
        <v>6218</v>
      </c>
      <c r="D3095" s="1" t="s">
        <v>195</v>
      </c>
      <c r="E3095" s="3">
        <v>83.93</v>
      </c>
      <c r="F3095" s="3">
        <f t="shared" si="96"/>
        <v>21.209111000000004</v>
      </c>
      <c r="G3095" s="3">
        <f t="shared" si="97"/>
        <v>105.13911100000001</v>
      </c>
    </row>
    <row r="3096" spans="1:7" x14ac:dyDescent="0.3">
      <c r="A3096" t="s">
        <v>13039</v>
      </c>
      <c r="B3096" t="s">
        <v>6219</v>
      </c>
      <c r="C3096" t="s">
        <v>6220</v>
      </c>
      <c r="D3096" s="1" t="s">
        <v>195</v>
      </c>
      <c r="E3096" s="3">
        <v>174.4</v>
      </c>
      <c r="F3096" s="3">
        <f t="shared" si="96"/>
        <v>44.07088000000001</v>
      </c>
      <c r="G3096" s="3">
        <f t="shared" si="97"/>
        <v>218.47088000000002</v>
      </c>
    </row>
    <row r="3097" spans="1:7" x14ac:dyDescent="0.3">
      <c r="A3097" t="s">
        <v>13039</v>
      </c>
      <c r="B3097" t="s">
        <v>6221</v>
      </c>
      <c r="C3097" t="s">
        <v>6222</v>
      </c>
      <c r="D3097" s="1" t="s">
        <v>195</v>
      </c>
      <c r="E3097" s="3">
        <v>91.2</v>
      </c>
      <c r="F3097" s="3">
        <f t="shared" si="96"/>
        <v>23.046240000000004</v>
      </c>
      <c r="G3097" s="3">
        <f t="shared" si="97"/>
        <v>114.24624</v>
      </c>
    </row>
    <row r="3098" spans="1:7" x14ac:dyDescent="0.3">
      <c r="A3098" t="s">
        <v>13039</v>
      </c>
      <c r="B3098" t="s">
        <v>6223</v>
      </c>
      <c r="C3098" t="s">
        <v>6224</v>
      </c>
      <c r="D3098" s="1" t="s">
        <v>195</v>
      </c>
      <c r="E3098" s="3">
        <v>192.5</v>
      </c>
      <c r="F3098" s="3">
        <f t="shared" si="96"/>
        <v>48.644750000000009</v>
      </c>
      <c r="G3098" s="3">
        <f t="shared" si="97"/>
        <v>241.14475000000002</v>
      </c>
    </row>
    <row r="3099" spans="1:7" x14ac:dyDescent="0.3">
      <c r="A3099" t="s">
        <v>13039</v>
      </c>
      <c r="B3099" t="s">
        <v>6225</v>
      </c>
      <c r="C3099" t="s">
        <v>6226</v>
      </c>
      <c r="D3099" s="1" t="s">
        <v>195</v>
      </c>
      <c r="E3099" s="3">
        <v>126.4</v>
      </c>
      <c r="F3099" s="3">
        <f t="shared" si="96"/>
        <v>31.941280000000006</v>
      </c>
      <c r="G3099" s="3">
        <f t="shared" si="97"/>
        <v>158.34128000000001</v>
      </c>
    </row>
    <row r="3100" spans="1:7" x14ac:dyDescent="0.3">
      <c r="A3100" t="s">
        <v>13039</v>
      </c>
      <c r="B3100" t="s">
        <v>6227</v>
      </c>
      <c r="C3100" t="s">
        <v>6228</v>
      </c>
      <c r="D3100" s="1" t="s">
        <v>195</v>
      </c>
      <c r="E3100" s="3">
        <v>182.57</v>
      </c>
      <c r="F3100" s="3">
        <f t="shared" si="96"/>
        <v>46.135439000000005</v>
      </c>
      <c r="G3100" s="3">
        <f t="shared" si="97"/>
        <v>228.70543900000001</v>
      </c>
    </row>
    <row r="3101" spans="1:7" x14ac:dyDescent="0.3">
      <c r="A3101" t="s">
        <v>13039</v>
      </c>
      <c r="B3101" t="s">
        <v>6229</v>
      </c>
      <c r="C3101" t="s">
        <v>6230</v>
      </c>
      <c r="D3101" s="1" t="s">
        <v>195</v>
      </c>
      <c r="E3101" s="3">
        <v>127.97</v>
      </c>
      <c r="F3101" s="3">
        <f t="shared" si="96"/>
        <v>32.338019000000003</v>
      </c>
      <c r="G3101" s="3">
        <f t="shared" si="97"/>
        <v>160.308019</v>
      </c>
    </row>
    <row r="3102" spans="1:7" x14ac:dyDescent="0.3">
      <c r="A3102" t="s">
        <v>13039</v>
      </c>
      <c r="B3102" t="s">
        <v>6231</v>
      </c>
      <c r="C3102" t="s">
        <v>6232</v>
      </c>
      <c r="D3102" s="1" t="s">
        <v>195</v>
      </c>
      <c r="E3102" s="3">
        <v>214.19</v>
      </c>
      <c r="F3102" s="3">
        <f t="shared" si="96"/>
        <v>54.125813000000008</v>
      </c>
      <c r="G3102" s="3">
        <f t="shared" si="97"/>
        <v>268.31581299999999</v>
      </c>
    </row>
    <row r="3103" spans="1:7" x14ac:dyDescent="0.3">
      <c r="A3103" t="s">
        <v>13039</v>
      </c>
      <c r="B3103" t="s">
        <v>6233</v>
      </c>
      <c r="C3103" t="s">
        <v>6234</v>
      </c>
      <c r="D3103" s="1" t="s">
        <v>195</v>
      </c>
      <c r="E3103" s="3">
        <v>133.66999999999999</v>
      </c>
      <c r="F3103" s="3">
        <f t="shared" si="96"/>
        <v>33.778409000000003</v>
      </c>
      <c r="G3103" s="3">
        <f t="shared" si="97"/>
        <v>167.448409</v>
      </c>
    </row>
    <row r="3104" spans="1:7" x14ac:dyDescent="0.3">
      <c r="A3104" t="s">
        <v>13039</v>
      </c>
      <c r="B3104" t="s">
        <v>6235</v>
      </c>
      <c r="C3104" t="s">
        <v>6236</v>
      </c>
      <c r="D3104" s="1" t="s">
        <v>195</v>
      </c>
      <c r="E3104" s="3">
        <v>200.23</v>
      </c>
      <c r="F3104" s="3">
        <f t="shared" si="96"/>
        <v>50.598121000000006</v>
      </c>
      <c r="G3104" s="3">
        <f t="shared" si="97"/>
        <v>250.82812100000001</v>
      </c>
    </row>
    <row r="3105" spans="1:7" x14ac:dyDescent="0.3">
      <c r="A3105" t="s">
        <v>13039</v>
      </c>
      <c r="B3105" t="s">
        <v>6237</v>
      </c>
      <c r="C3105" t="s">
        <v>6238</v>
      </c>
      <c r="D3105" s="1" t="s">
        <v>195</v>
      </c>
      <c r="E3105" s="3">
        <v>134.54</v>
      </c>
      <c r="F3105" s="3">
        <f t="shared" si="96"/>
        <v>33.998258</v>
      </c>
      <c r="G3105" s="3">
        <f t="shared" si="97"/>
        <v>168.53825799999998</v>
      </c>
    </row>
    <row r="3106" spans="1:7" x14ac:dyDescent="0.3">
      <c r="A3106" t="s">
        <v>13039</v>
      </c>
      <c r="B3106" t="s">
        <v>6239</v>
      </c>
      <c r="C3106" t="s">
        <v>6240</v>
      </c>
      <c r="D3106" s="1" t="s">
        <v>195</v>
      </c>
      <c r="E3106" s="3">
        <v>71.67</v>
      </c>
      <c r="F3106" s="3">
        <f t="shared" si="96"/>
        <v>18.111009000000003</v>
      </c>
      <c r="G3106" s="3">
        <f t="shared" si="97"/>
        <v>89.781009000000012</v>
      </c>
    </row>
    <row r="3107" spans="1:7" x14ac:dyDescent="0.3">
      <c r="A3107" t="s">
        <v>13039</v>
      </c>
      <c r="B3107" t="s">
        <v>6241</v>
      </c>
      <c r="C3107" t="s">
        <v>6242</v>
      </c>
      <c r="D3107" s="1" t="s">
        <v>195</v>
      </c>
      <c r="E3107" s="3">
        <v>97.29</v>
      </c>
      <c r="F3107" s="3">
        <f t="shared" si="96"/>
        <v>24.585183000000004</v>
      </c>
      <c r="G3107" s="3">
        <f t="shared" si="97"/>
        <v>121.87518300000001</v>
      </c>
    </row>
    <row r="3108" spans="1:7" x14ac:dyDescent="0.3">
      <c r="A3108" t="s">
        <v>13039</v>
      </c>
      <c r="B3108" t="s">
        <v>6243</v>
      </c>
      <c r="C3108" t="s">
        <v>6244</v>
      </c>
      <c r="D3108" s="1" t="s">
        <v>195</v>
      </c>
      <c r="E3108" s="3">
        <v>145.34</v>
      </c>
      <c r="F3108" s="3">
        <f t="shared" si="96"/>
        <v>36.727418000000007</v>
      </c>
      <c r="G3108" s="3">
        <f t="shared" si="97"/>
        <v>182.067418</v>
      </c>
    </row>
    <row r="3109" spans="1:7" x14ac:dyDescent="0.3">
      <c r="A3109" t="s">
        <v>13039</v>
      </c>
      <c r="B3109" t="s">
        <v>6245</v>
      </c>
      <c r="C3109" t="s">
        <v>6246</v>
      </c>
      <c r="D3109" s="1" t="s">
        <v>195</v>
      </c>
      <c r="E3109" s="3">
        <v>164.81</v>
      </c>
      <c r="F3109" s="3">
        <f t="shared" si="96"/>
        <v>41.647487000000005</v>
      </c>
      <c r="G3109" s="3">
        <f t="shared" si="97"/>
        <v>206.45748700000001</v>
      </c>
    </row>
    <row r="3110" spans="1:7" x14ac:dyDescent="0.3">
      <c r="A3110" t="s">
        <v>13039</v>
      </c>
      <c r="B3110" t="s">
        <v>6247</v>
      </c>
      <c r="C3110" t="s">
        <v>6248</v>
      </c>
      <c r="D3110" s="1" t="s">
        <v>195</v>
      </c>
      <c r="E3110" s="3">
        <v>63.15</v>
      </c>
      <c r="F3110" s="3">
        <f t="shared" si="96"/>
        <v>15.958005000000002</v>
      </c>
      <c r="G3110" s="3">
        <f t="shared" si="97"/>
        <v>79.108005000000006</v>
      </c>
    </row>
    <row r="3111" spans="1:7" x14ac:dyDescent="0.3">
      <c r="A3111" t="s">
        <v>13039</v>
      </c>
      <c r="B3111" t="s">
        <v>6249</v>
      </c>
      <c r="C3111" t="s">
        <v>6250</v>
      </c>
      <c r="D3111" s="1" t="s">
        <v>195</v>
      </c>
      <c r="E3111" s="3">
        <v>35.32</v>
      </c>
      <c r="F3111" s="3">
        <f t="shared" si="96"/>
        <v>8.9253640000000019</v>
      </c>
      <c r="G3111" s="3">
        <f t="shared" si="97"/>
        <v>44.245364000000002</v>
      </c>
    </row>
    <row r="3112" spans="1:7" x14ac:dyDescent="0.3">
      <c r="A3112" t="s">
        <v>13039</v>
      </c>
      <c r="B3112" t="s">
        <v>6251</v>
      </c>
      <c r="C3112" t="s">
        <v>6252</v>
      </c>
      <c r="D3112" s="1" t="s">
        <v>195</v>
      </c>
      <c r="E3112" s="3">
        <v>49.66</v>
      </c>
      <c r="F3112" s="3">
        <f t="shared" si="96"/>
        <v>12.549082</v>
      </c>
      <c r="G3112" s="3">
        <f t="shared" si="97"/>
        <v>62.209081999999995</v>
      </c>
    </row>
    <row r="3113" spans="1:7" x14ac:dyDescent="0.3">
      <c r="A3113" t="s">
        <v>13039</v>
      </c>
      <c r="B3113" t="s">
        <v>6253</v>
      </c>
      <c r="C3113" t="s">
        <v>6254</v>
      </c>
      <c r="D3113" s="1" t="s">
        <v>195</v>
      </c>
      <c r="E3113" s="3">
        <v>25.81</v>
      </c>
      <c r="F3113" s="3">
        <f t="shared" si="96"/>
        <v>6.5221870000000006</v>
      </c>
      <c r="G3113" s="3">
        <f t="shared" si="97"/>
        <v>32.332186999999998</v>
      </c>
    </row>
    <row r="3114" spans="1:7" x14ac:dyDescent="0.3">
      <c r="A3114" t="s">
        <v>13039</v>
      </c>
      <c r="B3114" t="s">
        <v>6255</v>
      </c>
      <c r="C3114" t="s">
        <v>6256</v>
      </c>
      <c r="D3114" s="1" t="s">
        <v>195</v>
      </c>
      <c r="E3114" s="3">
        <v>45.57</v>
      </c>
      <c r="F3114" s="3">
        <f t="shared" si="96"/>
        <v>11.515539000000002</v>
      </c>
      <c r="G3114" s="3">
        <f t="shared" si="97"/>
        <v>57.085539000000004</v>
      </c>
    </row>
    <row r="3115" spans="1:7" x14ac:dyDescent="0.3">
      <c r="A3115" t="s">
        <v>13039</v>
      </c>
      <c r="B3115" t="s">
        <v>6257</v>
      </c>
      <c r="C3115" t="s">
        <v>6258</v>
      </c>
      <c r="D3115" s="1" t="s">
        <v>195</v>
      </c>
      <c r="E3115" s="3">
        <v>27.82</v>
      </c>
      <c r="F3115" s="3">
        <f t="shared" si="96"/>
        <v>7.0301140000000011</v>
      </c>
      <c r="G3115" s="3">
        <f t="shared" si="97"/>
        <v>34.850114000000005</v>
      </c>
    </row>
    <row r="3116" spans="1:7" x14ac:dyDescent="0.3">
      <c r="A3116" t="s">
        <v>13039</v>
      </c>
      <c r="B3116" t="s">
        <v>6259</v>
      </c>
      <c r="C3116" t="s">
        <v>6260</v>
      </c>
      <c r="D3116" s="1" t="s">
        <v>195</v>
      </c>
      <c r="E3116" s="3">
        <v>30.94</v>
      </c>
      <c r="F3116" s="3">
        <f t="shared" si="96"/>
        <v>7.8185380000000011</v>
      </c>
      <c r="G3116" s="3">
        <f t="shared" si="97"/>
        <v>38.758538000000001</v>
      </c>
    </row>
    <row r="3117" spans="1:7" x14ac:dyDescent="0.3">
      <c r="A3117" t="s">
        <v>13039</v>
      </c>
      <c r="B3117" t="s">
        <v>6261</v>
      </c>
      <c r="C3117" t="s">
        <v>6262</v>
      </c>
      <c r="D3117" s="1" t="s">
        <v>195</v>
      </c>
      <c r="E3117" s="3">
        <v>13.19</v>
      </c>
      <c r="F3117" s="3">
        <f t="shared" si="96"/>
        <v>3.3331130000000004</v>
      </c>
      <c r="G3117" s="3">
        <f t="shared" si="97"/>
        <v>16.523112999999999</v>
      </c>
    </row>
    <row r="3118" spans="1:7" x14ac:dyDescent="0.3">
      <c r="A3118" t="s">
        <v>13039</v>
      </c>
      <c r="B3118" t="s">
        <v>6263</v>
      </c>
      <c r="C3118" t="s">
        <v>6264</v>
      </c>
      <c r="D3118" s="1" t="s">
        <v>195</v>
      </c>
      <c r="E3118" s="3">
        <v>81.45</v>
      </c>
      <c r="F3118" s="3">
        <f t="shared" si="96"/>
        <v>20.582415000000005</v>
      </c>
      <c r="G3118" s="3">
        <f t="shared" si="97"/>
        <v>102.03241500000001</v>
      </c>
    </row>
    <row r="3119" spans="1:7" x14ac:dyDescent="0.3">
      <c r="A3119" t="s">
        <v>13039</v>
      </c>
      <c r="B3119" t="s">
        <v>6265</v>
      </c>
      <c r="C3119" t="s">
        <v>6266</v>
      </c>
      <c r="D3119" s="1" t="s">
        <v>195</v>
      </c>
      <c r="E3119" s="3">
        <v>59.72</v>
      </c>
      <c r="F3119" s="3">
        <f t="shared" si="96"/>
        <v>15.091244000000001</v>
      </c>
      <c r="G3119" s="3">
        <f t="shared" si="97"/>
        <v>74.811244000000002</v>
      </c>
    </row>
    <row r="3120" spans="1:7" x14ac:dyDescent="0.3">
      <c r="A3120" t="s">
        <v>13039</v>
      </c>
      <c r="B3120" t="s">
        <v>6267</v>
      </c>
      <c r="C3120" t="s">
        <v>6268</v>
      </c>
      <c r="D3120" s="1" t="s">
        <v>195</v>
      </c>
      <c r="E3120" s="3">
        <v>67.959999999999994</v>
      </c>
      <c r="F3120" s="3">
        <f t="shared" si="96"/>
        <v>17.173492</v>
      </c>
      <c r="G3120" s="3">
        <f t="shared" si="97"/>
        <v>85.13349199999999</v>
      </c>
    </row>
    <row r="3121" spans="1:7" x14ac:dyDescent="0.3">
      <c r="A3121" t="s">
        <v>13039</v>
      </c>
      <c r="B3121" t="s">
        <v>6269</v>
      </c>
      <c r="C3121" t="s">
        <v>6270</v>
      </c>
      <c r="D3121" s="1" t="s">
        <v>195</v>
      </c>
      <c r="E3121" s="3">
        <v>50.21</v>
      </c>
      <c r="F3121" s="3">
        <f t="shared" si="96"/>
        <v>12.688067000000002</v>
      </c>
      <c r="G3121" s="3">
        <f t="shared" si="97"/>
        <v>62.898067000000005</v>
      </c>
    </row>
    <row r="3122" spans="1:7" x14ac:dyDescent="0.3">
      <c r="A3122" t="s">
        <v>13039</v>
      </c>
      <c r="B3122" t="s">
        <v>6271</v>
      </c>
      <c r="C3122" t="s">
        <v>6272</v>
      </c>
      <c r="D3122" s="1" t="s">
        <v>38</v>
      </c>
      <c r="E3122" s="3">
        <v>19.690000000000001</v>
      </c>
      <c r="F3122" s="3">
        <f t="shared" si="96"/>
        <v>4.9756630000000008</v>
      </c>
      <c r="G3122" s="3">
        <f t="shared" si="97"/>
        <v>24.665663000000002</v>
      </c>
    </row>
    <row r="3123" spans="1:7" x14ac:dyDescent="0.3">
      <c r="A3123" t="s">
        <v>13039</v>
      </c>
      <c r="B3123" t="s">
        <v>6273</v>
      </c>
      <c r="C3123" t="s">
        <v>6274</v>
      </c>
      <c r="D3123" s="1" t="s">
        <v>38</v>
      </c>
      <c r="E3123" s="3">
        <v>17.170000000000002</v>
      </c>
      <c r="F3123" s="3">
        <f t="shared" si="96"/>
        <v>4.3388590000000011</v>
      </c>
      <c r="G3123" s="3">
        <f t="shared" si="97"/>
        <v>21.508859000000001</v>
      </c>
    </row>
    <row r="3124" spans="1:7" x14ac:dyDescent="0.3">
      <c r="A3124" t="s">
        <v>13039</v>
      </c>
      <c r="B3124" t="s">
        <v>6275</v>
      </c>
      <c r="C3124" t="s">
        <v>6276</v>
      </c>
      <c r="D3124" s="1" t="s">
        <v>210</v>
      </c>
      <c r="E3124" s="3">
        <v>70.02</v>
      </c>
      <c r="F3124" s="3">
        <f t="shared" si="96"/>
        <v>17.694054000000001</v>
      </c>
      <c r="G3124" s="3">
        <f t="shared" si="97"/>
        <v>87.714054000000004</v>
      </c>
    </row>
    <row r="3125" spans="1:7" x14ac:dyDescent="0.3">
      <c r="A3125" t="s">
        <v>13039</v>
      </c>
      <c r="B3125" t="s">
        <v>6277</v>
      </c>
      <c r="C3125" t="s">
        <v>6278</v>
      </c>
      <c r="D3125" s="1" t="s">
        <v>38</v>
      </c>
      <c r="E3125" s="3">
        <v>193.48</v>
      </c>
      <c r="F3125" s="3">
        <f t="shared" si="96"/>
        <v>48.892396000000005</v>
      </c>
      <c r="G3125" s="3">
        <f t="shared" si="97"/>
        <v>242.37239599999998</v>
      </c>
    </row>
    <row r="3126" spans="1:7" x14ac:dyDescent="0.3">
      <c r="A3126" t="s">
        <v>13039</v>
      </c>
      <c r="B3126" t="s">
        <v>6279</v>
      </c>
      <c r="C3126" t="s">
        <v>6280</v>
      </c>
      <c r="D3126" s="1" t="s">
        <v>38</v>
      </c>
      <c r="E3126" s="3">
        <v>162.19</v>
      </c>
      <c r="F3126" s="3">
        <f t="shared" si="96"/>
        <v>40.985413000000008</v>
      </c>
      <c r="G3126" s="3">
        <f t="shared" si="97"/>
        <v>203.17541299999999</v>
      </c>
    </row>
    <row r="3127" spans="1:7" x14ac:dyDescent="0.3">
      <c r="A3127" t="s">
        <v>13039</v>
      </c>
      <c r="B3127" t="s">
        <v>6281</v>
      </c>
      <c r="C3127" t="s">
        <v>6282</v>
      </c>
      <c r="D3127" s="1" t="s">
        <v>38</v>
      </c>
      <c r="E3127" s="3">
        <v>285.63</v>
      </c>
      <c r="F3127" s="3">
        <f t="shared" si="96"/>
        <v>72.178701000000004</v>
      </c>
      <c r="G3127" s="3">
        <f t="shared" si="97"/>
        <v>357.80870099999999</v>
      </c>
    </row>
    <row r="3128" spans="1:7" x14ac:dyDescent="0.3">
      <c r="A3128" t="s">
        <v>13039</v>
      </c>
      <c r="B3128" t="s">
        <v>6283</v>
      </c>
      <c r="C3128" t="s">
        <v>6284</v>
      </c>
      <c r="D3128" s="1" t="s">
        <v>38</v>
      </c>
      <c r="E3128" s="3">
        <v>237.66</v>
      </c>
      <c r="F3128" s="3">
        <f t="shared" si="96"/>
        <v>60.056682000000009</v>
      </c>
      <c r="G3128" s="3">
        <f t="shared" si="97"/>
        <v>297.71668199999999</v>
      </c>
    </row>
    <row r="3129" spans="1:7" x14ac:dyDescent="0.3">
      <c r="A3129" t="s">
        <v>13039</v>
      </c>
      <c r="B3129" t="s">
        <v>6285</v>
      </c>
      <c r="C3129" t="s">
        <v>6286</v>
      </c>
      <c r="D3129" s="1" t="s">
        <v>38</v>
      </c>
      <c r="E3129" s="3">
        <v>205.35</v>
      </c>
      <c r="F3129" s="3">
        <f t="shared" si="96"/>
        <v>51.891945000000007</v>
      </c>
      <c r="G3129" s="3">
        <f t="shared" si="97"/>
        <v>257.24194499999999</v>
      </c>
    </row>
    <row r="3130" spans="1:7" x14ac:dyDescent="0.3">
      <c r="A3130" t="s">
        <v>13039</v>
      </c>
      <c r="B3130" t="s">
        <v>6287</v>
      </c>
      <c r="C3130" t="s">
        <v>6288</v>
      </c>
      <c r="D3130" s="1" t="s">
        <v>38</v>
      </c>
      <c r="E3130" s="3">
        <v>172.73</v>
      </c>
      <c r="F3130" s="3">
        <f t="shared" si="96"/>
        <v>43.648871000000007</v>
      </c>
      <c r="G3130" s="3">
        <f t="shared" si="97"/>
        <v>216.378871</v>
      </c>
    </row>
    <row r="3131" spans="1:7" x14ac:dyDescent="0.3">
      <c r="A3131" t="s">
        <v>13039</v>
      </c>
      <c r="B3131" t="s">
        <v>6289</v>
      </c>
      <c r="C3131" t="s">
        <v>6290</v>
      </c>
      <c r="D3131" s="1" t="s">
        <v>38</v>
      </c>
      <c r="E3131" s="3">
        <v>302.39</v>
      </c>
      <c r="F3131" s="3">
        <f t="shared" si="96"/>
        <v>76.413953000000006</v>
      </c>
      <c r="G3131" s="3">
        <f t="shared" si="97"/>
        <v>378.80395299999998</v>
      </c>
    </row>
    <row r="3132" spans="1:7" x14ac:dyDescent="0.3">
      <c r="A3132" t="s">
        <v>13039</v>
      </c>
      <c r="B3132" t="s">
        <v>6291</v>
      </c>
      <c r="C3132" t="s">
        <v>6292</v>
      </c>
      <c r="D3132" s="1" t="s">
        <v>38</v>
      </c>
      <c r="E3132" s="3">
        <v>252.55</v>
      </c>
      <c r="F3132" s="3">
        <f t="shared" si="96"/>
        <v>63.819385000000011</v>
      </c>
      <c r="G3132" s="3">
        <f t="shared" si="97"/>
        <v>316.36938500000002</v>
      </c>
    </row>
    <row r="3133" spans="1:7" x14ac:dyDescent="0.3">
      <c r="A3133" t="s">
        <v>13039</v>
      </c>
      <c r="B3133" t="s">
        <v>6293</v>
      </c>
      <c r="C3133" t="s">
        <v>6294</v>
      </c>
      <c r="D3133" s="1" t="s">
        <v>38</v>
      </c>
      <c r="E3133" s="3">
        <v>180.91</v>
      </c>
      <c r="F3133" s="3">
        <f t="shared" si="96"/>
        <v>45.715957000000003</v>
      </c>
      <c r="G3133" s="3">
        <f t="shared" si="97"/>
        <v>226.625957</v>
      </c>
    </row>
    <row r="3134" spans="1:7" x14ac:dyDescent="0.3">
      <c r="A3134" t="s">
        <v>13039</v>
      </c>
      <c r="B3134" t="s">
        <v>6295</v>
      </c>
      <c r="C3134" t="s">
        <v>6296</v>
      </c>
      <c r="D3134" s="1" t="s">
        <v>38</v>
      </c>
      <c r="E3134" s="3">
        <v>153.08000000000001</v>
      </c>
      <c r="F3134" s="3">
        <f t="shared" si="96"/>
        <v>38.683316000000012</v>
      </c>
      <c r="G3134" s="3">
        <f t="shared" si="97"/>
        <v>191.76331600000003</v>
      </c>
    </row>
    <row r="3135" spans="1:7" x14ac:dyDescent="0.3">
      <c r="A3135" t="s">
        <v>13039</v>
      </c>
      <c r="B3135" t="s">
        <v>6297</v>
      </c>
      <c r="C3135" t="s">
        <v>6298</v>
      </c>
      <c r="D3135" s="1" t="s">
        <v>38</v>
      </c>
      <c r="E3135" s="3">
        <v>262.58</v>
      </c>
      <c r="F3135" s="3">
        <f t="shared" si="96"/>
        <v>66.353966</v>
      </c>
      <c r="G3135" s="3">
        <f t="shared" si="97"/>
        <v>328.933966</v>
      </c>
    </row>
    <row r="3136" spans="1:7" x14ac:dyDescent="0.3">
      <c r="A3136" t="s">
        <v>13039</v>
      </c>
      <c r="B3136" t="s">
        <v>6299</v>
      </c>
      <c r="C3136" t="s">
        <v>6300</v>
      </c>
      <c r="D3136" s="1" t="s">
        <v>38</v>
      </c>
      <c r="E3136" s="3">
        <v>221.45</v>
      </c>
      <c r="F3136" s="3">
        <f t="shared" si="96"/>
        <v>55.960415000000005</v>
      </c>
      <c r="G3136" s="3">
        <f t="shared" si="97"/>
        <v>277.410415</v>
      </c>
    </row>
    <row r="3137" spans="1:7" x14ac:dyDescent="0.3">
      <c r="A3137" t="s">
        <v>13039</v>
      </c>
      <c r="B3137" t="s">
        <v>6301</v>
      </c>
      <c r="C3137" t="s">
        <v>6302</v>
      </c>
      <c r="D3137" s="1" t="s">
        <v>38</v>
      </c>
      <c r="E3137" s="3">
        <v>190.75</v>
      </c>
      <c r="F3137" s="3">
        <f t="shared" si="96"/>
        <v>48.202525000000009</v>
      </c>
      <c r="G3137" s="3">
        <f t="shared" si="97"/>
        <v>238.95252500000001</v>
      </c>
    </row>
    <row r="3138" spans="1:7" x14ac:dyDescent="0.3">
      <c r="A3138" t="s">
        <v>13039</v>
      </c>
      <c r="B3138" t="s">
        <v>6303</v>
      </c>
      <c r="C3138" t="s">
        <v>6304</v>
      </c>
      <c r="D3138" s="1" t="s">
        <v>38</v>
      </c>
      <c r="E3138" s="3">
        <v>161.91999999999999</v>
      </c>
      <c r="F3138" s="3">
        <f t="shared" si="96"/>
        <v>40.917184000000006</v>
      </c>
      <c r="G3138" s="3">
        <f t="shared" si="97"/>
        <v>202.83718399999998</v>
      </c>
    </row>
    <row r="3139" spans="1:7" x14ac:dyDescent="0.3">
      <c r="A3139" t="s">
        <v>13039</v>
      </c>
      <c r="B3139" t="s">
        <v>6305</v>
      </c>
      <c r="C3139" t="s">
        <v>6306</v>
      </c>
      <c r="D3139" s="1" t="s">
        <v>38</v>
      </c>
      <c r="E3139" s="3">
        <v>276.54000000000002</v>
      </c>
      <c r="F3139" s="3">
        <f t="shared" si="96"/>
        <v>69.881658000000016</v>
      </c>
      <c r="G3139" s="3">
        <f t="shared" si="97"/>
        <v>346.42165800000004</v>
      </c>
    </row>
    <row r="3140" spans="1:7" x14ac:dyDescent="0.3">
      <c r="A3140" t="s">
        <v>13039</v>
      </c>
      <c r="B3140" t="s">
        <v>6307</v>
      </c>
      <c r="C3140" t="s">
        <v>6308</v>
      </c>
      <c r="D3140" s="1" t="s">
        <v>38</v>
      </c>
      <c r="E3140" s="3">
        <v>234.02</v>
      </c>
      <c r="F3140" s="3">
        <f t="shared" si="96"/>
        <v>59.136854000000014</v>
      </c>
      <c r="G3140" s="3">
        <f t="shared" si="97"/>
        <v>293.15685400000001</v>
      </c>
    </row>
    <row r="3141" spans="1:7" x14ac:dyDescent="0.3">
      <c r="A3141" t="s">
        <v>13039</v>
      </c>
      <c r="B3141" t="s">
        <v>6309</v>
      </c>
      <c r="C3141" t="s">
        <v>6310</v>
      </c>
      <c r="D3141" s="1" t="s">
        <v>38</v>
      </c>
      <c r="E3141" s="3">
        <v>202.48</v>
      </c>
      <c r="F3141" s="3">
        <f t="shared" si="96"/>
        <v>51.166696000000002</v>
      </c>
      <c r="G3141" s="3">
        <f t="shared" si="97"/>
        <v>253.64669599999999</v>
      </c>
    </row>
    <row r="3142" spans="1:7" x14ac:dyDescent="0.3">
      <c r="A3142" t="s">
        <v>13039</v>
      </c>
      <c r="B3142" t="s">
        <v>6311</v>
      </c>
      <c r="C3142" t="s">
        <v>6312</v>
      </c>
      <c r="D3142" s="1" t="s">
        <v>38</v>
      </c>
      <c r="E3142" s="3">
        <v>172.49</v>
      </c>
      <c r="F3142" s="3">
        <f t="shared" si="96"/>
        <v>43.588223000000006</v>
      </c>
      <c r="G3142" s="3">
        <f t="shared" si="97"/>
        <v>216.07822300000001</v>
      </c>
    </row>
    <row r="3143" spans="1:7" x14ac:dyDescent="0.3">
      <c r="A3143" t="s">
        <v>13039</v>
      </c>
      <c r="B3143" t="s">
        <v>6313</v>
      </c>
      <c r="C3143" t="s">
        <v>6314</v>
      </c>
      <c r="D3143" s="1" t="s">
        <v>38</v>
      </c>
      <c r="E3143" s="3">
        <v>293.33999999999997</v>
      </c>
      <c r="F3143" s="3">
        <f t="shared" ref="F3143:F3206" si="98">+E3143*$F$4</f>
        <v>74.127018000000007</v>
      </c>
      <c r="G3143" s="3">
        <f t="shared" ref="G3143:G3206" si="99">+E3143+F3143</f>
        <v>367.467018</v>
      </c>
    </row>
    <row r="3144" spans="1:7" x14ac:dyDescent="0.3">
      <c r="A3144" t="s">
        <v>13039</v>
      </c>
      <c r="B3144" t="s">
        <v>6315</v>
      </c>
      <c r="C3144" t="s">
        <v>6316</v>
      </c>
      <c r="D3144" s="1" t="s">
        <v>38</v>
      </c>
      <c r="E3144" s="3">
        <v>249.12</v>
      </c>
      <c r="F3144" s="3">
        <f t="shared" si="98"/>
        <v>62.952624000000007</v>
      </c>
      <c r="G3144" s="3">
        <f t="shared" si="99"/>
        <v>312.07262400000002</v>
      </c>
    </row>
    <row r="3145" spans="1:7" x14ac:dyDescent="0.3">
      <c r="A3145" t="s">
        <v>13039</v>
      </c>
      <c r="B3145" t="s">
        <v>6317</v>
      </c>
      <c r="C3145" t="s">
        <v>6318</v>
      </c>
      <c r="D3145" s="1" t="s">
        <v>38</v>
      </c>
      <c r="E3145" s="3">
        <v>212.32</v>
      </c>
      <c r="F3145" s="3">
        <f t="shared" si="98"/>
        <v>53.653264000000007</v>
      </c>
      <c r="G3145" s="3">
        <f t="shared" si="99"/>
        <v>265.97326399999997</v>
      </c>
    </row>
    <row r="3146" spans="1:7" x14ac:dyDescent="0.3">
      <c r="A3146" t="s">
        <v>13039</v>
      </c>
      <c r="B3146" t="s">
        <v>6319</v>
      </c>
      <c r="C3146" t="s">
        <v>6320</v>
      </c>
      <c r="D3146" s="1" t="s">
        <v>38</v>
      </c>
      <c r="E3146" s="3">
        <v>181.33</v>
      </c>
      <c r="F3146" s="3">
        <f t="shared" si="98"/>
        <v>45.822091000000007</v>
      </c>
      <c r="G3146" s="3">
        <f t="shared" si="99"/>
        <v>227.15209100000001</v>
      </c>
    </row>
    <row r="3147" spans="1:7" x14ac:dyDescent="0.3">
      <c r="A3147" t="s">
        <v>13039</v>
      </c>
      <c r="B3147" t="s">
        <v>6321</v>
      </c>
      <c r="C3147" t="s">
        <v>6322</v>
      </c>
      <c r="D3147" s="1" t="s">
        <v>38</v>
      </c>
      <c r="E3147" s="3">
        <v>307.3</v>
      </c>
      <c r="F3147" s="3">
        <f t="shared" si="98"/>
        <v>77.654710000000009</v>
      </c>
      <c r="G3147" s="3">
        <f t="shared" si="99"/>
        <v>384.95471000000003</v>
      </c>
    </row>
    <row r="3148" spans="1:7" x14ac:dyDescent="0.3">
      <c r="A3148" t="s">
        <v>13039</v>
      </c>
      <c r="B3148" t="s">
        <v>6323</v>
      </c>
      <c r="C3148" t="s">
        <v>6324</v>
      </c>
      <c r="D3148" s="1" t="s">
        <v>38</v>
      </c>
      <c r="E3148" s="3">
        <v>261.68</v>
      </c>
      <c r="F3148" s="3">
        <f t="shared" si="98"/>
        <v>66.126536000000016</v>
      </c>
      <c r="G3148" s="3">
        <f t="shared" si="99"/>
        <v>327.80653600000005</v>
      </c>
    </row>
    <row r="3149" spans="1:7" x14ac:dyDescent="0.3">
      <c r="A3149" t="s">
        <v>13039</v>
      </c>
      <c r="B3149" t="s">
        <v>6325</v>
      </c>
      <c r="C3149" t="s">
        <v>6326</v>
      </c>
      <c r="D3149" s="1" t="s">
        <v>38</v>
      </c>
      <c r="E3149" s="3">
        <v>814.99</v>
      </c>
      <c r="F3149" s="3">
        <f t="shared" si="98"/>
        <v>205.94797300000002</v>
      </c>
      <c r="G3149" s="3">
        <f t="shared" si="99"/>
        <v>1020.9379730000001</v>
      </c>
    </row>
    <row r="3150" spans="1:7" x14ac:dyDescent="0.3">
      <c r="A3150" t="s">
        <v>13039</v>
      </c>
      <c r="B3150" t="s">
        <v>6327</v>
      </c>
      <c r="C3150" t="s">
        <v>6328</v>
      </c>
      <c r="D3150" s="1" t="s">
        <v>38</v>
      </c>
      <c r="E3150" s="3">
        <v>660.87</v>
      </c>
      <c r="F3150" s="3">
        <f t="shared" si="98"/>
        <v>167.00184900000002</v>
      </c>
      <c r="G3150" s="3">
        <f t="shared" si="99"/>
        <v>827.871849</v>
      </c>
    </row>
    <row r="3151" spans="1:7" x14ac:dyDescent="0.3">
      <c r="A3151" t="s">
        <v>13039</v>
      </c>
      <c r="B3151" t="s">
        <v>6329</v>
      </c>
      <c r="C3151" t="s">
        <v>6330</v>
      </c>
      <c r="D3151" s="1" t="s">
        <v>38</v>
      </c>
      <c r="E3151" s="3">
        <v>1118.6199999999999</v>
      </c>
      <c r="F3151" s="3">
        <f t="shared" si="98"/>
        <v>282.675274</v>
      </c>
      <c r="G3151" s="3">
        <f t="shared" si="99"/>
        <v>1401.2952739999998</v>
      </c>
    </row>
    <row r="3152" spans="1:7" x14ac:dyDescent="0.3">
      <c r="A3152" t="s">
        <v>13039</v>
      </c>
      <c r="B3152" t="s">
        <v>6331</v>
      </c>
      <c r="C3152" t="s">
        <v>6332</v>
      </c>
      <c r="D3152" s="1" t="s">
        <v>38</v>
      </c>
      <c r="E3152" s="3">
        <v>897.37</v>
      </c>
      <c r="F3152" s="3">
        <f t="shared" si="98"/>
        <v>226.76539900000003</v>
      </c>
      <c r="G3152" s="3">
        <f t="shared" si="99"/>
        <v>1124.135399</v>
      </c>
    </row>
    <row r="3153" spans="1:7" x14ac:dyDescent="0.3">
      <c r="A3153" t="s">
        <v>13039</v>
      </c>
      <c r="B3153" t="s">
        <v>6333</v>
      </c>
      <c r="C3153" t="s">
        <v>6334</v>
      </c>
      <c r="D3153" s="1" t="s">
        <v>38</v>
      </c>
      <c r="E3153" s="3">
        <v>820.24</v>
      </c>
      <c r="F3153" s="3">
        <f t="shared" si="98"/>
        <v>207.27464800000004</v>
      </c>
      <c r="G3153" s="3">
        <f t="shared" si="99"/>
        <v>1027.5146480000001</v>
      </c>
    </row>
    <row r="3154" spans="1:7" x14ac:dyDescent="0.3">
      <c r="A3154" t="s">
        <v>13039</v>
      </c>
      <c r="B3154" t="s">
        <v>6335</v>
      </c>
      <c r="C3154" t="s">
        <v>6336</v>
      </c>
      <c r="D3154" s="1" t="s">
        <v>38</v>
      </c>
      <c r="E3154" s="3">
        <v>664.53</v>
      </c>
      <c r="F3154" s="3">
        <f t="shared" si="98"/>
        <v>167.92673100000002</v>
      </c>
      <c r="G3154" s="3">
        <f t="shared" si="99"/>
        <v>832.45673099999999</v>
      </c>
    </row>
    <row r="3155" spans="1:7" x14ac:dyDescent="0.3">
      <c r="A3155" t="s">
        <v>13039</v>
      </c>
      <c r="B3155" t="s">
        <v>6337</v>
      </c>
      <c r="C3155" t="s">
        <v>6338</v>
      </c>
      <c r="D3155" s="1" t="s">
        <v>38</v>
      </c>
      <c r="E3155" s="3">
        <v>1127.79</v>
      </c>
      <c r="F3155" s="3">
        <f t="shared" si="98"/>
        <v>284.99253300000004</v>
      </c>
      <c r="G3155" s="3">
        <f t="shared" si="99"/>
        <v>1412.7825330000001</v>
      </c>
    </row>
    <row r="3156" spans="1:7" x14ac:dyDescent="0.3">
      <c r="A3156" t="s">
        <v>13039</v>
      </c>
      <c r="B3156" t="s">
        <v>6339</v>
      </c>
      <c r="C3156" t="s">
        <v>6340</v>
      </c>
      <c r="D3156" s="1" t="s">
        <v>38</v>
      </c>
      <c r="E3156" s="3">
        <v>903.75</v>
      </c>
      <c r="F3156" s="3">
        <f t="shared" si="98"/>
        <v>228.37762500000002</v>
      </c>
      <c r="G3156" s="3">
        <f t="shared" si="99"/>
        <v>1132.1276250000001</v>
      </c>
    </row>
    <row r="3157" spans="1:7" x14ac:dyDescent="0.3">
      <c r="A3157" t="s">
        <v>13039</v>
      </c>
      <c r="B3157" t="s">
        <v>6341</v>
      </c>
      <c r="C3157" t="s">
        <v>6342</v>
      </c>
      <c r="D3157" s="1" t="s">
        <v>38</v>
      </c>
      <c r="E3157" s="3">
        <v>836.21</v>
      </c>
      <c r="F3157" s="3">
        <f t="shared" si="98"/>
        <v>211.31026700000004</v>
      </c>
      <c r="G3157" s="3">
        <f t="shared" si="99"/>
        <v>1047.5202670000001</v>
      </c>
    </row>
    <row r="3158" spans="1:7" x14ac:dyDescent="0.3">
      <c r="A3158" t="s">
        <v>13039</v>
      </c>
      <c r="B3158" t="s">
        <v>6343</v>
      </c>
      <c r="C3158" t="s">
        <v>6344</v>
      </c>
      <c r="D3158" s="1" t="s">
        <v>38</v>
      </c>
      <c r="E3158" s="3">
        <v>675.66</v>
      </c>
      <c r="F3158" s="3">
        <f t="shared" si="98"/>
        <v>170.739282</v>
      </c>
      <c r="G3158" s="3">
        <f t="shared" si="99"/>
        <v>846.39928199999997</v>
      </c>
    </row>
    <row r="3159" spans="1:7" x14ac:dyDescent="0.3">
      <c r="A3159" t="s">
        <v>13039</v>
      </c>
      <c r="B3159" t="s">
        <v>6345</v>
      </c>
      <c r="C3159" t="s">
        <v>6346</v>
      </c>
      <c r="D3159" s="1" t="s">
        <v>38</v>
      </c>
      <c r="E3159" s="3">
        <v>1155.69</v>
      </c>
      <c r="F3159" s="3">
        <f t="shared" si="98"/>
        <v>292.04286300000007</v>
      </c>
      <c r="G3159" s="3">
        <f t="shared" si="99"/>
        <v>1447.7328630000002</v>
      </c>
    </row>
    <row r="3160" spans="1:7" x14ac:dyDescent="0.3">
      <c r="A3160" t="s">
        <v>13039</v>
      </c>
      <c r="B3160" t="s">
        <v>6347</v>
      </c>
      <c r="C3160" t="s">
        <v>6348</v>
      </c>
      <c r="D3160" s="1" t="s">
        <v>38</v>
      </c>
      <c r="E3160" s="3">
        <v>923.2</v>
      </c>
      <c r="F3160" s="3">
        <f t="shared" si="98"/>
        <v>233.29264000000003</v>
      </c>
      <c r="G3160" s="3">
        <f t="shared" si="99"/>
        <v>1156.4926400000002</v>
      </c>
    </row>
    <row r="3161" spans="1:7" x14ac:dyDescent="0.3">
      <c r="A3161" t="s">
        <v>13039</v>
      </c>
      <c r="B3161" t="s">
        <v>6349</v>
      </c>
      <c r="C3161" t="s">
        <v>6350</v>
      </c>
      <c r="D3161" s="1" t="s">
        <v>38</v>
      </c>
      <c r="E3161" s="3">
        <v>839.43</v>
      </c>
      <c r="F3161" s="3">
        <f t="shared" si="98"/>
        <v>212.12396100000001</v>
      </c>
      <c r="G3161" s="3">
        <f t="shared" si="99"/>
        <v>1051.5539610000001</v>
      </c>
    </row>
    <row r="3162" spans="1:7" x14ac:dyDescent="0.3">
      <c r="A3162" t="s">
        <v>13039</v>
      </c>
      <c r="B3162" t="s">
        <v>6351</v>
      </c>
      <c r="C3162" t="s">
        <v>6352</v>
      </c>
      <c r="D3162" s="1" t="s">
        <v>38</v>
      </c>
      <c r="E3162" s="3">
        <v>677.9</v>
      </c>
      <c r="F3162" s="3">
        <f t="shared" si="98"/>
        <v>171.30533000000003</v>
      </c>
      <c r="G3162" s="3">
        <f t="shared" si="99"/>
        <v>849.20533</v>
      </c>
    </row>
    <row r="3163" spans="1:7" x14ac:dyDescent="0.3">
      <c r="A3163" t="s">
        <v>13039</v>
      </c>
      <c r="B3163" t="s">
        <v>6353</v>
      </c>
      <c r="C3163" t="s">
        <v>6354</v>
      </c>
      <c r="D3163" s="1" t="s">
        <v>38</v>
      </c>
      <c r="E3163" s="3">
        <v>1161.28</v>
      </c>
      <c r="F3163" s="3">
        <f t="shared" si="98"/>
        <v>293.45545600000003</v>
      </c>
      <c r="G3163" s="3">
        <f t="shared" si="99"/>
        <v>1454.7354559999999</v>
      </c>
    </row>
    <row r="3164" spans="1:7" x14ac:dyDescent="0.3">
      <c r="A3164" t="s">
        <v>13039</v>
      </c>
      <c r="B3164" t="s">
        <v>6355</v>
      </c>
      <c r="C3164" t="s">
        <v>6356</v>
      </c>
      <c r="D3164" s="1" t="s">
        <v>38</v>
      </c>
      <c r="E3164" s="3">
        <v>927.09</v>
      </c>
      <c r="F3164" s="3">
        <f t="shared" si="98"/>
        <v>234.27564300000003</v>
      </c>
      <c r="G3164" s="3">
        <f t="shared" si="99"/>
        <v>1161.3656430000001</v>
      </c>
    </row>
    <row r="3165" spans="1:7" x14ac:dyDescent="0.3">
      <c r="A3165" t="s">
        <v>13039</v>
      </c>
      <c r="B3165" t="s">
        <v>6357</v>
      </c>
      <c r="C3165" t="s">
        <v>6358</v>
      </c>
      <c r="D3165" s="1" t="s">
        <v>38</v>
      </c>
      <c r="E3165" s="3">
        <v>846.64</v>
      </c>
      <c r="F3165" s="3">
        <f t="shared" si="98"/>
        <v>213.94592800000004</v>
      </c>
      <c r="G3165" s="3">
        <f t="shared" si="99"/>
        <v>1060.585928</v>
      </c>
    </row>
    <row r="3166" spans="1:7" x14ac:dyDescent="0.3">
      <c r="A3166" t="s">
        <v>13039</v>
      </c>
      <c r="B3166" t="s">
        <v>6359</v>
      </c>
      <c r="C3166" t="s">
        <v>6360</v>
      </c>
      <c r="D3166" s="1" t="s">
        <v>38</v>
      </c>
      <c r="E3166" s="3">
        <v>682.93</v>
      </c>
      <c r="F3166" s="3">
        <f t="shared" si="98"/>
        <v>172.57641100000001</v>
      </c>
      <c r="G3166" s="3">
        <f t="shared" si="99"/>
        <v>855.50641099999996</v>
      </c>
    </row>
    <row r="3167" spans="1:7" x14ac:dyDescent="0.3">
      <c r="A3167" t="s">
        <v>13039</v>
      </c>
      <c r="B3167" t="s">
        <v>6361</v>
      </c>
      <c r="C3167" t="s">
        <v>6362</v>
      </c>
      <c r="D3167" s="1" t="s">
        <v>38</v>
      </c>
      <c r="E3167" s="3">
        <v>1173.9100000000001</v>
      </c>
      <c r="F3167" s="3">
        <f t="shared" si="98"/>
        <v>296.64705700000007</v>
      </c>
      <c r="G3167" s="3">
        <f t="shared" si="99"/>
        <v>1470.5570570000002</v>
      </c>
    </row>
    <row r="3168" spans="1:7" x14ac:dyDescent="0.3">
      <c r="A3168" t="s">
        <v>13039</v>
      </c>
      <c r="B3168" t="s">
        <v>6363</v>
      </c>
      <c r="C3168" t="s">
        <v>6364</v>
      </c>
      <c r="D3168" s="1" t="s">
        <v>38</v>
      </c>
      <c r="E3168" s="3">
        <v>935.89</v>
      </c>
      <c r="F3168" s="3">
        <f t="shared" si="98"/>
        <v>236.49940300000003</v>
      </c>
      <c r="G3168" s="3">
        <f t="shared" si="99"/>
        <v>1172.3894030000001</v>
      </c>
    </row>
    <row r="3169" spans="1:7" x14ac:dyDescent="0.3">
      <c r="A3169" t="s">
        <v>13039</v>
      </c>
      <c r="B3169" t="s">
        <v>6365</v>
      </c>
      <c r="C3169" t="s">
        <v>6366</v>
      </c>
      <c r="D3169" s="1" t="s">
        <v>38</v>
      </c>
      <c r="E3169" s="3">
        <v>1090.08</v>
      </c>
      <c r="F3169" s="3">
        <f t="shared" si="98"/>
        <v>275.46321600000005</v>
      </c>
      <c r="G3169" s="3">
        <f t="shared" si="99"/>
        <v>1365.543216</v>
      </c>
    </row>
    <row r="3170" spans="1:7" x14ac:dyDescent="0.3">
      <c r="A3170" t="s">
        <v>13039</v>
      </c>
      <c r="B3170" t="s">
        <v>6367</v>
      </c>
      <c r="C3170" t="s">
        <v>6368</v>
      </c>
      <c r="D3170" s="1" t="s">
        <v>38</v>
      </c>
      <c r="E3170" s="3">
        <v>911.07</v>
      </c>
      <c r="F3170" s="3">
        <f t="shared" si="98"/>
        <v>230.22738900000004</v>
      </c>
      <c r="G3170" s="3">
        <f t="shared" si="99"/>
        <v>1141.2973890000001</v>
      </c>
    </row>
    <row r="3171" spans="1:7" x14ac:dyDescent="0.3">
      <c r="A3171" t="s">
        <v>13039</v>
      </c>
      <c r="B3171" t="s">
        <v>6369</v>
      </c>
      <c r="C3171" t="s">
        <v>6370</v>
      </c>
      <c r="D3171" s="1" t="s">
        <v>38</v>
      </c>
      <c r="E3171" s="3">
        <v>1472.98</v>
      </c>
      <c r="F3171" s="3">
        <f t="shared" si="98"/>
        <v>372.22204600000003</v>
      </c>
      <c r="G3171" s="3">
        <f t="shared" si="99"/>
        <v>1845.2020460000001</v>
      </c>
    </row>
    <row r="3172" spans="1:7" x14ac:dyDescent="0.3">
      <c r="A3172" t="s">
        <v>13039</v>
      </c>
      <c r="B3172" t="s">
        <v>6371</v>
      </c>
      <c r="C3172" t="s">
        <v>6372</v>
      </c>
      <c r="D3172" s="1" t="s">
        <v>38</v>
      </c>
      <c r="E3172" s="3">
        <v>1219.6400000000001</v>
      </c>
      <c r="F3172" s="3">
        <f t="shared" si="98"/>
        <v>308.20302800000007</v>
      </c>
      <c r="G3172" s="3">
        <f t="shared" si="99"/>
        <v>1527.8430280000002</v>
      </c>
    </row>
    <row r="3173" spans="1:7" x14ac:dyDescent="0.3">
      <c r="A3173" t="s">
        <v>13039</v>
      </c>
      <c r="B3173" t="s">
        <v>6373</v>
      </c>
      <c r="C3173" t="s">
        <v>6374</v>
      </c>
      <c r="D3173" s="1" t="s">
        <v>38</v>
      </c>
      <c r="E3173" s="3">
        <v>1095.33</v>
      </c>
      <c r="F3173" s="3">
        <f t="shared" si="98"/>
        <v>276.78989100000001</v>
      </c>
      <c r="G3173" s="3">
        <f t="shared" si="99"/>
        <v>1372.1198909999998</v>
      </c>
    </row>
    <row r="3174" spans="1:7" x14ac:dyDescent="0.3">
      <c r="A3174" t="s">
        <v>13039</v>
      </c>
      <c r="B3174" t="s">
        <v>6375</v>
      </c>
      <c r="C3174" t="s">
        <v>6376</v>
      </c>
      <c r="D3174" s="1" t="s">
        <v>38</v>
      </c>
      <c r="E3174" s="3">
        <v>914.72</v>
      </c>
      <c r="F3174" s="3">
        <f t="shared" si="98"/>
        <v>231.14974400000003</v>
      </c>
      <c r="G3174" s="3">
        <f t="shared" si="99"/>
        <v>1145.8697440000001</v>
      </c>
    </row>
    <row r="3175" spans="1:7" x14ac:dyDescent="0.3">
      <c r="A3175" t="s">
        <v>13039</v>
      </c>
      <c r="B3175" t="s">
        <v>6377</v>
      </c>
      <c r="C3175" t="s">
        <v>6378</v>
      </c>
      <c r="D3175" s="1" t="s">
        <v>38</v>
      </c>
      <c r="E3175" s="3">
        <v>1482.14</v>
      </c>
      <c r="F3175" s="3">
        <f t="shared" si="98"/>
        <v>374.53677800000008</v>
      </c>
      <c r="G3175" s="3">
        <f t="shared" si="99"/>
        <v>1856.6767780000002</v>
      </c>
    </row>
    <row r="3176" spans="1:7" x14ac:dyDescent="0.3">
      <c r="A3176" t="s">
        <v>13039</v>
      </c>
      <c r="B3176" t="s">
        <v>6379</v>
      </c>
      <c r="C3176" t="s">
        <v>6380</v>
      </c>
      <c r="D3176" s="1" t="s">
        <v>38</v>
      </c>
      <c r="E3176" s="3">
        <v>1226.03</v>
      </c>
      <c r="F3176" s="3">
        <f t="shared" si="98"/>
        <v>309.81778100000002</v>
      </c>
      <c r="G3176" s="3">
        <f t="shared" si="99"/>
        <v>1535.8477809999999</v>
      </c>
    </row>
    <row r="3177" spans="1:7" x14ac:dyDescent="0.3">
      <c r="A3177" t="s">
        <v>13039</v>
      </c>
      <c r="B3177" t="s">
        <v>6381</v>
      </c>
      <c r="C3177" t="s">
        <v>6382</v>
      </c>
      <c r="D3177" s="1" t="s">
        <v>38</v>
      </c>
      <c r="E3177" s="3">
        <v>1111.3</v>
      </c>
      <c r="F3177" s="3">
        <f t="shared" si="98"/>
        <v>280.82551000000001</v>
      </c>
      <c r="G3177" s="3">
        <f t="shared" si="99"/>
        <v>1392.1255099999998</v>
      </c>
    </row>
    <row r="3178" spans="1:7" x14ac:dyDescent="0.3">
      <c r="A3178" t="s">
        <v>13039</v>
      </c>
      <c r="B3178" t="s">
        <v>6383</v>
      </c>
      <c r="C3178" t="s">
        <v>6384</v>
      </c>
      <c r="D3178" s="1" t="s">
        <v>38</v>
      </c>
      <c r="E3178" s="3">
        <v>925.85</v>
      </c>
      <c r="F3178" s="3">
        <f t="shared" si="98"/>
        <v>233.96229500000004</v>
      </c>
      <c r="G3178" s="3">
        <f t="shared" si="99"/>
        <v>1159.8122950000002</v>
      </c>
    </row>
    <row r="3179" spans="1:7" x14ac:dyDescent="0.3">
      <c r="A3179" t="s">
        <v>13039</v>
      </c>
      <c r="B3179" t="s">
        <v>6385</v>
      </c>
      <c r="C3179" t="s">
        <v>6386</v>
      </c>
      <c r="D3179" s="1" t="s">
        <v>38</v>
      </c>
      <c r="E3179" s="3">
        <v>1510.04</v>
      </c>
      <c r="F3179" s="3">
        <f t="shared" si="98"/>
        <v>381.58710800000006</v>
      </c>
      <c r="G3179" s="3">
        <f t="shared" si="99"/>
        <v>1891.6271080000001</v>
      </c>
    </row>
    <row r="3180" spans="1:7" x14ac:dyDescent="0.3">
      <c r="A3180" t="s">
        <v>13039</v>
      </c>
      <c r="B3180" t="s">
        <v>6387</v>
      </c>
      <c r="C3180" t="s">
        <v>6388</v>
      </c>
      <c r="D3180" s="1" t="s">
        <v>38</v>
      </c>
      <c r="E3180" s="3">
        <v>1245.47</v>
      </c>
      <c r="F3180" s="3">
        <f t="shared" si="98"/>
        <v>314.73026900000008</v>
      </c>
      <c r="G3180" s="3">
        <f t="shared" si="99"/>
        <v>1560.2002690000002</v>
      </c>
    </row>
    <row r="3181" spans="1:7" x14ac:dyDescent="0.3">
      <c r="A3181" t="s">
        <v>13039</v>
      </c>
      <c r="B3181" t="s">
        <v>6389</v>
      </c>
      <c r="C3181" t="s">
        <v>6390</v>
      </c>
      <c r="D3181" s="1" t="s">
        <v>38</v>
      </c>
      <c r="E3181" s="3">
        <v>1114.52</v>
      </c>
      <c r="F3181" s="3">
        <f t="shared" si="98"/>
        <v>281.63920400000006</v>
      </c>
      <c r="G3181" s="3">
        <f t="shared" si="99"/>
        <v>1396.159204</v>
      </c>
    </row>
    <row r="3182" spans="1:7" x14ac:dyDescent="0.3">
      <c r="A3182" t="s">
        <v>13039</v>
      </c>
      <c r="B3182" t="s">
        <v>6391</v>
      </c>
      <c r="C3182" t="s">
        <v>6392</v>
      </c>
      <c r="D3182" s="1" t="s">
        <v>38</v>
      </c>
      <c r="E3182" s="3">
        <v>928.1</v>
      </c>
      <c r="F3182" s="3">
        <f t="shared" si="98"/>
        <v>234.53087000000005</v>
      </c>
      <c r="G3182" s="3">
        <f t="shared" si="99"/>
        <v>1162.63087</v>
      </c>
    </row>
    <row r="3183" spans="1:7" x14ac:dyDescent="0.3">
      <c r="A3183" t="s">
        <v>13039</v>
      </c>
      <c r="B3183" t="s">
        <v>6393</v>
      </c>
      <c r="C3183" t="s">
        <v>6394</v>
      </c>
      <c r="D3183" s="1" t="s">
        <v>38</v>
      </c>
      <c r="E3183" s="3">
        <v>1515.63</v>
      </c>
      <c r="F3183" s="3">
        <f t="shared" si="98"/>
        <v>382.99970100000007</v>
      </c>
      <c r="G3183" s="3">
        <f t="shared" si="99"/>
        <v>1898.6297010000003</v>
      </c>
    </row>
    <row r="3184" spans="1:7" x14ac:dyDescent="0.3">
      <c r="A3184" t="s">
        <v>13039</v>
      </c>
      <c r="B3184" t="s">
        <v>6395</v>
      </c>
      <c r="C3184" t="s">
        <v>6396</v>
      </c>
      <c r="D3184" s="1" t="s">
        <v>38</v>
      </c>
      <c r="E3184" s="3">
        <v>1249.3699999999999</v>
      </c>
      <c r="F3184" s="3">
        <f t="shared" si="98"/>
        <v>315.715799</v>
      </c>
      <c r="G3184" s="3">
        <f t="shared" si="99"/>
        <v>1565.085799</v>
      </c>
    </row>
    <row r="3185" spans="1:7" x14ac:dyDescent="0.3">
      <c r="A3185" t="s">
        <v>13039</v>
      </c>
      <c r="B3185" t="s">
        <v>6397</v>
      </c>
      <c r="C3185" t="s">
        <v>6398</v>
      </c>
      <c r="D3185" s="1" t="s">
        <v>38</v>
      </c>
      <c r="E3185" s="3">
        <v>1121.73</v>
      </c>
      <c r="F3185" s="3">
        <f t="shared" si="98"/>
        <v>283.46117100000004</v>
      </c>
      <c r="G3185" s="3">
        <f t="shared" si="99"/>
        <v>1405.1911709999999</v>
      </c>
    </row>
    <row r="3186" spans="1:7" x14ac:dyDescent="0.3">
      <c r="A3186" t="s">
        <v>13039</v>
      </c>
      <c r="B3186" t="s">
        <v>6399</v>
      </c>
      <c r="C3186" t="s">
        <v>6400</v>
      </c>
      <c r="D3186" s="1" t="s">
        <v>38</v>
      </c>
      <c r="E3186" s="3">
        <v>933.12</v>
      </c>
      <c r="F3186" s="3">
        <f t="shared" si="98"/>
        <v>235.79942400000004</v>
      </c>
      <c r="G3186" s="3">
        <f t="shared" si="99"/>
        <v>1168.9194240000002</v>
      </c>
    </row>
    <row r="3187" spans="1:7" x14ac:dyDescent="0.3">
      <c r="A3187" t="s">
        <v>13039</v>
      </c>
      <c r="B3187" t="s">
        <v>6401</v>
      </c>
      <c r="C3187" t="s">
        <v>6402</v>
      </c>
      <c r="D3187" s="1" t="s">
        <v>38</v>
      </c>
      <c r="E3187" s="3">
        <v>1528.26</v>
      </c>
      <c r="F3187" s="3">
        <f t="shared" si="98"/>
        <v>386.19130200000006</v>
      </c>
      <c r="G3187" s="3">
        <f t="shared" si="99"/>
        <v>1914.4513019999999</v>
      </c>
    </row>
    <row r="3188" spans="1:7" x14ac:dyDescent="0.3">
      <c r="A3188" t="s">
        <v>13039</v>
      </c>
      <c r="B3188" t="s">
        <v>6403</v>
      </c>
      <c r="C3188" t="s">
        <v>6404</v>
      </c>
      <c r="D3188" s="1" t="s">
        <v>38</v>
      </c>
      <c r="E3188" s="3">
        <v>1258.17</v>
      </c>
      <c r="F3188" s="3">
        <f t="shared" si="98"/>
        <v>317.93955900000009</v>
      </c>
      <c r="G3188" s="3">
        <f t="shared" si="99"/>
        <v>1576.1095590000002</v>
      </c>
    </row>
    <row r="3189" spans="1:7" x14ac:dyDescent="0.3">
      <c r="A3189" t="s">
        <v>13039</v>
      </c>
      <c r="B3189" t="s">
        <v>6405</v>
      </c>
      <c r="C3189" t="s">
        <v>6406</v>
      </c>
      <c r="D3189" s="1" t="s">
        <v>195</v>
      </c>
      <c r="E3189" s="3">
        <v>7.33</v>
      </c>
      <c r="F3189" s="3">
        <f t="shared" si="98"/>
        <v>1.8522910000000004</v>
      </c>
      <c r="G3189" s="3">
        <f t="shared" si="99"/>
        <v>9.1822910000000011</v>
      </c>
    </row>
    <row r="3190" spans="1:7" x14ac:dyDescent="0.3">
      <c r="A3190" t="s">
        <v>13039</v>
      </c>
      <c r="B3190" t="s">
        <v>6407</v>
      </c>
      <c r="C3190" t="s">
        <v>6408</v>
      </c>
      <c r="D3190" s="1" t="s">
        <v>427</v>
      </c>
      <c r="E3190" s="3">
        <v>20.89</v>
      </c>
      <c r="F3190" s="3">
        <f t="shared" si="98"/>
        <v>5.2789030000000006</v>
      </c>
      <c r="G3190" s="3">
        <f t="shared" si="99"/>
        <v>26.168903</v>
      </c>
    </row>
    <row r="3191" spans="1:7" x14ac:dyDescent="0.3">
      <c r="A3191" t="s">
        <v>13039</v>
      </c>
      <c r="B3191" t="s">
        <v>6409</v>
      </c>
      <c r="C3191" t="s">
        <v>6410</v>
      </c>
      <c r="D3191" s="1" t="s">
        <v>427</v>
      </c>
      <c r="E3191" s="3">
        <v>27.56</v>
      </c>
      <c r="F3191" s="3">
        <f t="shared" si="98"/>
        <v>6.9644120000000003</v>
      </c>
      <c r="G3191" s="3">
        <f t="shared" si="99"/>
        <v>34.524411999999998</v>
      </c>
    </row>
    <row r="3192" spans="1:7" x14ac:dyDescent="0.3">
      <c r="A3192" t="s">
        <v>13039</v>
      </c>
      <c r="B3192" t="s">
        <v>6411</v>
      </c>
      <c r="C3192" t="s">
        <v>6412</v>
      </c>
      <c r="D3192" s="1" t="s">
        <v>427</v>
      </c>
      <c r="E3192" s="3">
        <v>22.74</v>
      </c>
      <c r="F3192" s="3">
        <f t="shared" si="98"/>
        <v>5.7463980000000001</v>
      </c>
      <c r="G3192" s="3">
        <f t="shared" si="99"/>
        <v>28.486397999999998</v>
      </c>
    </row>
    <row r="3193" spans="1:7" x14ac:dyDescent="0.3">
      <c r="A3193" t="s">
        <v>13039</v>
      </c>
      <c r="B3193" t="s">
        <v>6413</v>
      </c>
      <c r="C3193" t="s">
        <v>6414</v>
      </c>
      <c r="D3193" s="1" t="s">
        <v>427</v>
      </c>
      <c r="E3193" s="3">
        <v>15.55</v>
      </c>
      <c r="F3193" s="3">
        <f t="shared" si="98"/>
        <v>3.9294850000000006</v>
      </c>
      <c r="G3193" s="3">
        <f t="shared" si="99"/>
        <v>19.479485</v>
      </c>
    </row>
    <row r="3194" spans="1:7" x14ac:dyDescent="0.3">
      <c r="A3194" t="s">
        <v>13039</v>
      </c>
      <c r="B3194" t="s">
        <v>6415</v>
      </c>
      <c r="C3194" t="s">
        <v>6416</v>
      </c>
      <c r="D3194" s="1" t="s">
        <v>427</v>
      </c>
      <c r="E3194" s="3">
        <v>11.37</v>
      </c>
      <c r="F3194" s="3">
        <f t="shared" si="98"/>
        <v>2.8731990000000001</v>
      </c>
      <c r="G3194" s="3">
        <f t="shared" si="99"/>
        <v>14.243198999999999</v>
      </c>
    </row>
    <row r="3195" spans="1:7" x14ac:dyDescent="0.3">
      <c r="A3195" t="s">
        <v>13039</v>
      </c>
      <c r="B3195" t="s">
        <v>6417</v>
      </c>
      <c r="C3195" t="s">
        <v>6418</v>
      </c>
      <c r="D3195" s="1" t="s">
        <v>427</v>
      </c>
      <c r="E3195" s="3">
        <v>47.87</v>
      </c>
      <c r="F3195" s="3">
        <f t="shared" si="98"/>
        <v>12.096749000000001</v>
      </c>
      <c r="G3195" s="3">
        <f t="shared" si="99"/>
        <v>59.966749</v>
      </c>
    </row>
    <row r="3196" spans="1:7" x14ac:dyDescent="0.3">
      <c r="A3196" t="s">
        <v>13039</v>
      </c>
      <c r="B3196" t="s">
        <v>6419</v>
      </c>
      <c r="C3196" t="s">
        <v>6420</v>
      </c>
      <c r="D3196" s="1" t="s">
        <v>6421</v>
      </c>
      <c r="E3196" s="3">
        <v>14.66</v>
      </c>
      <c r="F3196" s="3">
        <f t="shared" si="98"/>
        <v>3.7045820000000007</v>
      </c>
      <c r="G3196" s="3">
        <f t="shared" si="99"/>
        <v>18.364582000000002</v>
      </c>
    </row>
    <row r="3197" spans="1:7" x14ac:dyDescent="0.3">
      <c r="A3197" t="s">
        <v>13039</v>
      </c>
      <c r="B3197" t="s">
        <v>6422</v>
      </c>
      <c r="C3197" t="s">
        <v>6423</v>
      </c>
      <c r="D3197" s="1" t="s">
        <v>6421</v>
      </c>
      <c r="E3197" s="3">
        <v>25.11</v>
      </c>
      <c r="F3197" s="3">
        <f t="shared" si="98"/>
        <v>6.3452970000000004</v>
      </c>
      <c r="G3197" s="3">
        <f t="shared" si="99"/>
        <v>31.455297000000002</v>
      </c>
    </row>
    <row r="3198" spans="1:7" x14ac:dyDescent="0.3">
      <c r="A3198" t="s">
        <v>13039</v>
      </c>
      <c r="B3198" t="s">
        <v>6424</v>
      </c>
      <c r="C3198" t="s">
        <v>6425</v>
      </c>
      <c r="D3198" s="1" t="s">
        <v>195</v>
      </c>
      <c r="E3198" s="3">
        <v>11.6</v>
      </c>
      <c r="F3198" s="3">
        <f t="shared" si="98"/>
        <v>2.9313200000000004</v>
      </c>
      <c r="G3198" s="3">
        <f t="shared" si="99"/>
        <v>14.531320000000001</v>
      </c>
    </row>
    <row r="3199" spans="1:7" x14ac:dyDescent="0.3">
      <c r="A3199" t="s">
        <v>13039</v>
      </c>
      <c r="B3199" t="s">
        <v>6426</v>
      </c>
      <c r="C3199" t="s">
        <v>6427</v>
      </c>
      <c r="D3199" s="1" t="s">
        <v>38</v>
      </c>
      <c r="E3199" s="3">
        <v>109.21</v>
      </c>
      <c r="F3199" s="3">
        <f t="shared" si="98"/>
        <v>27.597367000000002</v>
      </c>
      <c r="G3199" s="3">
        <f t="shared" si="99"/>
        <v>136.807367</v>
      </c>
    </row>
    <row r="3200" spans="1:7" x14ac:dyDescent="0.3">
      <c r="A3200" t="s">
        <v>13039</v>
      </c>
      <c r="B3200" t="s">
        <v>6428</v>
      </c>
      <c r="C3200" t="s">
        <v>6429</v>
      </c>
      <c r="D3200" s="1" t="s">
        <v>38</v>
      </c>
      <c r="E3200" s="3">
        <v>102.82</v>
      </c>
      <c r="F3200" s="3">
        <f t="shared" si="98"/>
        <v>25.982614000000002</v>
      </c>
      <c r="G3200" s="3">
        <f t="shared" si="99"/>
        <v>128.80261400000001</v>
      </c>
    </row>
    <row r="3201" spans="1:7" x14ac:dyDescent="0.3">
      <c r="A3201" t="s">
        <v>13039</v>
      </c>
      <c r="B3201" t="s">
        <v>6430</v>
      </c>
      <c r="C3201" t="s">
        <v>6431</v>
      </c>
      <c r="D3201" s="1" t="s">
        <v>427</v>
      </c>
      <c r="E3201" s="3">
        <v>158.11000000000001</v>
      </c>
      <c r="F3201" s="3">
        <f t="shared" si="98"/>
        <v>39.954397000000007</v>
      </c>
      <c r="G3201" s="3">
        <f t="shared" si="99"/>
        <v>198.06439700000001</v>
      </c>
    </row>
    <row r="3202" spans="1:7" x14ac:dyDescent="0.3">
      <c r="A3202" t="s">
        <v>13039</v>
      </c>
      <c r="B3202" t="s">
        <v>6432</v>
      </c>
      <c r="C3202" t="s">
        <v>6433</v>
      </c>
      <c r="D3202" s="1" t="s">
        <v>427</v>
      </c>
      <c r="E3202" s="3">
        <v>155.31</v>
      </c>
      <c r="F3202" s="3">
        <f t="shared" si="98"/>
        <v>39.246837000000006</v>
      </c>
      <c r="G3202" s="3">
        <f t="shared" si="99"/>
        <v>194.556837</v>
      </c>
    </row>
    <row r="3203" spans="1:7" x14ac:dyDescent="0.3">
      <c r="A3203" t="s">
        <v>13039</v>
      </c>
      <c r="B3203" t="s">
        <v>6434</v>
      </c>
      <c r="C3203" t="s">
        <v>6435</v>
      </c>
      <c r="D3203" s="1" t="s">
        <v>427</v>
      </c>
      <c r="E3203" s="3">
        <v>16.29</v>
      </c>
      <c r="F3203" s="3">
        <f t="shared" si="98"/>
        <v>4.1164830000000006</v>
      </c>
      <c r="G3203" s="3">
        <f t="shared" si="99"/>
        <v>20.406483000000001</v>
      </c>
    </row>
    <row r="3204" spans="1:7" x14ac:dyDescent="0.3">
      <c r="A3204" t="s">
        <v>13039</v>
      </c>
      <c r="B3204" t="s">
        <v>6436</v>
      </c>
      <c r="C3204" t="s">
        <v>6437</v>
      </c>
      <c r="D3204" s="1" t="s">
        <v>427</v>
      </c>
      <c r="E3204" s="3">
        <v>13.49</v>
      </c>
      <c r="F3204" s="3">
        <f t="shared" si="98"/>
        <v>3.4089230000000006</v>
      </c>
      <c r="G3204" s="3">
        <f t="shared" si="99"/>
        <v>16.898923</v>
      </c>
    </row>
    <row r="3205" spans="1:7" x14ac:dyDescent="0.3">
      <c r="A3205" t="s">
        <v>13039</v>
      </c>
      <c r="B3205" t="s">
        <v>6438</v>
      </c>
      <c r="C3205" t="s">
        <v>6439</v>
      </c>
      <c r="D3205" s="1" t="s">
        <v>427</v>
      </c>
      <c r="E3205" s="3">
        <v>191.06</v>
      </c>
      <c r="F3205" s="3">
        <f t="shared" si="98"/>
        <v>48.280862000000006</v>
      </c>
      <c r="G3205" s="3">
        <f t="shared" si="99"/>
        <v>239.34086200000002</v>
      </c>
    </row>
    <row r="3206" spans="1:7" x14ac:dyDescent="0.3">
      <c r="A3206" t="s">
        <v>13039</v>
      </c>
      <c r="B3206" t="s">
        <v>6440</v>
      </c>
      <c r="C3206" t="s">
        <v>6441</v>
      </c>
      <c r="D3206" s="1" t="s">
        <v>427</v>
      </c>
      <c r="E3206" s="3">
        <v>76.11</v>
      </c>
      <c r="F3206" s="3">
        <f t="shared" si="98"/>
        <v>19.232997000000001</v>
      </c>
      <c r="G3206" s="3">
        <f t="shared" si="99"/>
        <v>95.342996999999997</v>
      </c>
    </row>
    <row r="3207" spans="1:7" x14ac:dyDescent="0.3">
      <c r="A3207" t="s">
        <v>13039</v>
      </c>
      <c r="B3207" t="s">
        <v>6442</v>
      </c>
      <c r="C3207" t="s">
        <v>6443</v>
      </c>
      <c r="D3207" s="1" t="s">
        <v>427</v>
      </c>
      <c r="E3207" s="3">
        <v>169.35</v>
      </c>
      <c r="F3207" s="3">
        <f t="shared" ref="F3207:F3270" si="100">+E3207*$F$4</f>
        <v>42.794745000000006</v>
      </c>
      <c r="G3207" s="3">
        <f t="shared" ref="G3207:G3270" si="101">+E3207+F3207</f>
        <v>212.144745</v>
      </c>
    </row>
    <row r="3208" spans="1:7" x14ac:dyDescent="0.3">
      <c r="A3208" t="s">
        <v>13039</v>
      </c>
      <c r="B3208" t="s">
        <v>6444</v>
      </c>
      <c r="C3208" t="s">
        <v>6445</v>
      </c>
      <c r="D3208" s="1" t="s">
        <v>195</v>
      </c>
      <c r="E3208" s="3">
        <v>108.61</v>
      </c>
      <c r="F3208" s="3">
        <f t="shared" si="100"/>
        <v>27.445747000000004</v>
      </c>
      <c r="G3208" s="3">
        <f t="shared" si="101"/>
        <v>136.055747</v>
      </c>
    </row>
    <row r="3209" spans="1:7" x14ac:dyDescent="0.3">
      <c r="A3209" t="s">
        <v>13039</v>
      </c>
      <c r="B3209" t="s">
        <v>6446</v>
      </c>
      <c r="C3209" t="s">
        <v>6447</v>
      </c>
      <c r="D3209" s="1" t="s">
        <v>195</v>
      </c>
      <c r="E3209" s="3">
        <v>90.69</v>
      </c>
      <c r="F3209" s="3">
        <f t="shared" si="100"/>
        <v>22.917363000000002</v>
      </c>
      <c r="G3209" s="3">
        <f t="shared" si="101"/>
        <v>113.60736299999999</v>
      </c>
    </row>
    <row r="3210" spans="1:7" x14ac:dyDescent="0.3">
      <c r="A3210" t="s">
        <v>13039</v>
      </c>
      <c r="B3210" t="s">
        <v>6448</v>
      </c>
      <c r="C3210" t="s">
        <v>6449</v>
      </c>
      <c r="D3210" s="1" t="s">
        <v>195</v>
      </c>
      <c r="E3210" s="3">
        <v>69.98</v>
      </c>
      <c r="F3210" s="3">
        <f t="shared" si="100"/>
        <v>17.683946000000002</v>
      </c>
      <c r="G3210" s="3">
        <f t="shared" si="101"/>
        <v>87.66394600000001</v>
      </c>
    </row>
    <row r="3211" spans="1:7" x14ac:dyDescent="0.3">
      <c r="A3211" t="s">
        <v>13039</v>
      </c>
      <c r="B3211" t="s">
        <v>6450</v>
      </c>
      <c r="C3211" t="s">
        <v>6451</v>
      </c>
      <c r="D3211" s="1" t="s">
        <v>195</v>
      </c>
      <c r="E3211" s="3">
        <v>52.01</v>
      </c>
      <c r="F3211" s="3">
        <f t="shared" si="100"/>
        <v>13.142927000000002</v>
      </c>
      <c r="G3211" s="3">
        <f t="shared" si="101"/>
        <v>65.152927000000005</v>
      </c>
    </row>
    <row r="3212" spans="1:7" x14ac:dyDescent="0.3">
      <c r="A3212" t="s">
        <v>13039</v>
      </c>
      <c r="B3212" t="s">
        <v>6452</v>
      </c>
      <c r="C3212" t="s">
        <v>6453</v>
      </c>
      <c r="D3212" s="1" t="s">
        <v>195</v>
      </c>
      <c r="E3212" s="3">
        <v>79.5</v>
      </c>
      <c r="F3212" s="3">
        <f t="shared" si="100"/>
        <v>20.089650000000002</v>
      </c>
      <c r="G3212" s="3">
        <f t="shared" si="101"/>
        <v>99.589650000000006</v>
      </c>
    </row>
    <row r="3213" spans="1:7" x14ac:dyDescent="0.3">
      <c r="A3213" t="s">
        <v>13039</v>
      </c>
      <c r="B3213" t="s">
        <v>6454</v>
      </c>
      <c r="C3213" t="s">
        <v>6455</v>
      </c>
      <c r="D3213" s="1" t="s">
        <v>195</v>
      </c>
      <c r="E3213" s="3">
        <v>64.349999999999994</v>
      </c>
      <c r="F3213" s="3">
        <f t="shared" si="100"/>
        <v>16.261245000000002</v>
      </c>
      <c r="G3213" s="3">
        <f t="shared" si="101"/>
        <v>80.611244999999997</v>
      </c>
    </row>
    <row r="3214" spans="1:7" x14ac:dyDescent="0.3">
      <c r="A3214" t="s">
        <v>13039</v>
      </c>
      <c r="B3214" t="s">
        <v>6456</v>
      </c>
      <c r="C3214" t="s">
        <v>6457</v>
      </c>
      <c r="D3214" s="1" t="s">
        <v>195</v>
      </c>
      <c r="E3214" s="3">
        <v>59.79</v>
      </c>
      <c r="F3214" s="3">
        <f t="shared" si="100"/>
        <v>15.108933000000002</v>
      </c>
      <c r="G3214" s="3">
        <f t="shared" si="101"/>
        <v>74.898933</v>
      </c>
    </row>
    <row r="3215" spans="1:7" x14ac:dyDescent="0.3">
      <c r="A3215" t="s">
        <v>13039</v>
      </c>
      <c r="B3215" t="s">
        <v>6458</v>
      </c>
      <c r="C3215" t="s">
        <v>6459</v>
      </c>
      <c r="D3215" s="1" t="s">
        <v>195</v>
      </c>
      <c r="E3215" s="3">
        <v>44.61</v>
      </c>
      <c r="F3215" s="3">
        <f t="shared" si="100"/>
        <v>11.272947000000002</v>
      </c>
      <c r="G3215" s="3">
        <f t="shared" si="101"/>
        <v>55.882947000000001</v>
      </c>
    </row>
    <row r="3216" spans="1:7" x14ac:dyDescent="0.3">
      <c r="A3216" t="s">
        <v>13039</v>
      </c>
      <c r="B3216" t="s">
        <v>6460</v>
      </c>
      <c r="C3216" t="s">
        <v>6461</v>
      </c>
      <c r="D3216" s="1" t="s">
        <v>195</v>
      </c>
      <c r="E3216" s="3">
        <v>63.87</v>
      </c>
      <c r="F3216" s="3">
        <f t="shared" si="100"/>
        <v>16.139949000000001</v>
      </c>
      <c r="G3216" s="3">
        <f t="shared" si="101"/>
        <v>80.009949000000006</v>
      </c>
    </row>
    <row r="3217" spans="1:7" x14ac:dyDescent="0.3">
      <c r="A3217" t="s">
        <v>13039</v>
      </c>
      <c r="B3217" t="s">
        <v>6462</v>
      </c>
      <c r="C3217" t="s">
        <v>6463</v>
      </c>
      <c r="D3217" s="1" t="s">
        <v>195</v>
      </c>
      <c r="E3217" s="3">
        <v>56.52</v>
      </c>
      <c r="F3217" s="3">
        <f t="shared" si="100"/>
        <v>14.282604000000003</v>
      </c>
      <c r="G3217" s="3">
        <f t="shared" si="101"/>
        <v>70.802604000000002</v>
      </c>
    </row>
    <row r="3218" spans="1:7" x14ac:dyDescent="0.3">
      <c r="A3218" t="s">
        <v>13039</v>
      </c>
      <c r="B3218" t="s">
        <v>6464</v>
      </c>
      <c r="C3218" t="s">
        <v>6465</v>
      </c>
      <c r="D3218" s="1" t="s">
        <v>195</v>
      </c>
      <c r="E3218" s="3">
        <v>28.24</v>
      </c>
      <c r="F3218" s="3">
        <f t="shared" si="100"/>
        <v>7.136248000000001</v>
      </c>
      <c r="G3218" s="3">
        <f t="shared" si="101"/>
        <v>35.376247999999997</v>
      </c>
    </row>
    <row r="3219" spans="1:7" x14ac:dyDescent="0.3">
      <c r="A3219" t="s">
        <v>13039</v>
      </c>
      <c r="B3219" t="s">
        <v>6466</v>
      </c>
      <c r="C3219" t="s">
        <v>6467</v>
      </c>
      <c r="D3219" s="1" t="s">
        <v>195</v>
      </c>
      <c r="E3219" s="3">
        <v>20.87</v>
      </c>
      <c r="F3219" s="3">
        <f t="shared" si="100"/>
        <v>5.2738490000000011</v>
      </c>
      <c r="G3219" s="3">
        <f t="shared" si="101"/>
        <v>26.143849000000003</v>
      </c>
    </row>
    <row r="3220" spans="1:7" x14ac:dyDescent="0.3">
      <c r="A3220" t="s">
        <v>13039</v>
      </c>
      <c r="B3220" t="s">
        <v>6468</v>
      </c>
      <c r="C3220" t="s">
        <v>6469</v>
      </c>
      <c r="D3220" s="1" t="s">
        <v>195</v>
      </c>
      <c r="E3220" s="3">
        <v>40.97</v>
      </c>
      <c r="F3220" s="3">
        <f t="shared" si="100"/>
        <v>10.353119000000001</v>
      </c>
      <c r="G3220" s="3">
        <f t="shared" si="101"/>
        <v>51.323118999999998</v>
      </c>
    </row>
    <row r="3221" spans="1:7" x14ac:dyDescent="0.3">
      <c r="A3221" t="s">
        <v>13039</v>
      </c>
      <c r="B3221" t="s">
        <v>6470</v>
      </c>
      <c r="C3221" t="s">
        <v>6471</v>
      </c>
      <c r="D3221" s="1" t="s">
        <v>195</v>
      </c>
      <c r="E3221" s="3">
        <v>35.56</v>
      </c>
      <c r="F3221" s="3">
        <f t="shared" si="100"/>
        <v>8.9860120000000023</v>
      </c>
      <c r="G3221" s="3">
        <f t="shared" si="101"/>
        <v>44.546012000000005</v>
      </c>
    </row>
    <row r="3222" spans="1:7" x14ac:dyDescent="0.3">
      <c r="A3222" t="s">
        <v>13039</v>
      </c>
      <c r="B3222" t="s">
        <v>6472</v>
      </c>
      <c r="C3222" t="s">
        <v>6473</v>
      </c>
      <c r="D3222" s="1" t="s">
        <v>195</v>
      </c>
      <c r="E3222" s="3">
        <v>21.12</v>
      </c>
      <c r="F3222" s="3">
        <f t="shared" si="100"/>
        <v>5.3370240000000013</v>
      </c>
      <c r="G3222" s="3">
        <f t="shared" si="101"/>
        <v>26.457024000000004</v>
      </c>
    </row>
    <row r="3223" spans="1:7" x14ac:dyDescent="0.3">
      <c r="A3223" t="s">
        <v>13039</v>
      </c>
      <c r="B3223" t="s">
        <v>6474</v>
      </c>
      <c r="C3223" t="s">
        <v>6475</v>
      </c>
      <c r="D3223" s="1" t="s">
        <v>195</v>
      </c>
      <c r="E3223" s="3">
        <v>15.71</v>
      </c>
      <c r="F3223" s="3">
        <f t="shared" si="100"/>
        <v>3.9699170000000006</v>
      </c>
      <c r="G3223" s="3">
        <f t="shared" si="101"/>
        <v>19.679917000000003</v>
      </c>
    </row>
    <row r="3224" spans="1:7" x14ac:dyDescent="0.3">
      <c r="A3224" t="s">
        <v>13039</v>
      </c>
      <c r="B3224" t="s">
        <v>6476</v>
      </c>
      <c r="C3224" t="s">
        <v>6477</v>
      </c>
      <c r="D3224" s="1" t="s">
        <v>195</v>
      </c>
      <c r="E3224" s="3">
        <v>55.68</v>
      </c>
      <c r="F3224" s="3">
        <f t="shared" si="100"/>
        <v>14.070336000000001</v>
      </c>
      <c r="G3224" s="3">
        <f t="shared" si="101"/>
        <v>69.750336000000004</v>
      </c>
    </row>
    <row r="3225" spans="1:7" x14ac:dyDescent="0.3">
      <c r="A3225" t="s">
        <v>13039</v>
      </c>
      <c r="B3225" t="s">
        <v>6478</v>
      </c>
      <c r="C3225" t="s">
        <v>6479</v>
      </c>
      <c r="D3225" s="1" t="s">
        <v>195</v>
      </c>
      <c r="E3225" s="3">
        <v>49.83</v>
      </c>
      <c r="F3225" s="3">
        <f t="shared" si="100"/>
        <v>12.592041000000002</v>
      </c>
      <c r="G3225" s="3">
        <f t="shared" si="101"/>
        <v>62.422041</v>
      </c>
    </row>
    <row r="3226" spans="1:7" x14ac:dyDescent="0.3">
      <c r="A3226" t="s">
        <v>13039</v>
      </c>
      <c r="B3226" t="s">
        <v>6480</v>
      </c>
      <c r="C3226" t="s">
        <v>6481</v>
      </c>
      <c r="D3226" s="1" t="s">
        <v>195</v>
      </c>
      <c r="E3226" s="3">
        <v>22.2</v>
      </c>
      <c r="F3226" s="3">
        <f t="shared" si="100"/>
        <v>5.6099400000000008</v>
      </c>
      <c r="G3226" s="3">
        <f t="shared" si="101"/>
        <v>27.809940000000001</v>
      </c>
    </row>
    <row r="3227" spans="1:7" x14ac:dyDescent="0.3">
      <c r="A3227" t="s">
        <v>13039</v>
      </c>
      <c r="B3227" t="s">
        <v>6482</v>
      </c>
      <c r="C3227" t="s">
        <v>6483</v>
      </c>
      <c r="D3227" s="1" t="s">
        <v>195</v>
      </c>
      <c r="E3227" s="3">
        <v>16.34</v>
      </c>
      <c r="F3227" s="3">
        <f t="shared" si="100"/>
        <v>4.129118000000001</v>
      </c>
      <c r="G3227" s="3">
        <f t="shared" si="101"/>
        <v>20.469118000000002</v>
      </c>
    </row>
    <row r="3228" spans="1:7" x14ac:dyDescent="0.3">
      <c r="A3228" t="s">
        <v>13039</v>
      </c>
      <c r="B3228" t="s">
        <v>6484</v>
      </c>
      <c r="C3228" t="s">
        <v>6485</v>
      </c>
      <c r="D3228" s="1" t="s">
        <v>195</v>
      </c>
      <c r="E3228" s="3">
        <v>31.99</v>
      </c>
      <c r="F3228" s="3">
        <f t="shared" si="100"/>
        <v>8.0838730000000005</v>
      </c>
      <c r="G3228" s="3">
        <f t="shared" si="101"/>
        <v>40.073872999999999</v>
      </c>
    </row>
    <row r="3229" spans="1:7" x14ac:dyDescent="0.3">
      <c r="A3229" t="s">
        <v>13039</v>
      </c>
      <c r="B3229" t="s">
        <v>6486</v>
      </c>
      <c r="C3229" t="s">
        <v>6487</v>
      </c>
      <c r="D3229" s="1" t="s">
        <v>195</v>
      </c>
      <c r="E3229" s="3">
        <v>28.04</v>
      </c>
      <c r="F3229" s="3">
        <f t="shared" si="100"/>
        <v>7.0857080000000012</v>
      </c>
      <c r="G3229" s="3">
        <f t="shared" si="101"/>
        <v>35.125708000000003</v>
      </c>
    </row>
    <row r="3230" spans="1:7" x14ac:dyDescent="0.3">
      <c r="A3230" t="s">
        <v>13039</v>
      </c>
      <c r="B3230" t="s">
        <v>6488</v>
      </c>
      <c r="C3230" t="s">
        <v>6489</v>
      </c>
      <c r="D3230" s="1" t="s">
        <v>195</v>
      </c>
      <c r="E3230" s="3">
        <v>15.21</v>
      </c>
      <c r="F3230" s="3">
        <f t="shared" si="100"/>
        <v>3.8435670000000006</v>
      </c>
      <c r="G3230" s="3">
        <f t="shared" si="101"/>
        <v>19.053567000000001</v>
      </c>
    </row>
    <row r="3231" spans="1:7" x14ac:dyDescent="0.3">
      <c r="A3231" t="s">
        <v>13039</v>
      </c>
      <c r="B3231" t="s">
        <v>6490</v>
      </c>
      <c r="C3231" t="s">
        <v>6491</v>
      </c>
      <c r="D3231" s="1" t="s">
        <v>195</v>
      </c>
      <c r="E3231" s="3">
        <v>11.27</v>
      </c>
      <c r="F3231" s="3">
        <f t="shared" si="100"/>
        <v>2.8479290000000002</v>
      </c>
      <c r="G3231" s="3">
        <f t="shared" si="101"/>
        <v>14.117929</v>
      </c>
    </row>
    <row r="3232" spans="1:7" x14ac:dyDescent="0.3">
      <c r="A3232" t="s">
        <v>13039</v>
      </c>
      <c r="B3232" t="s">
        <v>6492</v>
      </c>
      <c r="C3232" t="s">
        <v>6493</v>
      </c>
      <c r="D3232" s="1" t="s">
        <v>195</v>
      </c>
      <c r="E3232" s="3">
        <v>53.62</v>
      </c>
      <c r="F3232" s="3">
        <f t="shared" si="100"/>
        <v>13.549774000000001</v>
      </c>
      <c r="G3232" s="3">
        <f t="shared" si="101"/>
        <v>67.169774000000004</v>
      </c>
    </row>
    <row r="3233" spans="1:7" x14ac:dyDescent="0.3">
      <c r="A3233" t="s">
        <v>13039</v>
      </c>
      <c r="B3233" t="s">
        <v>6494</v>
      </c>
      <c r="C3233" t="s">
        <v>6495</v>
      </c>
      <c r="D3233" s="1" t="s">
        <v>195</v>
      </c>
      <c r="E3233" s="3">
        <v>46.86</v>
      </c>
      <c r="F3233" s="3">
        <f t="shared" si="100"/>
        <v>11.841522000000001</v>
      </c>
      <c r="G3233" s="3">
        <f t="shared" si="101"/>
        <v>58.701521999999997</v>
      </c>
    </row>
    <row r="3234" spans="1:7" x14ac:dyDescent="0.3">
      <c r="A3234" t="s">
        <v>13039</v>
      </c>
      <c r="B3234" t="s">
        <v>6496</v>
      </c>
      <c r="C3234" t="s">
        <v>6497</v>
      </c>
      <c r="D3234" s="1" t="s">
        <v>195</v>
      </c>
      <c r="E3234" s="3">
        <v>25.89</v>
      </c>
      <c r="F3234" s="3">
        <f t="shared" si="100"/>
        <v>6.5424030000000011</v>
      </c>
      <c r="G3234" s="3">
        <f t="shared" si="101"/>
        <v>32.432403000000001</v>
      </c>
    </row>
    <row r="3235" spans="1:7" x14ac:dyDescent="0.3">
      <c r="A3235" t="s">
        <v>13039</v>
      </c>
      <c r="B3235" t="s">
        <v>6498</v>
      </c>
      <c r="C3235" t="s">
        <v>6499</v>
      </c>
      <c r="D3235" s="1" t="s">
        <v>195</v>
      </c>
      <c r="E3235" s="3">
        <v>19.13</v>
      </c>
      <c r="F3235" s="3">
        <f t="shared" si="100"/>
        <v>4.8341510000000003</v>
      </c>
      <c r="G3235" s="3">
        <f t="shared" si="101"/>
        <v>23.964151000000001</v>
      </c>
    </row>
    <row r="3236" spans="1:7" x14ac:dyDescent="0.3">
      <c r="A3236" t="s">
        <v>13039</v>
      </c>
      <c r="B3236" t="s">
        <v>6500</v>
      </c>
      <c r="C3236" t="s">
        <v>6501</v>
      </c>
      <c r="D3236" s="1" t="s">
        <v>195</v>
      </c>
      <c r="E3236" s="3">
        <v>90.09</v>
      </c>
      <c r="F3236" s="3">
        <f t="shared" si="100"/>
        <v>22.765743000000004</v>
      </c>
      <c r="G3236" s="3">
        <f t="shared" si="101"/>
        <v>112.855743</v>
      </c>
    </row>
    <row r="3237" spans="1:7" x14ac:dyDescent="0.3">
      <c r="A3237" t="s">
        <v>13039</v>
      </c>
      <c r="B3237" t="s">
        <v>6502</v>
      </c>
      <c r="C3237" t="s">
        <v>6503</v>
      </c>
      <c r="D3237" s="1" t="s">
        <v>195</v>
      </c>
      <c r="E3237" s="3">
        <v>77.48</v>
      </c>
      <c r="F3237" s="3">
        <f t="shared" si="100"/>
        <v>19.579196000000003</v>
      </c>
      <c r="G3237" s="3">
        <f t="shared" si="101"/>
        <v>97.059196000000014</v>
      </c>
    </row>
    <row r="3238" spans="1:7" x14ac:dyDescent="0.3">
      <c r="A3238" t="s">
        <v>13039</v>
      </c>
      <c r="B3238" t="s">
        <v>6504</v>
      </c>
      <c r="C3238" t="s">
        <v>6505</v>
      </c>
      <c r="D3238" s="1" t="s">
        <v>195</v>
      </c>
      <c r="E3238" s="3">
        <v>47.13</v>
      </c>
      <c r="F3238" s="3">
        <f t="shared" si="100"/>
        <v>11.909751000000002</v>
      </c>
      <c r="G3238" s="3">
        <f t="shared" si="101"/>
        <v>59.039751000000003</v>
      </c>
    </row>
    <row r="3239" spans="1:7" x14ac:dyDescent="0.3">
      <c r="A3239" t="s">
        <v>13039</v>
      </c>
      <c r="B3239" t="s">
        <v>6506</v>
      </c>
      <c r="C3239" t="s">
        <v>6507</v>
      </c>
      <c r="D3239" s="1" t="s">
        <v>195</v>
      </c>
      <c r="E3239" s="3">
        <v>34.479999999999997</v>
      </c>
      <c r="F3239" s="3">
        <f t="shared" si="100"/>
        <v>8.7130960000000002</v>
      </c>
      <c r="G3239" s="3">
        <f t="shared" si="101"/>
        <v>43.193095999999997</v>
      </c>
    </row>
    <row r="3240" spans="1:7" x14ac:dyDescent="0.3">
      <c r="A3240" t="s">
        <v>13039</v>
      </c>
      <c r="B3240" t="s">
        <v>6508</v>
      </c>
      <c r="C3240" t="s">
        <v>6509</v>
      </c>
      <c r="D3240" s="1" t="s">
        <v>195</v>
      </c>
      <c r="E3240" s="3">
        <v>16.559999999999999</v>
      </c>
      <c r="F3240" s="3">
        <f t="shared" si="100"/>
        <v>4.1847120000000002</v>
      </c>
      <c r="G3240" s="3">
        <f t="shared" si="101"/>
        <v>20.744712</v>
      </c>
    </row>
    <row r="3241" spans="1:7" x14ac:dyDescent="0.3">
      <c r="A3241" t="s">
        <v>13039</v>
      </c>
      <c r="B3241" t="s">
        <v>6510</v>
      </c>
      <c r="C3241" t="s">
        <v>6511</v>
      </c>
      <c r="D3241" s="1" t="s">
        <v>195</v>
      </c>
      <c r="E3241" s="3">
        <v>41.1</v>
      </c>
      <c r="F3241" s="3">
        <f t="shared" si="100"/>
        <v>10.385970000000002</v>
      </c>
      <c r="G3241" s="3">
        <f t="shared" si="101"/>
        <v>51.485970000000002</v>
      </c>
    </row>
    <row r="3242" spans="1:7" x14ac:dyDescent="0.3">
      <c r="A3242" t="s">
        <v>13039</v>
      </c>
      <c r="B3242" t="s">
        <v>6512</v>
      </c>
      <c r="C3242" t="s">
        <v>6513</v>
      </c>
      <c r="D3242" s="1" t="s">
        <v>195</v>
      </c>
      <c r="E3242" s="3">
        <v>66.47</v>
      </c>
      <c r="F3242" s="3">
        <f t="shared" si="100"/>
        <v>16.796969000000001</v>
      </c>
      <c r="G3242" s="3">
        <f t="shared" si="101"/>
        <v>83.266969000000003</v>
      </c>
    </row>
    <row r="3243" spans="1:7" x14ac:dyDescent="0.3">
      <c r="A3243" t="s">
        <v>13039</v>
      </c>
      <c r="B3243" t="s">
        <v>6514</v>
      </c>
      <c r="C3243" t="s">
        <v>6515</v>
      </c>
      <c r="D3243" s="1" t="s">
        <v>195</v>
      </c>
      <c r="E3243" s="3">
        <v>85.94</v>
      </c>
      <c r="F3243" s="3">
        <f t="shared" si="100"/>
        <v>21.717038000000002</v>
      </c>
      <c r="G3243" s="3">
        <f t="shared" si="101"/>
        <v>107.657038</v>
      </c>
    </row>
    <row r="3244" spans="1:7" x14ac:dyDescent="0.3">
      <c r="A3244" t="s">
        <v>13039</v>
      </c>
      <c r="B3244" t="s">
        <v>6516</v>
      </c>
      <c r="C3244" t="s">
        <v>6517</v>
      </c>
      <c r="D3244" s="1" t="s">
        <v>38</v>
      </c>
      <c r="E3244" s="3">
        <v>2205.0500000000002</v>
      </c>
      <c r="F3244" s="3">
        <f t="shared" si="100"/>
        <v>557.21613500000012</v>
      </c>
      <c r="G3244" s="3">
        <f t="shared" si="101"/>
        <v>2762.2661350000003</v>
      </c>
    </row>
    <row r="3245" spans="1:7" x14ac:dyDescent="0.3">
      <c r="A3245" t="s">
        <v>13039</v>
      </c>
      <c r="B3245" t="s">
        <v>6518</v>
      </c>
      <c r="C3245" t="s">
        <v>6519</v>
      </c>
      <c r="D3245" s="1" t="s">
        <v>38</v>
      </c>
      <c r="E3245" s="3">
        <v>1901.07</v>
      </c>
      <c r="F3245" s="3">
        <f t="shared" si="100"/>
        <v>480.40038900000008</v>
      </c>
      <c r="G3245" s="3">
        <f t="shared" si="101"/>
        <v>2381.4703890000001</v>
      </c>
    </row>
    <row r="3246" spans="1:7" x14ac:dyDescent="0.3">
      <c r="A3246" t="s">
        <v>13039</v>
      </c>
      <c r="B3246" t="s">
        <v>6520</v>
      </c>
      <c r="C3246" t="s">
        <v>6521</v>
      </c>
      <c r="D3246" s="1" t="s">
        <v>38</v>
      </c>
      <c r="E3246" s="3">
        <v>2172.0500000000002</v>
      </c>
      <c r="F3246" s="3">
        <f t="shared" si="100"/>
        <v>548.87703500000009</v>
      </c>
      <c r="G3246" s="3">
        <f t="shared" si="101"/>
        <v>2720.9270350000002</v>
      </c>
    </row>
    <row r="3247" spans="1:7" x14ac:dyDescent="0.3">
      <c r="A3247" t="s">
        <v>13039</v>
      </c>
      <c r="B3247" t="s">
        <v>6522</v>
      </c>
      <c r="C3247" t="s">
        <v>6523</v>
      </c>
      <c r="D3247" s="1" t="s">
        <v>38</v>
      </c>
      <c r="E3247" s="3">
        <v>1880.3</v>
      </c>
      <c r="F3247" s="3">
        <f t="shared" si="100"/>
        <v>475.15181000000007</v>
      </c>
      <c r="G3247" s="3">
        <f t="shared" si="101"/>
        <v>2355.45181</v>
      </c>
    </row>
    <row r="3248" spans="1:7" x14ac:dyDescent="0.3">
      <c r="A3248" t="s">
        <v>13039</v>
      </c>
      <c r="B3248" t="s">
        <v>6524</v>
      </c>
      <c r="C3248" t="s">
        <v>6525</v>
      </c>
      <c r="D3248" s="1" t="s">
        <v>38</v>
      </c>
      <c r="E3248" s="3">
        <v>2492.5500000000002</v>
      </c>
      <c r="F3248" s="3">
        <f t="shared" si="100"/>
        <v>629.86738500000013</v>
      </c>
      <c r="G3248" s="3">
        <f t="shared" si="101"/>
        <v>3122.4173850000002</v>
      </c>
    </row>
    <row r="3249" spans="1:7" x14ac:dyDescent="0.3">
      <c r="A3249" t="s">
        <v>13039</v>
      </c>
      <c r="B3249" t="s">
        <v>6526</v>
      </c>
      <c r="C3249" t="s">
        <v>6527</v>
      </c>
      <c r="D3249" s="1" t="s">
        <v>38</v>
      </c>
      <c r="E3249" s="3">
        <v>2129.17</v>
      </c>
      <c r="F3249" s="3">
        <f t="shared" si="100"/>
        <v>538.04125900000008</v>
      </c>
      <c r="G3249" s="3">
        <f t="shared" si="101"/>
        <v>2667.2112590000002</v>
      </c>
    </row>
    <row r="3250" spans="1:7" x14ac:dyDescent="0.3">
      <c r="A3250" t="s">
        <v>13039</v>
      </c>
      <c r="B3250" t="s">
        <v>6528</v>
      </c>
      <c r="C3250" t="s">
        <v>6529</v>
      </c>
      <c r="D3250" s="1" t="s">
        <v>38</v>
      </c>
      <c r="E3250" s="3">
        <v>2986.35</v>
      </c>
      <c r="F3250" s="3">
        <f t="shared" si="100"/>
        <v>754.65064500000005</v>
      </c>
      <c r="G3250" s="3">
        <f t="shared" si="101"/>
        <v>3741.0006450000001</v>
      </c>
    </row>
    <row r="3251" spans="1:7" x14ac:dyDescent="0.3">
      <c r="A3251" t="s">
        <v>13039</v>
      </c>
      <c r="B3251" t="s">
        <v>6530</v>
      </c>
      <c r="C3251" t="s">
        <v>6531</v>
      </c>
      <c r="D3251" s="1" t="s">
        <v>38</v>
      </c>
      <c r="E3251" s="3">
        <v>2553.1</v>
      </c>
      <c r="F3251" s="3">
        <f t="shared" si="100"/>
        <v>645.1683700000001</v>
      </c>
      <c r="G3251" s="3">
        <f t="shared" si="101"/>
        <v>3198.2683699999998</v>
      </c>
    </row>
    <row r="3252" spans="1:7" x14ac:dyDescent="0.3">
      <c r="A3252" t="s">
        <v>13039</v>
      </c>
      <c r="B3252" t="s">
        <v>6532</v>
      </c>
      <c r="C3252" t="s">
        <v>6533</v>
      </c>
      <c r="D3252" s="1" t="s">
        <v>38</v>
      </c>
      <c r="E3252" s="3">
        <v>3521.87</v>
      </c>
      <c r="F3252" s="3">
        <f t="shared" si="100"/>
        <v>889.97654900000009</v>
      </c>
      <c r="G3252" s="3">
        <f t="shared" si="101"/>
        <v>4411.8465489999999</v>
      </c>
    </row>
    <row r="3253" spans="1:7" x14ac:dyDescent="0.3">
      <c r="A3253" t="s">
        <v>13039</v>
      </c>
      <c r="B3253" t="s">
        <v>6534</v>
      </c>
      <c r="C3253" t="s">
        <v>6535</v>
      </c>
      <c r="D3253" s="1" t="s">
        <v>38</v>
      </c>
      <c r="E3253" s="3">
        <v>3016.98</v>
      </c>
      <c r="F3253" s="3">
        <f t="shared" si="100"/>
        <v>762.39084600000012</v>
      </c>
      <c r="G3253" s="3">
        <f t="shared" si="101"/>
        <v>3779.3708460000003</v>
      </c>
    </row>
    <row r="3254" spans="1:7" x14ac:dyDescent="0.3">
      <c r="A3254" t="s">
        <v>13039</v>
      </c>
      <c r="B3254" t="s">
        <v>6536</v>
      </c>
      <c r="C3254" t="s">
        <v>6537</v>
      </c>
      <c r="D3254" s="1" t="s">
        <v>38</v>
      </c>
      <c r="E3254" s="3">
        <v>4392.4399999999996</v>
      </c>
      <c r="F3254" s="3">
        <f t="shared" si="100"/>
        <v>1109.9695880000002</v>
      </c>
      <c r="G3254" s="3">
        <f t="shared" si="101"/>
        <v>5502.4095879999995</v>
      </c>
    </row>
    <row r="3255" spans="1:7" x14ac:dyDescent="0.3">
      <c r="A3255" t="s">
        <v>13039</v>
      </c>
      <c r="B3255" t="s">
        <v>6538</v>
      </c>
      <c r="C3255" t="s">
        <v>6539</v>
      </c>
      <c r="D3255" s="1" t="s">
        <v>38</v>
      </c>
      <c r="E3255" s="3">
        <v>3780.99</v>
      </c>
      <c r="F3255" s="3">
        <f t="shared" si="100"/>
        <v>955.45617300000004</v>
      </c>
      <c r="G3255" s="3">
        <f t="shared" si="101"/>
        <v>4736.4461730000003</v>
      </c>
    </row>
    <row r="3256" spans="1:7" x14ac:dyDescent="0.3">
      <c r="A3256" t="s">
        <v>13039</v>
      </c>
      <c r="B3256" t="s">
        <v>6540</v>
      </c>
      <c r="C3256" t="s">
        <v>6541</v>
      </c>
      <c r="D3256" s="1" t="s">
        <v>38</v>
      </c>
      <c r="E3256" s="3">
        <v>2554.6799999999998</v>
      </c>
      <c r="F3256" s="3">
        <f t="shared" si="100"/>
        <v>645.56763599999999</v>
      </c>
      <c r="G3256" s="3">
        <f t="shared" si="101"/>
        <v>3200.2476360000001</v>
      </c>
    </row>
    <row r="3257" spans="1:7" x14ac:dyDescent="0.3">
      <c r="A3257" t="s">
        <v>13039</v>
      </c>
      <c r="B3257" t="s">
        <v>6542</v>
      </c>
      <c r="C3257" t="s">
        <v>6543</v>
      </c>
      <c r="D3257" s="1" t="s">
        <v>38</v>
      </c>
      <c r="E3257" s="3">
        <v>2200.04</v>
      </c>
      <c r="F3257" s="3">
        <f t="shared" si="100"/>
        <v>555.95010800000011</v>
      </c>
      <c r="G3257" s="3">
        <f t="shared" si="101"/>
        <v>2755.990108</v>
      </c>
    </row>
    <row r="3258" spans="1:7" x14ac:dyDescent="0.3">
      <c r="A3258" t="s">
        <v>13039</v>
      </c>
      <c r="B3258" t="s">
        <v>6544</v>
      </c>
      <c r="C3258" t="s">
        <v>6545</v>
      </c>
      <c r="D3258" s="1" t="s">
        <v>38</v>
      </c>
      <c r="E3258" s="3">
        <v>2526.39</v>
      </c>
      <c r="F3258" s="3">
        <f t="shared" si="100"/>
        <v>638.41875300000004</v>
      </c>
      <c r="G3258" s="3">
        <f t="shared" si="101"/>
        <v>3164.8087529999998</v>
      </c>
    </row>
    <row r="3259" spans="1:7" x14ac:dyDescent="0.3">
      <c r="A3259" t="s">
        <v>13039</v>
      </c>
      <c r="B3259" t="s">
        <v>6546</v>
      </c>
      <c r="C3259" t="s">
        <v>6547</v>
      </c>
      <c r="D3259" s="1" t="s">
        <v>38</v>
      </c>
      <c r="E3259" s="3">
        <v>2182.23</v>
      </c>
      <c r="F3259" s="3">
        <f t="shared" si="100"/>
        <v>551.44952100000012</v>
      </c>
      <c r="G3259" s="3">
        <f t="shared" si="101"/>
        <v>2733.679521</v>
      </c>
    </row>
    <row r="3260" spans="1:7" x14ac:dyDescent="0.3">
      <c r="A3260" t="s">
        <v>13039</v>
      </c>
      <c r="B3260" t="s">
        <v>6548</v>
      </c>
      <c r="C3260" t="s">
        <v>6549</v>
      </c>
      <c r="D3260" s="1" t="s">
        <v>38</v>
      </c>
      <c r="E3260" s="3">
        <v>2869.55</v>
      </c>
      <c r="F3260" s="3">
        <f t="shared" si="100"/>
        <v>725.13528500000018</v>
      </c>
      <c r="G3260" s="3">
        <f t="shared" si="101"/>
        <v>3594.6852850000005</v>
      </c>
    </row>
    <row r="3261" spans="1:7" x14ac:dyDescent="0.3">
      <c r="A3261" t="s">
        <v>13039</v>
      </c>
      <c r="B3261" t="s">
        <v>6550</v>
      </c>
      <c r="C3261" t="s">
        <v>6551</v>
      </c>
      <c r="D3261" s="1" t="s">
        <v>38</v>
      </c>
      <c r="E3261" s="3">
        <v>2446.77</v>
      </c>
      <c r="F3261" s="3">
        <f t="shared" si="100"/>
        <v>618.29877900000008</v>
      </c>
      <c r="G3261" s="3">
        <f t="shared" si="101"/>
        <v>3065.0687790000002</v>
      </c>
    </row>
    <row r="3262" spans="1:7" x14ac:dyDescent="0.3">
      <c r="A3262" t="s">
        <v>13039</v>
      </c>
      <c r="B3262" t="s">
        <v>6552</v>
      </c>
      <c r="C3262" t="s">
        <v>6553</v>
      </c>
      <c r="D3262" s="1" t="s">
        <v>38</v>
      </c>
      <c r="E3262" s="3">
        <v>3226.78</v>
      </c>
      <c r="F3262" s="3">
        <f t="shared" si="100"/>
        <v>815.40730600000018</v>
      </c>
      <c r="G3262" s="3">
        <f t="shared" si="101"/>
        <v>4042.1873060000003</v>
      </c>
    </row>
    <row r="3263" spans="1:7" x14ac:dyDescent="0.3">
      <c r="A3263" t="s">
        <v>13039</v>
      </c>
      <c r="B3263" t="s">
        <v>6554</v>
      </c>
      <c r="C3263" t="s">
        <v>6555</v>
      </c>
      <c r="D3263" s="1" t="s">
        <v>38</v>
      </c>
      <c r="E3263" s="3">
        <v>2730.63</v>
      </c>
      <c r="F3263" s="3">
        <f t="shared" si="100"/>
        <v>690.03020100000015</v>
      </c>
      <c r="G3263" s="3">
        <f t="shared" si="101"/>
        <v>3420.6602010000001</v>
      </c>
    </row>
    <row r="3264" spans="1:7" x14ac:dyDescent="0.3">
      <c r="A3264" t="s">
        <v>13039</v>
      </c>
      <c r="B3264" t="s">
        <v>6556</v>
      </c>
      <c r="C3264" t="s">
        <v>6557</v>
      </c>
      <c r="D3264" s="1" t="s">
        <v>38</v>
      </c>
      <c r="E3264" s="3">
        <v>3940.53</v>
      </c>
      <c r="F3264" s="3">
        <f t="shared" si="100"/>
        <v>995.77193100000022</v>
      </c>
      <c r="G3264" s="3">
        <f t="shared" si="101"/>
        <v>4936.301931</v>
      </c>
    </row>
    <row r="3265" spans="1:7" x14ac:dyDescent="0.3">
      <c r="A3265" t="s">
        <v>13039</v>
      </c>
      <c r="B3265" t="s">
        <v>6558</v>
      </c>
      <c r="C3265" t="s">
        <v>6559</v>
      </c>
      <c r="D3265" s="1" t="s">
        <v>38</v>
      </c>
      <c r="E3265" s="3">
        <v>3369.26</v>
      </c>
      <c r="F3265" s="3">
        <f t="shared" si="100"/>
        <v>851.41200200000014</v>
      </c>
      <c r="G3265" s="3">
        <f t="shared" si="101"/>
        <v>4220.6720020000002</v>
      </c>
    </row>
    <row r="3266" spans="1:7" x14ac:dyDescent="0.3">
      <c r="A3266" t="s">
        <v>13039</v>
      </c>
      <c r="B3266" t="s">
        <v>6560</v>
      </c>
      <c r="C3266" t="s">
        <v>6561</v>
      </c>
      <c r="D3266" s="1" t="s">
        <v>38</v>
      </c>
      <c r="E3266" s="3">
        <v>4852.78</v>
      </c>
      <c r="F3266" s="3">
        <f t="shared" si="100"/>
        <v>1226.2975060000001</v>
      </c>
      <c r="G3266" s="3">
        <f t="shared" si="101"/>
        <v>6079.0775059999996</v>
      </c>
    </row>
    <row r="3267" spans="1:7" x14ac:dyDescent="0.3">
      <c r="A3267" t="s">
        <v>13039</v>
      </c>
      <c r="B3267" t="s">
        <v>6562</v>
      </c>
      <c r="C3267" t="s">
        <v>6563</v>
      </c>
      <c r="D3267" s="1" t="s">
        <v>38</v>
      </c>
      <c r="E3267" s="3">
        <v>4167.95</v>
      </c>
      <c r="F3267" s="3">
        <f t="shared" si="100"/>
        <v>1053.2409650000002</v>
      </c>
      <c r="G3267" s="3">
        <f t="shared" si="101"/>
        <v>5221.1909649999998</v>
      </c>
    </row>
    <row r="3268" spans="1:7" x14ac:dyDescent="0.3">
      <c r="A3268" t="s">
        <v>13039</v>
      </c>
      <c r="B3268" t="s">
        <v>6564</v>
      </c>
      <c r="C3268" t="s">
        <v>6565</v>
      </c>
      <c r="D3268" s="1" t="s">
        <v>38</v>
      </c>
      <c r="E3268" s="3">
        <v>2923.16</v>
      </c>
      <c r="F3268" s="3">
        <f t="shared" si="100"/>
        <v>738.68253200000004</v>
      </c>
      <c r="G3268" s="3">
        <f t="shared" si="101"/>
        <v>3661.8425319999997</v>
      </c>
    </row>
    <row r="3269" spans="1:7" x14ac:dyDescent="0.3">
      <c r="A3269" t="s">
        <v>13039</v>
      </c>
      <c r="B3269" t="s">
        <v>6566</v>
      </c>
      <c r="C3269" t="s">
        <v>6567</v>
      </c>
      <c r="D3269" s="1" t="s">
        <v>38</v>
      </c>
      <c r="E3269" s="3">
        <v>2510.87</v>
      </c>
      <c r="F3269" s="3">
        <f t="shared" si="100"/>
        <v>634.49684900000011</v>
      </c>
      <c r="G3269" s="3">
        <f t="shared" si="101"/>
        <v>3145.366849</v>
      </c>
    </row>
    <row r="3270" spans="1:7" x14ac:dyDescent="0.3">
      <c r="A3270" t="s">
        <v>13039</v>
      </c>
      <c r="B3270" t="s">
        <v>6568</v>
      </c>
      <c r="C3270" t="s">
        <v>6569</v>
      </c>
      <c r="D3270" s="1" t="s">
        <v>38</v>
      </c>
      <c r="E3270" s="3">
        <v>2894.87</v>
      </c>
      <c r="F3270" s="3">
        <f t="shared" si="100"/>
        <v>731.53364900000008</v>
      </c>
      <c r="G3270" s="3">
        <f t="shared" si="101"/>
        <v>3626.4036489999999</v>
      </c>
    </row>
    <row r="3271" spans="1:7" x14ac:dyDescent="0.3">
      <c r="A3271" t="s">
        <v>13039</v>
      </c>
      <c r="B3271" t="s">
        <v>6570</v>
      </c>
      <c r="C3271" t="s">
        <v>6571</v>
      </c>
      <c r="D3271" s="1" t="s">
        <v>38</v>
      </c>
      <c r="E3271" s="3">
        <v>2493.06</v>
      </c>
      <c r="F3271" s="3">
        <f t="shared" ref="F3271:F3334" si="102">+E3271*$F$4</f>
        <v>629.99626200000012</v>
      </c>
      <c r="G3271" s="3">
        <f t="shared" ref="G3271:G3334" si="103">+E3271+F3271</f>
        <v>3123.0562620000001</v>
      </c>
    </row>
    <row r="3272" spans="1:7" x14ac:dyDescent="0.3">
      <c r="A3272" t="s">
        <v>13039</v>
      </c>
      <c r="B3272" t="s">
        <v>6572</v>
      </c>
      <c r="C3272" t="s">
        <v>6573</v>
      </c>
      <c r="D3272" s="1" t="s">
        <v>38</v>
      </c>
      <c r="E3272" s="3">
        <v>3265.4</v>
      </c>
      <c r="F3272" s="3">
        <f t="shared" si="102"/>
        <v>825.16658000000018</v>
      </c>
      <c r="G3272" s="3">
        <f t="shared" si="103"/>
        <v>4090.5665800000002</v>
      </c>
    </row>
    <row r="3273" spans="1:7" x14ac:dyDescent="0.3">
      <c r="A3273" t="s">
        <v>13039</v>
      </c>
      <c r="B3273" t="s">
        <v>6574</v>
      </c>
      <c r="C3273" t="s">
        <v>6575</v>
      </c>
      <c r="D3273" s="1" t="s">
        <v>38</v>
      </c>
      <c r="E3273" s="3">
        <v>2776.24</v>
      </c>
      <c r="F3273" s="3">
        <f t="shared" si="102"/>
        <v>701.55584800000008</v>
      </c>
      <c r="G3273" s="3">
        <f t="shared" si="103"/>
        <v>3477.7958479999998</v>
      </c>
    </row>
    <row r="3274" spans="1:7" x14ac:dyDescent="0.3">
      <c r="A3274" t="s">
        <v>13039</v>
      </c>
      <c r="B3274" t="s">
        <v>6576</v>
      </c>
      <c r="C3274" t="s">
        <v>6577</v>
      </c>
      <c r="D3274" s="1" t="s">
        <v>38</v>
      </c>
      <c r="E3274" s="3">
        <v>3793.27</v>
      </c>
      <c r="F3274" s="3">
        <f t="shared" si="102"/>
        <v>958.55932900000016</v>
      </c>
      <c r="G3274" s="3">
        <f t="shared" si="103"/>
        <v>4751.8293290000001</v>
      </c>
    </row>
    <row r="3275" spans="1:7" x14ac:dyDescent="0.3">
      <c r="A3275" t="s">
        <v>13039</v>
      </c>
      <c r="B3275" t="s">
        <v>6578</v>
      </c>
      <c r="C3275" t="s">
        <v>6579</v>
      </c>
      <c r="D3275" s="1" t="s">
        <v>38</v>
      </c>
      <c r="E3275" s="3">
        <v>3227.24</v>
      </c>
      <c r="F3275" s="3">
        <f t="shared" si="102"/>
        <v>815.52354800000001</v>
      </c>
      <c r="G3275" s="3">
        <f t="shared" si="103"/>
        <v>4042.7635479999999</v>
      </c>
    </row>
    <row r="3276" spans="1:7" x14ac:dyDescent="0.3">
      <c r="A3276" t="s">
        <v>13039</v>
      </c>
      <c r="B3276" t="s">
        <v>6580</v>
      </c>
      <c r="C3276" t="s">
        <v>6581</v>
      </c>
      <c r="D3276" s="1" t="s">
        <v>38</v>
      </c>
      <c r="E3276" s="3">
        <v>4378.05</v>
      </c>
      <c r="F3276" s="3">
        <f t="shared" si="102"/>
        <v>1106.3332350000003</v>
      </c>
      <c r="G3276" s="3">
        <f t="shared" si="103"/>
        <v>5484.3832350000002</v>
      </c>
    </row>
    <row r="3277" spans="1:7" x14ac:dyDescent="0.3">
      <c r="A3277" t="s">
        <v>13039</v>
      </c>
      <c r="B3277" t="s">
        <v>6582</v>
      </c>
      <c r="C3277" t="s">
        <v>6583</v>
      </c>
      <c r="D3277" s="1" t="s">
        <v>38</v>
      </c>
      <c r="E3277" s="3">
        <v>3733.41</v>
      </c>
      <c r="F3277" s="3">
        <f t="shared" si="102"/>
        <v>943.43270700000005</v>
      </c>
      <c r="G3277" s="3">
        <f t="shared" si="103"/>
        <v>4676.8427069999998</v>
      </c>
    </row>
    <row r="3278" spans="1:7" x14ac:dyDescent="0.3">
      <c r="A3278" t="s">
        <v>13039</v>
      </c>
      <c r="B3278" t="s">
        <v>6584</v>
      </c>
      <c r="C3278" t="s">
        <v>6585</v>
      </c>
      <c r="D3278" s="1" t="s">
        <v>38</v>
      </c>
      <c r="E3278" s="3">
        <v>5331.97</v>
      </c>
      <c r="F3278" s="3">
        <f t="shared" si="102"/>
        <v>1347.3888190000002</v>
      </c>
      <c r="G3278" s="3">
        <f t="shared" si="103"/>
        <v>6679.3588190000009</v>
      </c>
    </row>
    <row r="3279" spans="1:7" x14ac:dyDescent="0.3">
      <c r="A3279" t="s">
        <v>13039</v>
      </c>
      <c r="B3279" t="s">
        <v>6586</v>
      </c>
      <c r="C3279" t="s">
        <v>6587</v>
      </c>
      <c r="D3279" s="1" t="s">
        <v>38</v>
      </c>
      <c r="E3279" s="3">
        <v>4566.78</v>
      </c>
      <c r="F3279" s="3">
        <f t="shared" si="102"/>
        <v>1154.025306</v>
      </c>
      <c r="G3279" s="3">
        <f t="shared" si="103"/>
        <v>5720.8053060000002</v>
      </c>
    </row>
    <row r="3280" spans="1:7" x14ac:dyDescent="0.3">
      <c r="A3280" t="s">
        <v>13039</v>
      </c>
      <c r="B3280" t="s">
        <v>6588</v>
      </c>
      <c r="C3280" t="s">
        <v>6589</v>
      </c>
      <c r="D3280" s="1" t="s">
        <v>427</v>
      </c>
      <c r="E3280" s="3">
        <v>19.760000000000002</v>
      </c>
      <c r="F3280" s="3">
        <f t="shared" si="102"/>
        <v>4.9933520000000007</v>
      </c>
      <c r="G3280" s="3">
        <f t="shared" si="103"/>
        <v>24.753352000000003</v>
      </c>
    </row>
    <row r="3281" spans="1:7" x14ac:dyDescent="0.3">
      <c r="A3281" t="s">
        <v>13039</v>
      </c>
      <c r="B3281" t="s">
        <v>6590</v>
      </c>
      <c r="C3281" t="s">
        <v>6591</v>
      </c>
      <c r="D3281" s="1" t="s">
        <v>195</v>
      </c>
      <c r="E3281" s="3">
        <v>69.22</v>
      </c>
      <c r="F3281" s="3">
        <f t="shared" si="102"/>
        <v>17.491894000000002</v>
      </c>
      <c r="G3281" s="3">
        <f t="shared" si="103"/>
        <v>86.711894000000001</v>
      </c>
    </row>
    <row r="3282" spans="1:7" x14ac:dyDescent="0.3">
      <c r="A3282" t="s">
        <v>13039</v>
      </c>
      <c r="B3282" t="s">
        <v>6592</v>
      </c>
      <c r="C3282" t="s">
        <v>6593</v>
      </c>
      <c r="D3282" s="1" t="s">
        <v>195</v>
      </c>
      <c r="E3282" s="3">
        <v>44.92</v>
      </c>
      <c r="F3282" s="3">
        <f t="shared" si="102"/>
        <v>11.351284000000001</v>
      </c>
      <c r="G3282" s="3">
        <f t="shared" si="103"/>
        <v>56.271284000000001</v>
      </c>
    </row>
    <row r="3283" spans="1:7" x14ac:dyDescent="0.3">
      <c r="A3283" t="s">
        <v>13039</v>
      </c>
      <c r="B3283" t="s">
        <v>6594</v>
      </c>
      <c r="C3283" t="s">
        <v>6595</v>
      </c>
      <c r="D3283" s="1" t="s">
        <v>195</v>
      </c>
      <c r="E3283" s="3">
        <v>86.37</v>
      </c>
      <c r="F3283" s="3">
        <f t="shared" si="102"/>
        <v>21.825699000000004</v>
      </c>
      <c r="G3283" s="3">
        <f t="shared" si="103"/>
        <v>108.195699</v>
      </c>
    </row>
    <row r="3284" spans="1:7" x14ac:dyDescent="0.3">
      <c r="A3284" t="s">
        <v>13039</v>
      </c>
      <c r="B3284" t="s">
        <v>6596</v>
      </c>
      <c r="C3284" t="s">
        <v>6597</v>
      </c>
      <c r="D3284" s="1" t="s">
        <v>195</v>
      </c>
      <c r="E3284" s="3">
        <v>62</v>
      </c>
      <c r="F3284" s="3">
        <f t="shared" si="102"/>
        <v>15.667400000000002</v>
      </c>
      <c r="G3284" s="3">
        <f t="shared" si="103"/>
        <v>77.667400000000001</v>
      </c>
    </row>
    <row r="3285" spans="1:7" x14ac:dyDescent="0.3">
      <c r="A3285" t="s">
        <v>13039</v>
      </c>
      <c r="B3285" t="s">
        <v>6598</v>
      </c>
      <c r="C3285" t="s">
        <v>6599</v>
      </c>
      <c r="D3285" s="1" t="s">
        <v>195</v>
      </c>
      <c r="E3285" s="3">
        <v>93.15</v>
      </c>
      <c r="F3285" s="3">
        <f t="shared" si="102"/>
        <v>23.539005000000003</v>
      </c>
      <c r="G3285" s="3">
        <f t="shared" si="103"/>
        <v>116.68900500000001</v>
      </c>
    </row>
    <row r="3286" spans="1:7" x14ac:dyDescent="0.3">
      <c r="A3286" t="s">
        <v>13039</v>
      </c>
      <c r="B3286" t="s">
        <v>6600</v>
      </c>
      <c r="C3286" t="s">
        <v>6601</v>
      </c>
      <c r="D3286" s="1" t="s">
        <v>195</v>
      </c>
      <c r="E3286" s="3">
        <v>60.4</v>
      </c>
      <c r="F3286" s="3">
        <f t="shared" si="102"/>
        <v>15.263080000000002</v>
      </c>
      <c r="G3286" s="3">
        <f t="shared" si="103"/>
        <v>75.663080000000008</v>
      </c>
    </row>
    <row r="3287" spans="1:7" x14ac:dyDescent="0.3">
      <c r="A3287" t="s">
        <v>13039</v>
      </c>
      <c r="B3287" t="s">
        <v>6602</v>
      </c>
      <c r="C3287" t="s">
        <v>6603</v>
      </c>
      <c r="D3287" s="1" t="s">
        <v>195</v>
      </c>
      <c r="E3287" s="3">
        <v>116.39</v>
      </c>
      <c r="F3287" s="3">
        <f t="shared" si="102"/>
        <v>29.411753000000004</v>
      </c>
      <c r="G3287" s="3">
        <f t="shared" si="103"/>
        <v>145.80175300000002</v>
      </c>
    </row>
    <row r="3288" spans="1:7" x14ac:dyDescent="0.3">
      <c r="A3288" t="s">
        <v>13039</v>
      </c>
      <c r="B3288" t="s">
        <v>6604</v>
      </c>
      <c r="C3288" t="s">
        <v>6605</v>
      </c>
      <c r="D3288" s="1" t="s">
        <v>195</v>
      </c>
      <c r="E3288" s="3">
        <v>83.55</v>
      </c>
      <c r="F3288" s="3">
        <f t="shared" si="102"/>
        <v>21.113085000000002</v>
      </c>
      <c r="G3288" s="3">
        <f t="shared" si="103"/>
        <v>104.663085</v>
      </c>
    </row>
    <row r="3289" spans="1:7" x14ac:dyDescent="0.3">
      <c r="A3289" t="s">
        <v>13039</v>
      </c>
      <c r="B3289" t="s">
        <v>6606</v>
      </c>
      <c r="C3289" t="s">
        <v>6607</v>
      </c>
      <c r="D3289" s="1" t="s">
        <v>195</v>
      </c>
      <c r="E3289" s="3">
        <v>56.6</v>
      </c>
      <c r="F3289" s="3">
        <f t="shared" si="102"/>
        <v>14.302820000000002</v>
      </c>
      <c r="G3289" s="3">
        <f t="shared" si="103"/>
        <v>70.902820000000006</v>
      </c>
    </row>
    <row r="3290" spans="1:7" x14ac:dyDescent="0.3">
      <c r="A3290" t="s">
        <v>13039</v>
      </c>
      <c r="B3290" t="s">
        <v>6608</v>
      </c>
      <c r="C3290" t="s">
        <v>6609</v>
      </c>
      <c r="D3290" s="1" t="s">
        <v>195</v>
      </c>
      <c r="E3290" s="3">
        <v>40.01</v>
      </c>
      <c r="F3290" s="3">
        <f t="shared" si="102"/>
        <v>10.110527000000001</v>
      </c>
      <c r="G3290" s="3">
        <f t="shared" si="103"/>
        <v>50.120526999999996</v>
      </c>
    </row>
    <row r="3291" spans="1:7" x14ac:dyDescent="0.3">
      <c r="A3291" t="s">
        <v>13039</v>
      </c>
      <c r="B3291" t="s">
        <v>6610</v>
      </c>
      <c r="C3291" t="s">
        <v>6611</v>
      </c>
      <c r="D3291" s="1" t="s">
        <v>195</v>
      </c>
      <c r="E3291" s="3">
        <v>68.459999999999994</v>
      </c>
      <c r="F3291" s="3">
        <f t="shared" si="102"/>
        <v>17.299842000000002</v>
      </c>
      <c r="G3291" s="3">
        <f t="shared" si="103"/>
        <v>85.759841999999992</v>
      </c>
    </row>
    <row r="3292" spans="1:7" x14ac:dyDescent="0.3">
      <c r="A3292" t="s">
        <v>13039</v>
      </c>
      <c r="B3292" t="s">
        <v>6612</v>
      </c>
      <c r="C3292" t="s">
        <v>6613</v>
      </c>
      <c r="D3292" s="1" t="s">
        <v>195</v>
      </c>
      <c r="E3292" s="3">
        <v>51.82</v>
      </c>
      <c r="F3292" s="3">
        <f t="shared" si="102"/>
        <v>13.094914000000001</v>
      </c>
      <c r="G3292" s="3">
        <f t="shared" si="103"/>
        <v>64.914913999999996</v>
      </c>
    </row>
    <row r="3293" spans="1:7" x14ac:dyDescent="0.3">
      <c r="A3293" t="s">
        <v>13039</v>
      </c>
      <c r="B3293" t="s">
        <v>6614</v>
      </c>
      <c r="C3293" t="s">
        <v>6615</v>
      </c>
      <c r="D3293" s="1" t="s">
        <v>195</v>
      </c>
      <c r="E3293" s="3">
        <v>76.849999999999994</v>
      </c>
      <c r="F3293" s="3">
        <f t="shared" si="102"/>
        <v>19.419995</v>
      </c>
      <c r="G3293" s="3">
        <f t="shared" si="103"/>
        <v>96.269994999999994</v>
      </c>
    </row>
    <row r="3294" spans="1:7" x14ac:dyDescent="0.3">
      <c r="A3294" t="s">
        <v>13039</v>
      </c>
      <c r="B3294" t="s">
        <v>6616</v>
      </c>
      <c r="C3294" t="s">
        <v>6617</v>
      </c>
      <c r="D3294" s="1" t="s">
        <v>195</v>
      </c>
      <c r="E3294" s="3">
        <v>53.58</v>
      </c>
      <c r="F3294" s="3">
        <f t="shared" si="102"/>
        <v>13.539666000000002</v>
      </c>
      <c r="G3294" s="3">
        <f t="shared" si="103"/>
        <v>67.119665999999995</v>
      </c>
    </row>
    <row r="3295" spans="1:7" x14ac:dyDescent="0.3">
      <c r="A3295" t="s">
        <v>13039</v>
      </c>
      <c r="B3295" t="s">
        <v>6618</v>
      </c>
      <c r="C3295" t="s">
        <v>6619</v>
      </c>
      <c r="D3295" s="1" t="s">
        <v>195</v>
      </c>
      <c r="E3295" s="3">
        <v>93.64</v>
      </c>
      <c r="F3295" s="3">
        <f t="shared" si="102"/>
        <v>23.662828000000005</v>
      </c>
      <c r="G3295" s="3">
        <f t="shared" si="103"/>
        <v>117.30282800000001</v>
      </c>
    </row>
    <row r="3296" spans="1:7" x14ac:dyDescent="0.3">
      <c r="A3296" t="s">
        <v>13039</v>
      </c>
      <c r="B3296" t="s">
        <v>6620</v>
      </c>
      <c r="C3296" t="s">
        <v>6621</v>
      </c>
      <c r="D3296" s="1" t="s">
        <v>195</v>
      </c>
      <c r="E3296" s="3">
        <v>70.31</v>
      </c>
      <c r="F3296" s="3">
        <f t="shared" si="102"/>
        <v>17.767337000000005</v>
      </c>
      <c r="G3296" s="3">
        <f t="shared" si="103"/>
        <v>88.077337</v>
      </c>
    </row>
    <row r="3297" spans="1:7" x14ac:dyDescent="0.3">
      <c r="A3297" t="s">
        <v>13039</v>
      </c>
      <c r="B3297" t="s">
        <v>6622</v>
      </c>
      <c r="C3297" t="s">
        <v>6623</v>
      </c>
      <c r="D3297" s="1" t="s">
        <v>195</v>
      </c>
      <c r="E3297" s="3">
        <v>15.01</v>
      </c>
      <c r="F3297" s="3">
        <f t="shared" si="102"/>
        <v>3.7930270000000004</v>
      </c>
      <c r="G3297" s="3">
        <f t="shared" si="103"/>
        <v>18.803027</v>
      </c>
    </row>
    <row r="3298" spans="1:7" x14ac:dyDescent="0.3">
      <c r="A3298" t="s">
        <v>13039</v>
      </c>
      <c r="B3298" t="s">
        <v>6624</v>
      </c>
      <c r="C3298" t="s">
        <v>6625</v>
      </c>
      <c r="D3298" s="1" t="s">
        <v>195</v>
      </c>
      <c r="E3298" s="3">
        <v>20.86</v>
      </c>
      <c r="F3298" s="3">
        <f t="shared" si="102"/>
        <v>5.2713220000000005</v>
      </c>
      <c r="G3298" s="3">
        <f t="shared" si="103"/>
        <v>26.131322000000001</v>
      </c>
    </row>
    <row r="3299" spans="1:7" x14ac:dyDescent="0.3">
      <c r="A3299" t="s">
        <v>13039</v>
      </c>
      <c r="B3299" t="s">
        <v>6626</v>
      </c>
      <c r="C3299" t="s">
        <v>6627</v>
      </c>
      <c r="D3299" s="1" t="s">
        <v>195</v>
      </c>
      <c r="E3299" s="3">
        <v>7.56</v>
      </c>
      <c r="F3299" s="3">
        <f t="shared" si="102"/>
        <v>1.9104120000000002</v>
      </c>
      <c r="G3299" s="3">
        <f t="shared" si="103"/>
        <v>9.4704119999999996</v>
      </c>
    </row>
    <row r="3300" spans="1:7" x14ac:dyDescent="0.3">
      <c r="A3300" t="s">
        <v>13039</v>
      </c>
      <c r="B3300" t="s">
        <v>6628</v>
      </c>
      <c r="C3300" t="s">
        <v>6629</v>
      </c>
      <c r="D3300" s="1" t="s">
        <v>195</v>
      </c>
      <c r="E3300" s="3">
        <v>9.69</v>
      </c>
      <c r="F3300" s="3">
        <f t="shared" si="102"/>
        <v>2.4486630000000003</v>
      </c>
      <c r="G3300" s="3">
        <f t="shared" si="103"/>
        <v>12.138662999999999</v>
      </c>
    </row>
    <row r="3301" spans="1:7" x14ac:dyDescent="0.3">
      <c r="A3301" t="s">
        <v>13039</v>
      </c>
      <c r="B3301" t="s">
        <v>6630</v>
      </c>
      <c r="C3301" t="s">
        <v>6631</v>
      </c>
      <c r="D3301" s="1" t="s">
        <v>195</v>
      </c>
      <c r="E3301" s="3">
        <v>53.25</v>
      </c>
      <c r="F3301" s="3">
        <f t="shared" si="102"/>
        <v>13.456275000000002</v>
      </c>
      <c r="G3301" s="3">
        <f t="shared" si="103"/>
        <v>66.706275000000005</v>
      </c>
    </row>
    <row r="3302" spans="1:7" x14ac:dyDescent="0.3">
      <c r="A3302" t="s">
        <v>13039</v>
      </c>
      <c r="B3302" t="s">
        <v>6632</v>
      </c>
      <c r="C3302" t="s">
        <v>6633</v>
      </c>
      <c r="D3302" s="1" t="s">
        <v>195</v>
      </c>
      <c r="E3302" s="3">
        <v>34.82</v>
      </c>
      <c r="F3302" s="3">
        <f t="shared" si="102"/>
        <v>8.7990140000000014</v>
      </c>
      <c r="G3302" s="3">
        <f t="shared" si="103"/>
        <v>43.619014</v>
      </c>
    </row>
    <row r="3303" spans="1:7" x14ac:dyDescent="0.3">
      <c r="A3303" t="s">
        <v>13039</v>
      </c>
      <c r="B3303" t="s">
        <v>6634</v>
      </c>
      <c r="C3303" t="s">
        <v>6635</v>
      </c>
      <c r="D3303" s="1" t="s">
        <v>195</v>
      </c>
      <c r="E3303" s="3">
        <v>65.5</v>
      </c>
      <c r="F3303" s="3">
        <f t="shared" si="102"/>
        <v>16.551850000000002</v>
      </c>
      <c r="G3303" s="3">
        <f t="shared" si="103"/>
        <v>82.051850000000002</v>
      </c>
    </row>
    <row r="3304" spans="1:7" x14ac:dyDescent="0.3">
      <c r="A3304" t="s">
        <v>13039</v>
      </c>
      <c r="B3304" t="s">
        <v>6636</v>
      </c>
      <c r="C3304" t="s">
        <v>6637</v>
      </c>
      <c r="D3304" s="1" t="s">
        <v>195</v>
      </c>
      <c r="E3304" s="3">
        <v>47.02</v>
      </c>
      <c r="F3304" s="3">
        <f t="shared" si="102"/>
        <v>11.881954000000002</v>
      </c>
      <c r="G3304" s="3">
        <f t="shared" si="103"/>
        <v>58.901954000000003</v>
      </c>
    </row>
    <row r="3305" spans="1:7" x14ac:dyDescent="0.3">
      <c r="A3305" t="s">
        <v>13039</v>
      </c>
      <c r="B3305" t="s">
        <v>6638</v>
      </c>
      <c r="C3305" t="s">
        <v>6639</v>
      </c>
      <c r="D3305" s="1" t="s">
        <v>195</v>
      </c>
      <c r="E3305" s="3">
        <v>71.16</v>
      </c>
      <c r="F3305" s="3">
        <f t="shared" si="102"/>
        <v>17.982132</v>
      </c>
      <c r="G3305" s="3">
        <f t="shared" si="103"/>
        <v>89.142132000000004</v>
      </c>
    </row>
    <row r="3306" spans="1:7" x14ac:dyDescent="0.3">
      <c r="A3306" t="s">
        <v>13039</v>
      </c>
      <c r="B3306" t="s">
        <v>6640</v>
      </c>
      <c r="C3306" t="s">
        <v>6641</v>
      </c>
      <c r="D3306" s="1" t="s">
        <v>195</v>
      </c>
      <c r="E3306" s="3">
        <v>46.48</v>
      </c>
      <c r="F3306" s="3">
        <f t="shared" si="102"/>
        <v>11.745496000000001</v>
      </c>
      <c r="G3306" s="3">
        <f t="shared" si="103"/>
        <v>58.225496</v>
      </c>
    </row>
    <row r="3307" spans="1:7" x14ac:dyDescent="0.3">
      <c r="A3307" t="s">
        <v>13039</v>
      </c>
      <c r="B3307" t="s">
        <v>6642</v>
      </c>
      <c r="C3307" t="s">
        <v>6643</v>
      </c>
      <c r="D3307" s="1" t="s">
        <v>195</v>
      </c>
      <c r="E3307" s="3">
        <v>87.74</v>
      </c>
      <c r="F3307" s="3">
        <f t="shared" si="102"/>
        <v>22.171898000000002</v>
      </c>
      <c r="G3307" s="3">
        <f t="shared" si="103"/>
        <v>109.91189799999999</v>
      </c>
    </row>
    <row r="3308" spans="1:7" x14ac:dyDescent="0.3">
      <c r="A3308" t="s">
        <v>13039</v>
      </c>
      <c r="B3308" t="s">
        <v>6644</v>
      </c>
      <c r="C3308" t="s">
        <v>6645</v>
      </c>
      <c r="D3308" s="1" t="s">
        <v>195</v>
      </c>
      <c r="E3308" s="3">
        <v>62.98</v>
      </c>
      <c r="F3308" s="3">
        <f t="shared" si="102"/>
        <v>15.915046000000002</v>
      </c>
      <c r="G3308" s="3">
        <f t="shared" si="103"/>
        <v>78.895045999999994</v>
      </c>
    </row>
    <row r="3309" spans="1:7" x14ac:dyDescent="0.3">
      <c r="A3309" t="s">
        <v>13039</v>
      </c>
      <c r="B3309" t="s">
        <v>6646</v>
      </c>
      <c r="C3309" t="s">
        <v>6647</v>
      </c>
      <c r="D3309" s="1" t="s">
        <v>195</v>
      </c>
      <c r="E3309" s="3">
        <v>10.88</v>
      </c>
      <c r="F3309" s="3">
        <f t="shared" si="102"/>
        <v>2.7493760000000007</v>
      </c>
      <c r="G3309" s="3">
        <f t="shared" si="103"/>
        <v>13.629376000000001</v>
      </c>
    </row>
    <row r="3310" spans="1:7" x14ac:dyDescent="0.3">
      <c r="A3310" t="s">
        <v>13039</v>
      </c>
      <c r="B3310" t="s">
        <v>6648</v>
      </c>
      <c r="C3310" t="s">
        <v>6649</v>
      </c>
      <c r="D3310" s="1" t="s">
        <v>195</v>
      </c>
      <c r="E3310" s="3">
        <v>15.23</v>
      </c>
      <c r="F3310" s="3">
        <f t="shared" si="102"/>
        <v>3.8486210000000005</v>
      </c>
      <c r="G3310" s="3">
        <f t="shared" si="103"/>
        <v>19.078621000000002</v>
      </c>
    </row>
    <row r="3311" spans="1:7" x14ac:dyDescent="0.3">
      <c r="A3311" t="s">
        <v>13039</v>
      </c>
      <c r="B3311" t="s">
        <v>6650</v>
      </c>
      <c r="C3311" t="s">
        <v>6651</v>
      </c>
      <c r="D3311" s="1" t="s">
        <v>195</v>
      </c>
      <c r="E3311" s="3">
        <v>20.059999999999999</v>
      </c>
      <c r="F3311" s="3">
        <f t="shared" si="102"/>
        <v>5.0691620000000004</v>
      </c>
      <c r="G3311" s="3">
        <f t="shared" si="103"/>
        <v>25.129162000000001</v>
      </c>
    </row>
    <row r="3312" spans="1:7" x14ac:dyDescent="0.3">
      <c r="A3312" t="s">
        <v>13039</v>
      </c>
      <c r="B3312" t="s">
        <v>6652</v>
      </c>
      <c r="C3312" t="s">
        <v>6653</v>
      </c>
      <c r="D3312" s="1" t="s">
        <v>195</v>
      </c>
      <c r="E3312" s="3">
        <v>30.09</v>
      </c>
      <c r="F3312" s="3">
        <f t="shared" si="102"/>
        <v>7.6037430000000015</v>
      </c>
      <c r="G3312" s="3">
        <f t="shared" si="103"/>
        <v>37.693742999999998</v>
      </c>
    </row>
    <row r="3313" spans="1:7" x14ac:dyDescent="0.3">
      <c r="A3313" t="s">
        <v>13039</v>
      </c>
      <c r="B3313" t="s">
        <v>6654</v>
      </c>
      <c r="C3313" t="s">
        <v>6655</v>
      </c>
      <c r="D3313" s="1" t="s">
        <v>195</v>
      </c>
      <c r="E3313" s="3">
        <v>58.11</v>
      </c>
      <c r="F3313" s="3">
        <f t="shared" si="102"/>
        <v>14.684397000000002</v>
      </c>
      <c r="G3313" s="3">
        <f t="shared" si="103"/>
        <v>72.794397000000004</v>
      </c>
    </row>
    <row r="3314" spans="1:7" x14ac:dyDescent="0.3">
      <c r="A3314" t="s">
        <v>13039</v>
      </c>
      <c r="B3314" t="s">
        <v>6656</v>
      </c>
      <c r="C3314" t="s">
        <v>6657</v>
      </c>
      <c r="D3314" s="1" t="s">
        <v>195</v>
      </c>
      <c r="E3314" s="3">
        <v>41.57</v>
      </c>
      <c r="F3314" s="3">
        <f t="shared" si="102"/>
        <v>10.504739000000001</v>
      </c>
      <c r="G3314" s="3">
        <f t="shared" si="103"/>
        <v>52.074739000000001</v>
      </c>
    </row>
    <row r="3315" spans="1:7" x14ac:dyDescent="0.3">
      <c r="A3315" t="s">
        <v>13039</v>
      </c>
      <c r="B3315" t="s">
        <v>6658</v>
      </c>
      <c r="C3315" t="s">
        <v>6659</v>
      </c>
      <c r="D3315" s="1" t="s">
        <v>195</v>
      </c>
      <c r="E3315" s="3">
        <v>69.34</v>
      </c>
      <c r="F3315" s="3">
        <f t="shared" si="102"/>
        <v>17.522218000000002</v>
      </c>
      <c r="G3315" s="3">
        <f t="shared" si="103"/>
        <v>86.862218000000013</v>
      </c>
    </row>
    <row r="3316" spans="1:7" x14ac:dyDescent="0.3">
      <c r="A3316" t="s">
        <v>13039</v>
      </c>
      <c r="B3316" t="s">
        <v>6660</v>
      </c>
      <c r="C3316" t="s">
        <v>6661</v>
      </c>
      <c r="D3316" s="1" t="s">
        <v>195</v>
      </c>
      <c r="E3316" s="3">
        <v>52.75</v>
      </c>
      <c r="F3316" s="3">
        <f t="shared" si="102"/>
        <v>13.329925000000001</v>
      </c>
      <c r="G3316" s="3">
        <f t="shared" si="103"/>
        <v>66.079925000000003</v>
      </c>
    </row>
    <row r="3317" spans="1:7" x14ac:dyDescent="0.3">
      <c r="A3317" t="s">
        <v>13039</v>
      </c>
      <c r="B3317" t="s">
        <v>6662</v>
      </c>
      <c r="C3317" t="s">
        <v>6663</v>
      </c>
      <c r="D3317" s="1" t="s">
        <v>195</v>
      </c>
      <c r="E3317" s="3">
        <v>58.04</v>
      </c>
      <c r="F3317" s="3">
        <f t="shared" si="102"/>
        <v>14.666708000000002</v>
      </c>
      <c r="G3317" s="3">
        <f t="shared" si="103"/>
        <v>72.706708000000006</v>
      </c>
    </row>
    <row r="3318" spans="1:7" x14ac:dyDescent="0.3">
      <c r="A3318" t="s">
        <v>13039</v>
      </c>
      <c r="B3318" t="s">
        <v>6664</v>
      </c>
      <c r="C3318" t="s">
        <v>6665</v>
      </c>
      <c r="D3318" s="1" t="s">
        <v>195</v>
      </c>
      <c r="E3318" s="3">
        <v>41.12</v>
      </c>
      <c r="F3318" s="3">
        <f t="shared" si="102"/>
        <v>10.391024000000002</v>
      </c>
      <c r="G3318" s="3">
        <f t="shared" si="103"/>
        <v>51.511023999999999</v>
      </c>
    </row>
    <row r="3319" spans="1:7" x14ac:dyDescent="0.3">
      <c r="A3319" t="s">
        <v>13039</v>
      </c>
      <c r="B3319" t="s">
        <v>6666</v>
      </c>
      <c r="C3319" t="s">
        <v>6667</v>
      </c>
      <c r="D3319" s="1" t="s">
        <v>195</v>
      </c>
      <c r="E3319" s="3">
        <v>69.540000000000006</v>
      </c>
      <c r="F3319" s="3">
        <f t="shared" si="102"/>
        <v>17.572758000000004</v>
      </c>
      <c r="G3319" s="3">
        <f t="shared" si="103"/>
        <v>87.112758000000014</v>
      </c>
    </row>
    <row r="3320" spans="1:7" x14ac:dyDescent="0.3">
      <c r="A3320" t="s">
        <v>13039</v>
      </c>
      <c r="B3320" t="s">
        <v>6668</v>
      </c>
      <c r="C3320" t="s">
        <v>6669</v>
      </c>
      <c r="D3320" s="1" t="s">
        <v>195</v>
      </c>
      <c r="E3320" s="3">
        <v>52.57</v>
      </c>
      <c r="F3320" s="3">
        <f t="shared" si="102"/>
        <v>13.284439000000003</v>
      </c>
      <c r="G3320" s="3">
        <f t="shared" si="103"/>
        <v>65.854438999999999</v>
      </c>
    </row>
    <row r="3321" spans="1:7" x14ac:dyDescent="0.3">
      <c r="A3321" t="s">
        <v>13039</v>
      </c>
      <c r="B3321" t="s">
        <v>6670</v>
      </c>
      <c r="C3321" t="s">
        <v>6671</v>
      </c>
      <c r="D3321" s="1" t="s">
        <v>195</v>
      </c>
      <c r="E3321" s="3">
        <v>65.98</v>
      </c>
      <c r="F3321" s="3">
        <f t="shared" si="102"/>
        <v>16.673146000000003</v>
      </c>
      <c r="G3321" s="3">
        <f t="shared" si="103"/>
        <v>82.653146000000007</v>
      </c>
    </row>
    <row r="3322" spans="1:7" x14ac:dyDescent="0.3">
      <c r="A3322" t="s">
        <v>13039</v>
      </c>
      <c r="B3322" t="s">
        <v>6672</v>
      </c>
      <c r="C3322" t="s">
        <v>6673</v>
      </c>
      <c r="D3322" s="1" t="s">
        <v>195</v>
      </c>
      <c r="E3322" s="3">
        <v>46.8</v>
      </c>
      <c r="F3322" s="3">
        <f t="shared" si="102"/>
        <v>11.826360000000001</v>
      </c>
      <c r="G3322" s="3">
        <f t="shared" si="103"/>
        <v>58.626359999999998</v>
      </c>
    </row>
    <row r="3323" spans="1:7" x14ac:dyDescent="0.3">
      <c r="A3323" t="s">
        <v>13039</v>
      </c>
      <c r="B3323" t="s">
        <v>6674</v>
      </c>
      <c r="C3323" t="s">
        <v>6675</v>
      </c>
      <c r="D3323" s="1" t="s">
        <v>195</v>
      </c>
      <c r="E3323" s="3">
        <v>79.03</v>
      </c>
      <c r="F3323" s="3">
        <f t="shared" si="102"/>
        <v>19.970881000000002</v>
      </c>
      <c r="G3323" s="3">
        <f t="shared" si="103"/>
        <v>99.000881000000007</v>
      </c>
    </row>
    <row r="3324" spans="1:7" x14ac:dyDescent="0.3">
      <c r="A3324" t="s">
        <v>13039</v>
      </c>
      <c r="B3324" t="s">
        <v>6676</v>
      </c>
      <c r="C3324" t="s">
        <v>6677</v>
      </c>
      <c r="D3324" s="1" t="s">
        <v>195</v>
      </c>
      <c r="E3324" s="3">
        <v>59.79</v>
      </c>
      <c r="F3324" s="3">
        <f t="shared" si="102"/>
        <v>15.108933000000002</v>
      </c>
      <c r="G3324" s="3">
        <f t="shared" si="103"/>
        <v>74.898933</v>
      </c>
    </row>
    <row r="3325" spans="1:7" x14ac:dyDescent="0.3">
      <c r="A3325" t="s">
        <v>13039</v>
      </c>
      <c r="B3325" t="s">
        <v>6678</v>
      </c>
      <c r="C3325" t="s">
        <v>6679</v>
      </c>
      <c r="D3325" s="1" t="s">
        <v>195</v>
      </c>
      <c r="E3325" s="3">
        <v>70.38</v>
      </c>
      <c r="F3325" s="3">
        <f t="shared" si="102"/>
        <v>17.785026000000002</v>
      </c>
      <c r="G3325" s="3">
        <f t="shared" si="103"/>
        <v>88.165025999999997</v>
      </c>
    </row>
    <row r="3326" spans="1:7" x14ac:dyDescent="0.3">
      <c r="A3326" t="s">
        <v>13039</v>
      </c>
      <c r="B3326" t="s">
        <v>6680</v>
      </c>
      <c r="C3326" t="s">
        <v>6681</v>
      </c>
      <c r="D3326" s="1" t="s">
        <v>195</v>
      </c>
      <c r="E3326" s="3">
        <v>49.97</v>
      </c>
      <c r="F3326" s="3">
        <f t="shared" si="102"/>
        <v>12.627419000000002</v>
      </c>
      <c r="G3326" s="3">
        <f t="shared" si="103"/>
        <v>62.597419000000002</v>
      </c>
    </row>
    <row r="3327" spans="1:7" x14ac:dyDescent="0.3">
      <c r="A3327" t="s">
        <v>13039</v>
      </c>
      <c r="B3327" t="s">
        <v>6682</v>
      </c>
      <c r="C3327" t="s">
        <v>6683</v>
      </c>
      <c r="D3327" s="1" t="s">
        <v>195</v>
      </c>
      <c r="E3327" s="3">
        <v>84.3</v>
      </c>
      <c r="F3327" s="3">
        <f t="shared" si="102"/>
        <v>21.302610000000001</v>
      </c>
      <c r="G3327" s="3">
        <f t="shared" si="103"/>
        <v>105.60261</v>
      </c>
    </row>
    <row r="3328" spans="1:7" x14ac:dyDescent="0.3">
      <c r="A3328" t="s">
        <v>13039</v>
      </c>
      <c r="B3328" t="s">
        <v>6684</v>
      </c>
      <c r="C3328" t="s">
        <v>6685</v>
      </c>
      <c r="D3328" s="1" t="s">
        <v>195</v>
      </c>
      <c r="E3328" s="3">
        <v>63.82</v>
      </c>
      <c r="F3328" s="3">
        <f t="shared" si="102"/>
        <v>16.127314000000002</v>
      </c>
      <c r="G3328" s="3">
        <f t="shared" si="103"/>
        <v>79.947314000000006</v>
      </c>
    </row>
    <row r="3329" spans="1:7" x14ac:dyDescent="0.3">
      <c r="A3329" t="s">
        <v>13039</v>
      </c>
      <c r="B3329" t="s">
        <v>6686</v>
      </c>
      <c r="C3329" t="s">
        <v>6687</v>
      </c>
      <c r="D3329" s="1" t="s">
        <v>195</v>
      </c>
      <c r="E3329" s="3">
        <v>72.47</v>
      </c>
      <c r="F3329" s="3">
        <f t="shared" si="102"/>
        <v>18.313169000000002</v>
      </c>
      <c r="G3329" s="3">
        <f t="shared" si="103"/>
        <v>90.783169000000001</v>
      </c>
    </row>
    <row r="3330" spans="1:7" x14ac:dyDescent="0.3">
      <c r="A3330" t="s">
        <v>13039</v>
      </c>
      <c r="B3330" t="s">
        <v>6688</v>
      </c>
      <c r="C3330" t="s">
        <v>6689</v>
      </c>
      <c r="D3330" s="1" t="s">
        <v>195</v>
      </c>
      <c r="E3330" s="3">
        <v>51.47</v>
      </c>
      <c r="F3330" s="3">
        <f t="shared" si="102"/>
        <v>13.006469000000001</v>
      </c>
      <c r="G3330" s="3">
        <f t="shared" si="103"/>
        <v>64.476468999999994</v>
      </c>
    </row>
    <row r="3331" spans="1:7" x14ac:dyDescent="0.3">
      <c r="A3331" t="s">
        <v>13039</v>
      </c>
      <c r="B3331" t="s">
        <v>6690</v>
      </c>
      <c r="C3331" t="s">
        <v>6691</v>
      </c>
      <c r="D3331" s="1" t="s">
        <v>195</v>
      </c>
      <c r="E3331" s="3">
        <v>86.79</v>
      </c>
      <c r="F3331" s="3">
        <f t="shared" si="102"/>
        <v>21.931833000000005</v>
      </c>
      <c r="G3331" s="3">
        <f t="shared" si="103"/>
        <v>108.721833</v>
      </c>
    </row>
    <row r="3332" spans="1:7" x14ac:dyDescent="0.3">
      <c r="A3332" t="s">
        <v>13039</v>
      </c>
      <c r="B3332" t="s">
        <v>6692</v>
      </c>
      <c r="C3332" t="s">
        <v>6693</v>
      </c>
      <c r="D3332" s="1" t="s">
        <v>195</v>
      </c>
      <c r="E3332" s="3">
        <v>65.73</v>
      </c>
      <c r="F3332" s="3">
        <f t="shared" si="102"/>
        <v>16.609971000000002</v>
      </c>
      <c r="G3332" s="3">
        <f t="shared" si="103"/>
        <v>82.339971000000006</v>
      </c>
    </row>
    <row r="3333" spans="1:7" x14ac:dyDescent="0.3">
      <c r="A3333" t="s">
        <v>13039</v>
      </c>
      <c r="B3333" t="s">
        <v>6694</v>
      </c>
      <c r="C3333" t="s">
        <v>6695</v>
      </c>
      <c r="D3333" s="1" t="s">
        <v>195</v>
      </c>
      <c r="E3333" s="3">
        <v>82.68</v>
      </c>
      <c r="F3333" s="3">
        <f t="shared" si="102"/>
        <v>20.893236000000005</v>
      </c>
      <c r="G3333" s="3">
        <f t="shared" si="103"/>
        <v>103.57323600000001</v>
      </c>
    </row>
    <row r="3334" spans="1:7" x14ac:dyDescent="0.3">
      <c r="A3334" t="s">
        <v>13039</v>
      </c>
      <c r="B3334" t="s">
        <v>6696</v>
      </c>
      <c r="C3334" t="s">
        <v>6697</v>
      </c>
      <c r="D3334" s="1" t="s">
        <v>195</v>
      </c>
      <c r="E3334" s="3">
        <v>58.4</v>
      </c>
      <c r="F3334" s="3">
        <f t="shared" si="102"/>
        <v>14.757680000000002</v>
      </c>
      <c r="G3334" s="3">
        <f t="shared" si="103"/>
        <v>73.157679999999999</v>
      </c>
    </row>
    <row r="3335" spans="1:7" x14ac:dyDescent="0.3">
      <c r="A3335" t="s">
        <v>13039</v>
      </c>
      <c r="B3335" t="s">
        <v>6698</v>
      </c>
      <c r="C3335" t="s">
        <v>6699</v>
      </c>
      <c r="D3335" s="1" t="s">
        <v>195</v>
      </c>
      <c r="E3335" s="3">
        <v>99.27</v>
      </c>
      <c r="F3335" s="3">
        <f t="shared" ref="F3335:F3398" si="104">+E3335*$F$4</f>
        <v>25.085529000000001</v>
      </c>
      <c r="G3335" s="3">
        <f t="shared" ref="G3335:G3398" si="105">+E3335+F3335</f>
        <v>124.35552899999999</v>
      </c>
    </row>
    <row r="3336" spans="1:7" x14ac:dyDescent="0.3">
      <c r="A3336" t="s">
        <v>13039</v>
      </c>
      <c r="B3336" t="s">
        <v>6700</v>
      </c>
      <c r="C3336" t="s">
        <v>6701</v>
      </c>
      <c r="D3336" s="1" t="s">
        <v>195</v>
      </c>
      <c r="E3336" s="3">
        <v>74.92</v>
      </c>
      <c r="F3336" s="3">
        <f t="shared" si="104"/>
        <v>18.932284000000003</v>
      </c>
      <c r="G3336" s="3">
        <f t="shared" si="105"/>
        <v>93.852283999999997</v>
      </c>
    </row>
    <row r="3337" spans="1:7" x14ac:dyDescent="0.3">
      <c r="A3337" t="s">
        <v>13039</v>
      </c>
      <c r="B3337" t="s">
        <v>6702</v>
      </c>
      <c r="C3337" t="s">
        <v>6703</v>
      </c>
      <c r="D3337" s="1" t="s">
        <v>195</v>
      </c>
      <c r="E3337" s="3">
        <v>84.9</v>
      </c>
      <c r="F3337" s="3">
        <f t="shared" si="104"/>
        <v>21.454230000000006</v>
      </c>
      <c r="G3337" s="3">
        <f t="shared" si="105"/>
        <v>106.35423000000002</v>
      </c>
    </row>
    <row r="3338" spans="1:7" x14ac:dyDescent="0.3">
      <c r="A3338" t="s">
        <v>13039</v>
      </c>
      <c r="B3338" t="s">
        <v>6704</v>
      </c>
      <c r="C3338" t="s">
        <v>6705</v>
      </c>
      <c r="D3338" s="1" t="s">
        <v>195</v>
      </c>
      <c r="E3338" s="3">
        <v>59.99</v>
      </c>
      <c r="F3338" s="3">
        <f t="shared" si="104"/>
        <v>15.159473000000002</v>
      </c>
      <c r="G3338" s="3">
        <f t="shared" si="105"/>
        <v>75.149473</v>
      </c>
    </row>
    <row r="3339" spans="1:7" x14ac:dyDescent="0.3">
      <c r="A3339" t="s">
        <v>13039</v>
      </c>
      <c r="B3339" t="s">
        <v>6706</v>
      </c>
      <c r="C3339" t="s">
        <v>6707</v>
      </c>
      <c r="D3339" s="1" t="s">
        <v>195</v>
      </c>
      <c r="E3339" s="3">
        <v>101.93</v>
      </c>
      <c r="F3339" s="3">
        <f t="shared" si="104"/>
        <v>25.757711000000004</v>
      </c>
      <c r="G3339" s="3">
        <f t="shared" si="105"/>
        <v>127.68771100000001</v>
      </c>
    </row>
    <row r="3340" spans="1:7" x14ac:dyDescent="0.3">
      <c r="A3340" t="s">
        <v>13039</v>
      </c>
      <c r="B3340" t="s">
        <v>6708</v>
      </c>
      <c r="C3340" t="s">
        <v>6709</v>
      </c>
      <c r="D3340" s="1" t="s">
        <v>195</v>
      </c>
      <c r="E3340" s="3">
        <v>76.94</v>
      </c>
      <c r="F3340" s="3">
        <f t="shared" si="104"/>
        <v>19.442738000000002</v>
      </c>
      <c r="G3340" s="3">
        <f t="shared" si="105"/>
        <v>96.382738000000003</v>
      </c>
    </row>
    <row r="3341" spans="1:7" x14ac:dyDescent="0.3">
      <c r="A3341" t="s">
        <v>13039</v>
      </c>
      <c r="B3341" t="s">
        <v>6710</v>
      </c>
      <c r="C3341" t="s">
        <v>6711</v>
      </c>
      <c r="D3341" s="1" t="s">
        <v>195</v>
      </c>
      <c r="E3341" s="3">
        <v>44.95</v>
      </c>
      <c r="F3341" s="3">
        <f t="shared" si="104"/>
        <v>11.358865000000002</v>
      </c>
      <c r="G3341" s="3">
        <f t="shared" si="105"/>
        <v>56.308865000000004</v>
      </c>
    </row>
    <row r="3342" spans="1:7" x14ac:dyDescent="0.3">
      <c r="A3342" t="s">
        <v>13039</v>
      </c>
      <c r="B3342" t="s">
        <v>6712</v>
      </c>
      <c r="C3342" t="s">
        <v>6713</v>
      </c>
      <c r="D3342" s="1" t="s">
        <v>195</v>
      </c>
      <c r="E3342" s="3">
        <v>32.22</v>
      </c>
      <c r="F3342" s="3">
        <f t="shared" si="104"/>
        <v>8.1419940000000004</v>
      </c>
      <c r="G3342" s="3">
        <f t="shared" si="105"/>
        <v>40.361993999999996</v>
      </c>
    </row>
    <row r="3343" spans="1:7" x14ac:dyDescent="0.3">
      <c r="A3343" t="s">
        <v>13039</v>
      </c>
      <c r="B3343" t="s">
        <v>6714</v>
      </c>
      <c r="C3343" t="s">
        <v>6715</v>
      </c>
      <c r="D3343" s="1" t="s">
        <v>195</v>
      </c>
      <c r="E3343" s="3">
        <v>53.55</v>
      </c>
      <c r="F3343" s="3">
        <f t="shared" si="104"/>
        <v>13.532085</v>
      </c>
      <c r="G3343" s="3">
        <f t="shared" si="105"/>
        <v>67.082084999999992</v>
      </c>
    </row>
    <row r="3344" spans="1:7" x14ac:dyDescent="0.3">
      <c r="A3344" t="s">
        <v>13039</v>
      </c>
      <c r="B3344" t="s">
        <v>6716</v>
      </c>
      <c r="C3344" t="s">
        <v>6717</v>
      </c>
      <c r="D3344" s="1" t="s">
        <v>195</v>
      </c>
      <c r="E3344" s="3">
        <v>40.78</v>
      </c>
      <c r="F3344" s="3">
        <f t="shared" si="104"/>
        <v>10.305106000000002</v>
      </c>
      <c r="G3344" s="3">
        <f t="shared" si="105"/>
        <v>51.085106000000003</v>
      </c>
    </row>
    <row r="3345" spans="1:7" x14ac:dyDescent="0.3">
      <c r="A3345" t="s">
        <v>13039</v>
      </c>
      <c r="B3345" t="s">
        <v>6718</v>
      </c>
      <c r="C3345" t="s">
        <v>6719</v>
      </c>
      <c r="D3345" s="1" t="s">
        <v>195</v>
      </c>
      <c r="E3345" s="3">
        <v>47.17</v>
      </c>
      <c r="F3345" s="3">
        <f t="shared" si="104"/>
        <v>11.919859000000002</v>
      </c>
      <c r="G3345" s="3">
        <f t="shared" si="105"/>
        <v>59.089859000000004</v>
      </c>
    </row>
    <row r="3346" spans="1:7" x14ac:dyDescent="0.3">
      <c r="A3346" t="s">
        <v>13039</v>
      </c>
      <c r="B3346" t="s">
        <v>6720</v>
      </c>
      <c r="C3346" t="s">
        <v>6721</v>
      </c>
      <c r="D3346" s="1" t="s">
        <v>195</v>
      </c>
      <c r="E3346" s="3">
        <v>33.83</v>
      </c>
      <c r="F3346" s="3">
        <f t="shared" si="104"/>
        <v>8.5488410000000012</v>
      </c>
      <c r="G3346" s="3">
        <f t="shared" si="105"/>
        <v>42.378841000000001</v>
      </c>
    </row>
    <row r="3347" spans="1:7" x14ac:dyDescent="0.3">
      <c r="A3347" t="s">
        <v>13039</v>
      </c>
      <c r="B3347" t="s">
        <v>6722</v>
      </c>
      <c r="C3347" t="s">
        <v>6723</v>
      </c>
      <c r="D3347" s="1" t="s">
        <v>195</v>
      </c>
      <c r="E3347" s="3">
        <v>56.19</v>
      </c>
      <c r="F3347" s="3">
        <f t="shared" si="104"/>
        <v>14.199213000000002</v>
      </c>
      <c r="G3347" s="3">
        <f t="shared" si="105"/>
        <v>70.389212999999998</v>
      </c>
    </row>
    <row r="3348" spans="1:7" x14ac:dyDescent="0.3">
      <c r="A3348" t="s">
        <v>13039</v>
      </c>
      <c r="B3348" t="s">
        <v>6724</v>
      </c>
      <c r="C3348" t="s">
        <v>6725</v>
      </c>
      <c r="D3348" s="1" t="s">
        <v>195</v>
      </c>
      <c r="E3348" s="3">
        <v>42.81</v>
      </c>
      <c r="F3348" s="3">
        <f t="shared" si="104"/>
        <v>10.818087000000002</v>
      </c>
      <c r="G3348" s="3">
        <f t="shared" si="105"/>
        <v>53.628087000000008</v>
      </c>
    </row>
    <row r="3349" spans="1:7" x14ac:dyDescent="0.3">
      <c r="A3349" t="s">
        <v>13039</v>
      </c>
      <c r="B3349" t="s">
        <v>6726</v>
      </c>
      <c r="C3349" t="s">
        <v>6727</v>
      </c>
      <c r="D3349" s="1" t="s">
        <v>195</v>
      </c>
      <c r="E3349" s="3">
        <v>48.72</v>
      </c>
      <c r="F3349" s="3">
        <f t="shared" si="104"/>
        <v>12.311544000000001</v>
      </c>
      <c r="G3349" s="3">
        <f t="shared" si="105"/>
        <v>61.031543999999997</v>
      </c>
    </row>
    <row r="3350" spans="1:7" x14ac:dyDescent="0.3">
      <c r="A3350" t="s">
        <v>13039</v>
      </c>
      <c r="B3350" t="s">
        <v>6728</v>
      </c>
      <c r="C3350" t="s">
        <v>6729</v>
      </c>
      <c r="D3350" s="1" t="s">
        <v>195</v>
      </c>
      <c r="E3350" s="3">
        <v>34.979999999999997</v>
      </c>
      <c r="F3350" s="3">
        <f t="shared" si="104"/>
        <v>8.8394460000000006</v>
      </c>
      <c r="G3350" s="3">
        <f t="shared" si="105"/>
        <v>43.819445999999999</v>
      </c>
    </row>
    <row r="3351" spans="1:7" x14ac:dyDescent="0.3">
      <c r="A3351" t="s">
        <v>13039</v>
      </c>
      <c r="B3351" t="s">
        <v>6730</v>
      </c>
      <c r="C3351" t="s">
        <v>6731</v>
      </c>
      <c r="D3351" s="1" t="s">
        <v>195</v>
      </c>
      <c r="E3351" s="3">
        <v>58.02</v>
      </c>
      <c r="F3351" s="3">
        <f t="shared" si="104"/>
        <v>14.661654000000002</v>
      </c>
      <c r="G3351" s="3">
        <f t="shared" si="105"/>
        <v>72.681654000000009</v>
      </c>
    </row>
    <row r="3352" spans="1:7" x14ac:dyDescent="0.3">
      <c r="A3352" t="s">
        <v>13039</v>
      </c>
      <c r="B3352" t="s">
        <v>6732</v>
      </c>
      <c r="C3352" t="s">
        <v>6733</v>
      </c>
      <c r="D3352" s="1" t="s">
        <v>195</v>
      </c>
      <c r="E3352" s="3">
        <v>44.24</v>
      </c>
      <c r="F3352" s="3">
        <f t="shared" si="104"/>
        <v>11.179448000000002</v>
      </c>
      <c r="G3352" s="3">
        <f t="shared" si="105"/>
        <v>55.419448000000003</v>
      </c>
    </row>
    <row r="3353" spans="1:7" x14ac:dyDescent="0.3">
      <c r="A3353" t="s">
        <v>13039</v>
      </c>
      <c r="B3353" t="s">
        <v>6734</v>
      </c>
      <c r="C3353" t="s">
        <v>6735</v>
      </c>
      <c r="D3353" s="1" t="s">
        <v>195</v>
      </c>
      <c r="E3353" s="3">
        <v>54.74</v>
      </c>
      <c r="F3353" s="3">
        <f t="shared" si="104"/>
        <v>13.832798000000002</v>
      </c>
      <c r="G3353" s="3">
        <f t="shared" si="105"/>
        <v>68.572798000000006</v>
      </c>
    </row>
    <row r="3354" spans="1:7" x14ac:dyDescent="0.3">
      <c r="A3354" t="s">
        <v>13039</v>
      </c>
      <c r="B3354" t="s">
        <v>6736</v>
      </c>
      <c r="C3354" t="s">
        <v>6737</v>
      </c>
      <c r="D3354" s="1" t="s">
        <v>195</v>
      </c>
      <c r="E3354" s="3">
        <v>39.130000000000003</v>
      </c>
      <c r="F3354" s="3">
        <f t="shared" si="104"/>
        <v>9.8881510000000024</v>
      </c>
      <c r="G3354" s="3">
        <f t="shared" si="105"/>
        <v>49.018151000000003</v>
      </c>
    </row>
    <row r="3355" spans="1:7" x14ac:dyDescent="0.3">
      <c r="A3355" t="s">
        <v>13039</v>
      </c>
      <c r="B3355" t="s">
        <v>6738</v>
      </c>
      <c r="C3355" t="s">
        <v>6739</v>
      </c>
      <c r="D3355" s="1" t="s">
        <v>195</v>
      </c>
      <c r="E3355" s="3">
        <v>65.33</v>
      </c>
      <c r="F3355" s="3">
        <f t="shared" si="104"/>
        <v>16.508891000000002</v>
      </c>
      <c r="G3355" s="3">
        <f t="shared" si="105"/>
        <v>81.838891000000004</v>
      </c>
    </row>
    <row r="3356" spans="1:7" x14ac:dyDescent="0.3">
      <c r="A3356" t="s">
        <v>13039</v>
      </c>
      <c r="B3356" t="s">
        <v>6740</v>
      </c>
      <c r="C3356" t="s">
        <v>6741</v>
      </c>
      <c r="D3356" s="1" t="s">
        <v>195</v>
      </c>
      <c r="E3356" s="3">
        <v>49.67</v>
      </c>
      <c r="F3356" s="3">
        <f t="shared" si="104"/>
        <v>12.551609000000003</v>
      </c>
      <c r="G3356" s="3">
        <f t="shared" si="105"/>
        <v>62.221609000000001</v>
      </c>
    </row>
    <row r="3357" spans="1:7" x14ac:dyDescent="0.3">
      <c r="A3357" t="s">
        <v>13039</v>
      </c>
      <c r="B3357" t="s">
        <v>6742</v>
      </c>
      <c r="C3357" t="s">
        <v>6743</v>
      </c>
      <c r="D3357" s="1" t="s">
        <v>195</v>
      </c>
      <c r="E3357" s="3">
        <v>18.93</v>
      </c>
      <c r="F3357" s="3">
        <f t="shared" si="104"/>
        <v>4.7836110000000005</v>
      </c>
      <c r="G3357" s="3">
        <f t="shared" si="105"/>
        <v>23.713611</v>
      </c>
    </row>
    <row r="3358" spans="1:7" x14ac:dyDescent="0.3">
      <c r="A3358" t="s">
        <v>13039</v>
      </c>
      <c r="B3358" t="s">
        <v>6744</v>
      </c>
      <c r="C3358" t="s">
        <v>6745</v>
      </c>
      <c r="D3358" s="1" t="s">
        <v>195</v>
      </c>
      <c r="E3358" s="3">
        <v>23.77</v>
      </c>
      <c r="F3358" s="3">
        <f t="shared" si="104"/>
        <v>6.006679000000001</v>
      </c>
      <c r="G3358" s="3">
        <f t="shared" si="105"/>
        <v>29.776679000000001</v>
      </c>
    </row>
    <row r="3359" spans="1:7" x14ac:dyDescent="0.3">
      <c r="A3359" t="s">
        <v>13039</v>
      </c>
      <c r="B3359" t="s">
        <v>6746</v>
      </c>
      <c r="C3359" t="s">
        <v>6747</v>
      </c>
      <c r="D3359" s="1" t="s">
        <v>195</v>
      </c>
      <c r="E3359" s="3">
        <v>15.71</v>
      </c>
      <c r="F3359" s="3">
        <f t="shared" si="104"/>
        <v>3.9699170000000006</v>
      </c>
      <c r="G3359" s="3">
        <f t="shared" si="105"/>
        <v>19.679917000000003</v>
      </c>
    </row>
    <row r="3360" spans="1:7" x14ac:dyDescent="0.3">
      <c r="A3360" t="s">
        <v>13039</v>
      </c>
      <c r="B3360" t="s">
        <v>6748</v>
      </c>
      <c r="C3360" t="s">
        <v>6749</v>
      </c>
      <c r="D3360" s="1" t="s">
        <v>195</v>
      </c>
      <c r="E3360" s="3">
        <v>8.15</v>
      </c>
      <c r="F3360" s="3">
        <f t="shared" si="104"/>
        <v>2.0595050000000006</v>
      </c>
      <c r="G3360" s="3">
        <f t="shared" si="105"/>
        <v>10.209505</v>
      </c>
    </row>
    <row r="3361" spans="1:7" x14ac:dyDescent="0.3">
      <c r="A3361" t="s">
        <v>13039</v>
      </c>
      <c r="B3361" t="s">
        <v>6750</v>
      </c>
      <c r="C3361" t="s">
        <v>6751</v>
      </c>
      <c r="D3361" s="1" t="s">
        <v>195</v>
      </c>
      <c r="E3361" s="3">
        <v>10.3</v>
      </c>
      <c r="F3361" s="3">
        <f t="shared" si="104"/>
        <v>2.6028100000000007</v>
      </c>
      <c r="G3361" s="3">
        <f t="shared" si="105"/>
        <v>12.902810000000002</v>
      </c>
    </row>
    <row r="3362" spans="1:7" x14ac:dyDescent="0.3">
      <c r="A3362" t="s">
        <v>13039</v>
      </c>
      <c r="B3362" t="s">
        <v>6752</v>
      </c>
      <c r="C3362" t="s">
        <v>6753</v>
      </c>
      <c r="D3362" s="1" t="s">
        <v>195</v>
      </c>
      <c r="E3362" s="3">
        <v>7.15</v>
      </c>
      <c r="F3362" s="3">
        <f t="shared" si="104"/>
        <v>1.8068050000000004</v>
      </c>
      <c r="G3362" s="3">
        <f t="shared" si="105"/>
        <v>8.956805000000001</v>
      </c>
    </row>
    <row r="3363" spans="1:7" x14ac:dyDescent="0.3">
      <c r="A3363" t="s">
        <v>13039</v>
      </c>
      <c r="B3363" t="s">
        <v>6754</v>
      </c>
      <c r="C3363" t="s">
        <v>6755</v>
      </c>
      <c r="D3363" s="1" t="s">
        <v>195</v>
      </c>
      <c r="E3363" s="3">
        <v>0.16</v>
      </c>
      <c r="F3363" s="3">
        <f t="shared" si="104"/>
        <v>4.043200000000001E-2</v>
      </c>
      <c r="G3363" s="3">
        <f t="shared" si="105"/>
        <v>0.200432</v>
      </c>
    </row>
    <row r="3364" spans="1:7" x14ac:dyDescent="0.3">
      <c r="A3364" t="s">
        <v>13039</v>
      </c>
      <c r="B3364" t="s">
        <v>6756</v>
      </c>
      <c r="C3364" t="s">
        <v>6757</v>
      </c>
      <c r="D3364" s="1" t="s">
        <v>195</v>
      </c>
      <c r="E3364" s="3">
        <v>1053.48</v>
      </c>
      <c r="F3364" s="3">
        <f t="shared" si="104"/>
        <v>266.21439600000002</v>
      </c>
      <c r="G3364" s="3">
        <f t="shared" si="105"/>
        <v>1319.6943960000001</v>
      </c>
    </row>
    <row r="3365" spans="1:7" x14ac:dyDescent="0.3">
      <c r="A3365" t="s">
        <v>13039</v>
      </c>
      <c r="B3365" t="s">
        <v>6758</v>
      </c>
      <c r="C3365" t="s">
        <v>6759</v>
      </c>
      <c r="D3365" s="1" t="s">
        <v>195</v>
      </c>
      <c r="E3365" s="3">
        <v>877.74</v>
      </c>
      <c r="F3365" s="3">
        <f t="shared" si="104"/>
        <v>221.80489800000004</v>
      </c>
      <c r="G3365" s="3">
        <f t="shared" si="105"/>
        <v>1099.5448980000001</v>
      </c>
    </row>
    <row r="3366" spans="1:7" x14ac:dyDescent="0.3">
      <c r="A3366" t="s">
        <v>13039</v>
      </c>
      <c r="B3366" t="s">
        <v>6760</v>
      </c>
      <c r="C3366" t="s">
        <v>6761</v>
      </c>
      <c r="D3366" s="1" t="s">
        <v>195</v>
      </c>
      <c r="E3366" s="3">
        <v>1104.07</v>
      </c>
      <c r="F3366" s="3">
        <f t="shared" si="104"/>
        <v>278.99848900000001</v>
      </c>
      <c r="G3366" s="3">
        <f t="shared" si="105"/>
        <v>1383.068489</v>
      </c>
    </row>
    <row r="3367" spans="1:7" x14ac:dyDescent="0.3">
      <c r="A3367" t="s">
        <v>13039</v>
      </c>
      <c r="B3367" t="s">
        <v>6762</v>
      </c>
      <c r="C3367" t="s">
        <v>6763</v>
      </c>
      <c r="D3367" s="1" t="s">
        <v>195</v>
      </c>
      <c r="E3367" s="3">
        <v>923.5</v>
      </c>
      <c r="F3367" s="3">
        <f t="shared" si="104"/>
        <v>233.36845000000002</v>
      </c>
      <c r="G3367" s="3">
        <f t="shared" si="105"/>
        <v>1156.8684499999999</v>
      </c>
    </row>
    <row r="3368" spans="1:7" x14ac:dyDescent="0.3">
      <c r="A3368" t="s">
        <v>13039</v>
      </c>
      <c r="B3368" t="s">
        <v>6764</v>
      </c>
      <c r="C3368" t="s">
        <v>6765</v>
      </c>
      <c r="D3368" s="1" t="s">
        <v>195</v>
      </c>
      <c r="E3368" s="3">
        <v>1142.77</v>
      </c>
      <c r="F3368" s="3">
        <f t="shared" si="104"/>
        <v>288.77797900000002</v>
      </c>
      <c r="G3368" s="3">
        <f t="shared" si="105"/>
        <v>1431.5479789999999</v>
      </c>
    </row>
    <row r="3369" spans="1:7" x14ac:dyDescent="0.3">
      <c r="A3369" t="s">
        <v>13039</v>
      </c>
      <c r="B3369" t="s">
        <v>6766</v>
      </c>
      <c r="C3369" t="s">
        <v>6767</v>
      </c>
      <c r="D3369" s="1" t="s">
        <v>195</v>
      </c>
      <c r="E3369" s="3">
        <v>961.47</v>
      </c>
      <c r="F3369" s="3">
        <f t="shared" si="104"/>
        <v>242.96346900000003</v>
      </c>
      <c r="G3369" s="3">
        <f t="shared" si="105"/>
        <v>1204.4334690000001</v>
      </c>
    </row>
    <row r="3370" spans="1:7" x14ac:dyDescent="0.3">
      <c r="A3370" t="s">
        <v>13039</v>
      </c>
      <c r="B3370" t="s">
        <v>6768</v>
      </c>
      <c r="C3370" t="s">
        <v>6769</v>
      </c>
      <c r="D3370" s="1" t="s">
        <v>195</v>
      </c>
      <c r="E3370" s="3">
        <v>1197.5999999999999</v>
      </c>
      <c r="F3370" s="3">
        <f t="shared" si="104"/>
        <v>302.63352000000003</v>
      </c>
      <c r="G3370" s="3">
        <f t="shared" si="105"/>
        <v>1500.23352</v>
      </c>
    </row>
    <row r="3371" spans="1:7" x14ac:dyDescent="0.3">
      <c r="A3371" t="s">
        <v>13039</v>
      </c>
      <c r="B3371" t="s">
        <v>6770</v>
      </c>
      <c r="C3371" t="s">
        <v>6771</v>
      </c>
      <c r="D3371" s="1" t="s">
        <v>195</v>
      </c>
      <c r="E3371" s="3">
        <v>1010.02</v>
      </c>
      <c r="F3371" s="3">
        <f t="shared" si="104"/>
        <v>255.23205400000003</v>
      </c>
      <c r="G3371" s="3">
        <f t="shared" si="105"/>
        <v>1265.252054</v>
      </c>
    </row>
    <row r="3372" spans="1:7" x14ac:dyDescent="0.3">
      <c r="A3372" t="s">
        <v>13039</v>
      </c>
      <c r="B3372" t="s">
        <v>6772</v>
      </c>
      <c r="C3372" t="s">
        <v>6773</v>
      </c>
      <c r="D3372" s="1" t="s">
        <v>195</v>
      </c>
      <c r="E3372" s="3">
        <v>1365.2</v>
      </c>
      <c r="F3372" s="3">
        <f t="shared" si="104"/>
        <v>344.98604000000006</v>
      </c>
      <c r="G3372" s="3">
        <f t="shared" si="105"/>
        <v>1710.18604</v>
      </c>
    </row>
    <row r="3373" spans="1:7" x14ac:dyDescent="0.3">
      <c r="A3373" t="s">
        <v>13039</v>
      </c>
      <c r="B3373" t="s">
        <v>6774</v>
      </c>
      <c r="C3373" t="s">
        <v>6775</v>
      </c>
      <c r="D3373" s="1" t="s">
        <v>195</v>
      </c>
      <c r="E3373" s="3">
        <v>1170.4000000000001</v>
      </c>
      <c r="F3373" s="3">
        <f t="shared" si="104"/>
        <v>295.76008000000007</v>
      </c>
      <c r="G3373" s="3">
        <f t="shared" si="105"/>
        <v>1466.1600800000001</v>
      </c>
    </row>
    <row r="3374" spans="1:7" x14ac:dyDescent="0.3">
      <c r="A3374" t="s">
        <v>13039</v>
      </c>
      <c r="B3374" t="s">
        <v>6776</v>
      </c>
      <c r="C3374" t="s">
        <v>6777</v>
      </c>
      <c r="D3374" s="1" t="s">
        <v>195</v>
      </c>
      <c r="E3374" s="3">
        <v>1526.16</v>
      </c>
      <c r="F3374" s="3">
        <f t="shared" si="104"/>
        <v>385.66063200000008</v>
      </c>
      <c r="G3374" s="3">
        <f t="shared" si="105"/>
        <v>1911.8206320000002</v>
      </c>
    </row>
    <row r="3375" spans="1:7" x14ac:dyDescent="0.3">
      <c r="A3375" t="s">
        <v>13039</v>
      </c>
      <c r="B3375" t="s">
        <v>6778</v>
      </c>
      <c r="C3375" t="s">
        <v>6779</v>
      </c>
      <c r="D3375" s="1" t="s">
        <v>195</v>
      </c>
      <c r="E3375" s="3">
        <v>1317.85</v>
      </c>
      <c r="F3375" s="3">
        <f t="shared" si="104"/>
        <v>333.02069500000005</v>
      </c>
      <c r="G3375" s="3">
        <f t="shared" si="105"/>
        <v>1650.8706950000001</v>
      </c>
    </row>
    <row r="3376" spans="1:7" x14ac:dyDescent="0.3">
      <c r="A3376" t="s">
        <v>13039</v>
      </c>
      <c r="B3376" t="s">
        <v>6780</v>
      </c>
      <c r="C3376" t="s">
        <v>6781</v>
      </c>
      <c r="D3376" s="1" t="s">
        <v>195</v>
      </c>
      <c r="E3376" s="3">
        <v>212.8</v>
      </c>
      <c r="F3376" s="3">
        <f t="shared" si="104"/>
        <v>53.774560000000008</v>
      </c>
      <c r="G3376" s="3">
        <f t="shared" si="105"/>
        <v>266.57456000000002</v>
      </c>
    </row>
    <row r="3377" spans="1:7" x14ac:dyDescent="0.3">
      <c r="A3377" t="s">
        <v>13039</v>
      </c>
      <c r="B3377" t="s">
        <v>6782</v>
      </c>
      <c r="C3377" t="s">
        <v>6783</v>
      </c>
      <c r="D3377" s="1" t="s">
        <v>195</v>
      </c>
      <c r="E3377" s="3">
        <v>268.5</v>
      </c>
      <c r="F3377" s="3">
        <f t="shared" si="104"/>
        <v>67.849950000000007</v>
      </c>
      <c r="G3377" s="3">
        <f t="shared" si="105"/>
        <v>336.34995000000004</v>
      </c>
    </row>
    <row r="3378" spans="1:7" x14ac:dyDescent="0.3">
      <c r="A3378" t="s">
        <v>13039</v>
      </c>
      <c r="B3378" t="s">
        <v>6784</v>
      </c>
      <c r="C3378" t="s">
        <v>6785</v>
      </c>
      <c r="D3378" s="1" t="s">
        <v>195</v>
      </c>
      <c r="E3378" s="3">
        <v>428.34</v>
      </c>
      <c r="F3378" s="3">
        <f t="shared" si="104"/>
        <v>108.24151800000001</v>
      </c>
      <c r="G3378" s="3">
        <f t="shared" si="105"/>
        <v>536.58151799999996</v>
      </c>
    </row>
    <row r="3379" spans="1:7" x14ac:dyDescent="0.3">
      <c r="A3379" t="s">
        <v>13039</v>
      </c>
      <c r="B3379" t="s">
        <v>6786</v>
      </c>
      <c r="C3379" t="s">
        <v>6787</v>
      </c>
      <c r="D3379" s="1" t="s">
        <v>195</v>
      </c>
      <c r="E3379" s="3">
        <v>542.13</v>
      </c>
      <c r="F3379" s="3">
        <f t="shared" si="104"/>
        <v>136.99625100000003</v>
      </c>
      <c r="G3379" s="3">
        <f t="shared" si="105"/>
        <v>679.12625100000002</v>
      </c>
    </row>
    <row r="3380" spans="1:7" x14ac:dyDescent="0.3">
      <c r="A3380" t="s">
        <v>13039</v>
      </c>
      <c r="B3380" t="s">
        <v>6788</v>
      </c>
      <c r="C3380" t="s">
        <v>6789</v>
      </c>
      <c r="D3380" s="1" t="s">
        <v>195</v>
      </c>
      <c r="E3380" s="3">
        <v>816.06</v>
      </c>
      <c r="F3380" s="3">
        <f t="shared" si="104"/>
        <v>206.21836200000001</v>
      </c>
      <c r="G3380" s="3">
        <f t="shared" si="105"/>
        <v>1022.278362</v>
      </c>
    </row>
    <row r="3381" spans="1:7" x14ac:dyDescent="0.3">
      <c r="A3381" t="s">
        <v>13039</v>
      </c>
      <c r="B3381" t="s">
        <v>6790</v>
      </c>
      <c r="C3381" t="s">
        <v>6791</v>
      </c>
      <c r="D3381" s="1" t="s">
        <v>195</v>
      </c>
      <c r="E3381" s="3">
        <v>1397</v>
      </c>
      <c r="F3381" s="3">
        <f t="shared" si="104"/>
        <v>353.02190000000007</v>
      </c>
      <c r="G3381" s="3">
        <f t="shared" si="105"/>
        <v>1750.0219000000002</v>
      </c>
    </row>
    <row r="3382" spans="1:7" x14ac:dyDescent="0.3">
      <c r="A3382" t="s">
        <v>13039</v>
      </c>
      <c r="B3382" t="s">
        <v>6792</v>
      </c>
      <c r="C3382" t="s">
        <v>6793</v>
      </c>
      <c r="D3382" s="1" t="s">
        <v>195</v>
      </c>
      <c r="E3382" s="3">
        <v>185.12</v>
      </c>
      <c r="F3382" s="3">
        <f t="shared" si="104"/>
        <v>46.779824000000005</v>
      </c>
      <c r="G3382" s="3">
        <f t="shared" si="105"/>
        <v>231.89982400000002</v>
      </c>
    </row>
    <row r="3383" spans="1:7" x14ac:dyDescent="0.3">
      <c r="A3383" t="s">
        <v>13039</v>
      </c>
      <c r="B3383" t="s">
        <v>6794</v>
      </c>
      <c r="C3383" t="s">
        <v>6795</v>
      </c>
      <c r="D3383" s="1" t="s">
        <v>195</v>
      </c>
      <c r="E3383" s="3">
        <v>160.91</v>
      </c>
      <c r="F3383" s="3">
        <f t="shared" si="104"/>
        <v>40.661957000000008</v>
      </c>
      <c r="G3383" s="3">
        <f t="shared" si="105"/>
        <v>201.571957</v>
      </c>
    </row>
    <row r="3384" spans="1:7" x14ac:dyDescent="0.3">
      <c r="A3384" t="s">
        <v>13039</v>
      </c>
      <c r="B3384" t="s">
        <v>6796</v>
      </c>
      <c r="C3384" t="s">
        <v>6797</v>
      </c>
      <c r="D3384" s="1" t="s">
        <v>195</v>
      </c>
      <c r="E3384" s="3">
        <v>271.79000000000002</v>
      </c>
      <c r="F3384" s="3">
        <f t="shared" si="104"/>
        <v>68.681333000000009</v>
      </c>
      <c r="G3384" s="3">
        <f t="shared" si="105"/>
        <v>340.47133300000002</v>
      </c>
    </row>
    <row r="3385" spans="1:7" x14ac:dyDescent="0.3">
      <c r="A3385" t="s">
        <v>13039</v>
      </c>
      <c r="B3385" t="s">
        <v>6798</v>
      </c>
      <c r="C3385" t="s">
        <v>6799</v>
      </c>
      <c r="D3385" s="1" t="s">
        <v>195</v>
      </c>
      <c r="E3385" s="3">
        <v>233.44</v>
      </c>
      <c r="F3385" s="3">
        <f t="shared" si="104"/>
        <v>58.990288000000007</v>
      </c>
      <c r="G3385" s="3">
        <f t="shared" si="105"/>
        <v>292.43028800000002</v>
      </c>
    </row>
    <row r="3386" spans="1:7" x14ac:dyDescent="0.3">
      <c r="A3386" t="s">
        <v>13039</v>
      </c>
      <c r="B3386" t="s">
        <v>6800</v>
      </c>
      <c r="C3386" t="s">
        <v>6801</v>
      </c>
      <c r="D3386" s="1" t="s">
        <v>195</v>
      </c>
      <c r="E3386" s="3">
        <v>444.34</v>
      </c>
      <c r="F3386" s="3">
        <f t="shared" si="104"/>
        <v>112.28471800000001</v>
      </c>
      <c r="G3386" s="3">
        <f t="shared" si="105"/>
        <v>556.62471800000003</v>
      </c>
    </row>
    <row r="3387" spans="1:7" x14ac:dyDescent="0.3">
      <c r="A3387" t="s">
        <v>13039</v>
      </c>
      <c r="B3387" t="s">
        <v>6802</v>
      </c>
      <c r="C3387" t="s">
        <v>6803</v>
      </c>
      <c r="D3387" s="1" t="s">
        <v>195</v>
      </c>
      <c r="E3387" s="3">
        <v>391.79</v>
      </c>
      <c r="F3387" s="3">
        <f t="shared" si="104"/>
        <v>99.005333000000022</v>
      </c>
      <c r="G3387" s="3">
        <f t="shared" si="105"/>
        <v>490.79533300000003</v>
      </c>
    </row>
    <row r="3388" spans="1:7" x14ac:dyDescent="0.3">
      <c r="A3388" t="s">
        <v>13039</v>
      </c>
      <c r="B3388" t="s">
        <v>6804</v>
      </c>
      <c r="C3388" t="s">
        <v>6805</v>
      </c>
      <c r="D3388" s="1" t="s">
        <v>195</v>
      </c>
      <c r="E3388" s="3">
        <v>592.08000000000004</v>
      </c>
      <c r="F3388" s="3">
        <f t="shared" si="104"/>
        <v>149.61861600000003</v>
      </c>
      <c r="G3388" s="3">
        <f t="shared" si="105"/>
        <v>741.69861600000013</v>
      </c>
    </row>
    <row r="3389" spans="1:7" x14ac:dyDescent="0.3">
      <c r="A3389" t="s">
        <v>13039</v>
      </c>
      <c r="B3389" t="s">
        <v>6806</v>
      </c>
      <c r="C3389" t="s">
        <v>6807</v>
      </c>
      <c r="D3389" s="1" t="s">
        <v>195</v>
      </c>
      <c r="E3389" s="3">
        <v>515.29</v>
      </c>
      <c r="F3389" s="3">
        <f t="shared" si="104"/>
        <v>130.21378300000001</v>
      </c>
      <c r="G3389" s="3">
        <f t="shared" si="105"/>
        <v>645.503783</v>
      </c>
    </row>
    <row r="3390" spans="1:7" x14ac:dyDescent="0.3">
      <c r="A3390" t="s">
        <v>13039</v>
      </c>
      <c r="B3390" t="s">
        <v>6808</v>
      </c>
      <c r="C3390" t="s">
        <v>6809</v>
      </c>
      <c r="D3390" s="1" t="s">
        <v>195</v>
      </c>
      <c r="E3390" s="3">
        <v>921.57</v>
      </c>
      <c r="F3390" s="3">
        <f t="shared" si="104"/>
        <v>232.88073900000003</v>
      </c>
      <c r="G3390" s="3">
        <f t="shared" si="105"/>
        <v>1154.4507390000001</v>
      </c>
    </row>
    <row r="3391" spans="1:7" x14ac:dyDescent="0.3">
      <c r="A3391" t="s">
        <v>13039</v>
      </c>
      <c r="B3391" t="s">
        <v>6810</v>
      </c>
      <c r="C3391" t="s">
        <v>6811</v>
      </c>
      <c r="D3391" s="1" t="s">
        <v>195</v>
      </c>
      <c r="E3391" s="3">
        <v>801.39</v>
      </c>
      <c r="F3391" s="3">
        <f t="shared" si="104"/>
        <v>202.51125300000004</v>
      </c>
      <c r="G3391" s="3">
        <f t="shared" si="105"/>
        <v>1003.901253</v>
      </c>
    </row>
    <row r="3392" spans="1:7" x14ac:dyDescent="0.3">
      <c r="A3392" t="s">
        <v>13039</v>
      </c>
      <c r="B3392" t="s">
        <v>6812</v>
      </c>
      <c r="C3392" t="s">
        <v>6813</v>
      </c>
      <c r="D3392" s="1" t="s">
        <v>195</v>
      </c>
      <c r="E3392" s="3">
        <v>241.81</v>
      </c>
      <c r="F3392" s="3">
        <f t="shared" si="104"/>
        <v>61.105387000000007</v>
      </c>
      <c r="G3392" s="3">
        <f t="shared" si="105"/>
        <v>302.91538700000001</v>
      </c>
    </row>
    <row r="3393" spans="1:7" x14ac:dyDescent="0.3">
      <c r="A3393" t="s">
        <v>13039</v>
      </c>
      <c r="B3393" t="s">
        <v>6814</v>
      </c>
      <c r="C3393" t="s">
        <v>6815</v>
      </c>
      <c r="D3393" s="1" t="s">
        <v>195</v>
      </c>
      <c r="E3393" s="3">
        <v>294.89</v>
      </c>
      <c r="F3393" s="3">
        <f t="shared" si="104"/>
        <v>74.518703000000002</v>
      </c>
      <c r="G3393" s="3">
        <f t="shared" si="105"/>
        <v>369.408703</v>
      </c>
    </row>
    <row r="3394" spans="1:7" x14ac:dyDescent="0.3">
      <c r="A3394" t="s">
        <v>13039</v>
      </c>
      <c r="B3394" t="s">
        <v>6816</v>
      </c>
      <c r="C3394" t="s">
        <v>6817</v>
      </c>
      <c r="D3394" s="1" t="s">
        <v>195</v>
      </c>
      <c r="E3394" s="3">
        <v>474.82</v>
      </c>
      <c r="F3394" s="3">
        <f t="shared" si="104"/>
        <v>119.98701400000002</v>
      </c>
      <c r="G3394" s="3">
        <f t="shared" si="105"/>
        <v>594.80701399999998</v>
      </c>
    </row>
    <row r="3395" spans="1:7" x14ac:dyDescent="0.3">
      <c r="A3395" t="s">
        <v>13039</v>
      </c>
      <c r="B3395" t="s">
        <v>6818</v>
      </c>
      <c r="C3395" t="s">
        <v>6819</v>
      </c>
      <c r="D3395" s="1" t="s">
        <v>195</v>
      </c>
      <c r="E3395" s="3">
        <v>630.46</v>
      </c>
      <c r="F3395" s="3">
        <f t="shared" si="104"/>
        <v>159.31724200000002</v>
      </c>
      <c r="G3395" s="3">
        <f t="shared" si="105"/>
        <v>789.77724200000011</v>
      </c>
    </row>
    <row r="3396" spans="1:7" x14ac:dyDescent="0.3">
      <c r="A3396" t="s">
        <v>13039</v>
      </c>
      <c r="B3396" t="s">
        <v>6820</v>
      </c>
      <c r="C3396" t="s">
        <v>6821</v>
      </c>
      <c r="D3396" s="1" t="s">
        <v>195</v>
      </c>
      <c r="E3396" s="3">
        <v>896.61</v>
      </c>
      <c r="F3396" s="3">
        <f t="shared" si="104"/>
        <v>226.57334700000004</v>
      </c>
      <c r="G3396" s="3">
        <f t="shared" si="105"/>
        <v>1123.1833470000001</v>
      </c>
    </row>
    <row r="3397" spans="1:7" x14ac:dyDescent="0.3">
      <c r="A3397" t="s">
        <v>13039</v>
      </c>
      <c r="B3397" t="s">
        <v>6822</v>
      </c>
      <c r="C3397" t="s">
        <v>6823</v>
      </c>
      <c r="D3397" s="1" t="s">
        <v>195</v>
      </c>
      <c r="E3397" s="3">
        <v>1433.92</v>
      </c>
      <c r="F3397" s="3">
        <f t="shared" si="104"/>
        <v>362.35158400000006</v>
      </c>
      <c r="G3397" s="3">
        <f t="shared" si="105"/>
        <v>1796.2715840000001</v>
      </c>
    </row>
    <row r="3398" spans="1:7" x14ac:dyDescent="0.3">
      <c r="A3398" t="s">
        <v>13039</v>
      </c>
      <c r="B3398" t="s">
        <v>6824</v>
      </c>
      <c r="C3398" t="s">
        <v>6825</v>
      </c>
      <c r="D3398" s="1" t="s">
        <v>195</v>
      </c>
      <c r="E3398" s="3">
        <v>199.2</v>
      </c>
      <c r="F3398" s="3">
        <f t="shared" si="104"/>
        <v>50.337840000000007</v>
      </c>
      <c r="G3398" s="3">
        <f t="shared" si="105"/>
        <v>249.53783999999999</v>
      </c>
    </row>
    <row r="3399" spans="1:7" x14ac:dyDescent="0.3">
      <c r="A3399" t="s">
        <v>13039</v>
      </c>
      <c r="B3399" t="s">
        <v>6826</v>
      </c>
      <c r="C3399" t="s">
        <v>6827</v>
      </c>
      <c r="D3399" s="1" t="s">
        <v>195</v>
      </c>
      <c r="E3399" s="3">
        <v>175.01</v>
      </c>
      <c r="F3399" s="3">
        <f t="shared" ref="F3399:F3462" si="106">+E3399*$F$4</f>
        <v>44.225027000000004</v>
      </c>
      <c r="G3399" s="3">
        <f t="shared" ref="G3399:G3462" si="107">+E3399+F3399</f>
        <v>219.235027</v>
      </c>
    </row>
    <row r="3400" spans="1:7" x14ac:dyDescent="0.3">
      <c r="A3400" t="s">
        <v>13039</v>
      </c>
      <c r="B3400" t="s">
        <v>6828</v>
      </c>
      <c r="C3400" t="s">
        <v>6829</v>
      </c>
      <c r="D3400" s="1" t="s">
        <v>195</v>
      </c>
      <c r="E3400" s="3">
        <v>328.11</v>
      </c>
      <c r="F3400" s="3">
        <f t="shared" si="106"/>
        <v>82.913397000000018</v>
      </c>
      <c r="G3400" s="3">
        <f t="shared" si="107"/>
        <v>411.02339700000005</v>
      </c>
    </row>
    <row r="3401" spans="1:7" x14ac:dyDescent="0.3">
      <c r="A3401" t="s">
        <v>13039</v>
      </c>
      <c r="B3401" t="s">
        <v>6830</v>
      </c>
      <c r="C3401" t="s">
        <v>6831</v>
      </c>
      <c r="D3401" s="1" t="s">
        <v>195</v>
      </c>
      <c r="E3401" s="3">
        <v>289.85000000000002</v>
      </c>
      <c r="F3401" s="3">
        <f t="shared" si="106"/>
        <v>73.24509500000002</v>
      </c>
      <c r="G3401" s="3">
        <f t="shared" si="107"/>
        <v>363.09509500000001</v>
      </c>
    </row>
    <row r="3402" spans="1:7" x14ac:dyDescent="0.3">
      <c r="A3402" t="s">
        <v>13039</v>
      </c>
      <c r="B3402" t="s">
        <v>6832</v>
      </c>
      <c r="C3402" t="s">
        <v>6833</v>
      </c>
      <c r="D3402" s="1" t="s">
        <v>195</v>
      </c>
      <c r="E3402" s="3">
        <v>500.66</v>
      </c>
      <c r="F3402" s="3">
        <f t="shared" si="106"/>
        <v>126.51678200000002</v>
      </c>
      <c r="G3402" s="3">
        <f t="shared" si="107"/>
        <v>627.176782</v>
      </c>
    </row>
    <row r="3403" spans="1:7" x14ac:dyDescent="0.3">
      <c r="A3403" t="s">
        <v>13039</v>
      </c>
      <c r="B3403" t="s">
        <v>6834</v>
      </c>
      <c r="C3403" t="s">
        <v>6835</v>
      </c>
      <c r="D3403" s="1" t="s">
        <v>195</v>
      </c>
      <c r="E3403" s="3">
        <v>448.2</v>
      </c>
      <c r="F3403" s="3">
        <f t="shared" si="106"/>
        <v>113.26014000000001</v>
      </c>
      <c r="G3403" s="3">
        <f t="shared" si="107"/>
        <v>561.46014000000002</v>
      </c>
    </row>
    <row r="3404" spans="1:7" x14ac:dyDescent="0.3">
      <c r="A3404" t="s">
        <v>13039</v>
      </c>
      <c r="B3404" t="s">
        <v>6836</v>
      </c>
      <c r="C3404" t="s">
        <v>6837</v>
      </c>
      <c r="D3404" s="1" t="s">
        <v>195</v>
      </c>
      <c r="E3404" s="3">
        <v>718.8</v>
      </c>
      <c r="F3404" s="3">
        <f t="shared" si="106"/>
        <v>181.64076</v>
      </c>
      <c r="G3404" s="3">
        <f t="shared" si="107"/>
        <v>900.44075999999995</v>
      </c>
    </row>
    <row r="3405" spans="1:7" x14ac:dyDescent="0.3">
      <c r="A3405" t="s">
        <v>13039</v>
      </c>
      <c r="B3405" t="s">
        <v>6838</v>
      </c>
      <c r="C3405" t="s">
        <v>6839</v>
      </c>
      <c r="D3405" s="1" t="s">
        <v>195</v>
      </c>
      <c r="E3405" s="3">
        <v>642.21</v>
      </c>
      <c r="F3405" s="3">
        <f t="shared" si="106"/>
        <v>162.28646700000004</v>
      </c>
      <c r="G3405" s="3">
        <f t="shared" si="107"/>
        <v>804.49646700000005</v>
      </c>
    </row>
    <row r="3406" spans="1:7" x14ac:dyDescent="0.3">
      <c r="A3406" t="s">
        <v>13039</v>
      </c>
      <c r="B3406" t="s">
        <v>6840</v>
      </c>
      <c r="C3406" t="s">
        <v>6841</v>
      </c>
      <c r="D3406" s="1" t="s">
        <v>195</v>
      </c>
      <c r="E3406" s="3">
        <v>1118.69</v>
      </c>
      <c r="F3406" s="3">
        <f t="shared" si="106"/>
        <v>282.69296300000008</v>
      </c>
      <c r="G3406" s="3">
        <f t="shared" si="107"/>
        <v>1401.382963</v>
      </c>
    </row>
    <row r="3407" spans="1:7" x14ac:dyDescent="0.3">
      <c r="A3407" t="s">
        <v>13039</v>
      </c>
      <c r="B3407" t="s">
        <v>6842</v>
      </c>
      <c r="C3407" t="s">
        <v>6843</v>
      </c>
      <c r="D3407" s="1" t="s">
        <v>195</v>
      </c>
      <c r="E3407" s="3">
        <v>998.82</v>
      </c>
      <c r="F3407" s="3">
        <f t="shared" si="106"/>
        <v>252.40181400000006</v>
      </c>
      <c r="G3407" s="3">
        <f t="shared" si="107"/>
        <v>1251.221814</v>
      </c>
    </row>
    <row r="3408" spans="1:7" x14ac:dyDescent="0.3">
      <c r="A3408" t="s">
        <v>13039</v>
      </c>
      <c r="B3408" t="s">
        <v>6844</v>
      </c>
      <c r="C3408" t="s">
        <v>6845</v>
      </c>
      <c r="D3408" s="1" t="s">
        <v>195</v>
      </c>
      <c r="E3408" s="3">
        <v>275.3</v>
      </c>
      <c r="F3408" s="3">
        <f t="shared" si="106"/>
        <v>69.568310000000011</v>
      </c>
      <c r="G3408" s="3">
        <f t="shared" si="107"/>
        <v>344.86831000000001</v>
      </c>
    </row>
    <row r="3409" spans="1:7" x14ac:dyDescent="0.3">
      <c r="A3409" t="s">
        <v>13039</v>
      </c>
      <c r="B3409" t="s">
        <v>6846</v>
      </c>
      <c r="C3409" t="s">
        <v>6847</v>
      </c>
      <c r="D3409" s="1" t="s">
        <v>195</v>
      </c>
      <c r="E3409" s="3">
        <v>337.7</v>
      </c>
      <c r="F3409" s="3">
        <f t="shared" si="106"/>
        <v>85.336790000000008</v>
      </c>
      <c r="G3409" s="3">
        <f t="shared" si="107"/>
        <v>423.03679</v>
      </c>
    </row>
    <row r="3410" spans="1:7" x14ac:dyDescent="0.3">
      <c r="A3410" t="s">
        <v>13039</v>
      </c>
      <c r="B3410" t="s">
        <v>6848</v>
      </c>
      <c r="C3410" t="s">
        <v>6849</v>
      </c>
      <c r="D3410" s="1" t="s">
        <v>195</v>
      </c>
      <c r="E3410" s="3">
        <v>556.26</v>
      </c>
      <c r="F3410" s="3">
        <f t="shared" si="106"/>
        <v>140.56690200000003</v>
      </c>
      <c r="G3410" s="3">
        <f t="shared" si="107"/>
        <v>696.82690200000002</v>
      </c>
    </row>
    <row r="3411" spans="1:7" x14ac:dyDescent="0.3">
      <c r="A3411" t="s">
        <v>13039</v>
      </c>
      <c r="B3411" t="s">
        <v>6850</v>
      </c>
      <c r="C3411" t="s">
        <v>6851</v>
      </c>
      <c r="D3411" s="1" t="s">
        <v>195</v>
      </c>
      <c r="E3411" s="3">
        <v>663.6</v>
      </c>
      <c r="F3411" s="3">
        <f t="shared" si="106"/>
        <v>167.69172000000003</v>
      </c>
      <c r="G3411" s="3">
        <f t="shared" si="107"/>
        <v>831.29172000000005</v>
      </c>
    </row>
    <row r="3412" spans="1:7" x14ac:dyDescent="0.3">
      <c r="A3412" t="s">
        <v>13039</v>
      </c>
      <c r="B3412" t="s">
        <v>6852</v>
      </c>
      <c r="C3412" t="s">
        <v>6853</v>
      </c>
      <c r="D3412" s="1" t="s">
        <v>195</v>
      </c>
      <c r="E3412" s="3">
        <v>1126.56</v>
      </c>
      <c r="F3412" s="3">
        <f t="shared" si="106"/>
        <v>284.681712</v>
      </c>
      <c r="G3412" s="3">
        <f t="shared" si="107"/>
        <v>1411.241712</v>
      </c>
    </row>
    <row r="3413" spans="1:7" x14ac:dyDescent="0.3">
      <c r="A3413" t="s">
        <v>13039</v>
      </c>
      <c r="B3413" t="s">
        <v>6854</v>
      </c>
      <c r="C3413" t="s">
        <v>6855</v>
      </c>
      <c r="D3413" s="1" t="s">
        <v>195</v>
      </c>
      <c r="E3413" s="3">
        <v>1453.02</v>
      </c>
      <c r="F3413" s="3">
        <f t="shared" si="106"/>
        <v>367.17815400000006</v>
      </c>
      <c r="G3413" s="3">
        <f t="shared" si="107"/>
        <v>1820.1981540000002</v>
      </c>
    </row>
    <row r="3414" spans="1:7" x14ac:dyDescent="0.3">
      <c r="A3414" t="s">
        <v>13039</v>
      </c>
      <c r="B3414" t="s">
        <v>6856</v>
      </c>
      <c r="C3414" t="s">
        <v>6857</v>
      </c>
      <c r="D3414" s="1" t="s">
        <v>195</v>
      </c>
      <c r="E3414" s="3">
        <v>269.60000000000002</v>
      </c>
      <c r="F3414" s="3">
        <f t="shared" si="106"/>
        <v>68.127920000000017</v>
      </c>
      <c r="G3414" s="3">
        <f t="shared" si="107"/>
        <v>337.72792000000004</v>
      </c>
    </row>
    <row r="3415" spans="1:7" x14ac:dyDescent="0.3">
      <c r="A3415" t="s">
        <v>13039</v>
      </c>
      <c r="B3415" t="s">
        <v>6858</v>
      </c>
      <c r="C3415" t="s">
        <v>6859</v>
      </c>
      <c r="D3415" s="1" t="s">
        <v>195</v>
      </c>
      <c r="E3415" s="3">
        <v>245.52</v>
      </c>
      <c r="F3415" s="3">
        <f t="shared" si="106"/>
        <v>62.042904000000014</v>
      </c>
      <c r="G3415" s="3">
        <f t="shared" si="107"/>
        <v>307.562904</v>
      </c>
    </row>
    <row r="3416" spans="1:7" x14ac:dyDescent="0.3">
      <c r="A3416" t="s">
        <v>13039</v>
      </c>
      <c r="B3416" t="s">
        <v>6860</v>
      </c>
      <c r="C3416" t="s">
        <v>6861</v>
      </c>
      <c r="D3416" s="1" t="s">
        <v>195</v>
      </c>
      <c r="E3416" s="3">
        <v>439.43</v>
      </c>
      <c r="F3416" s="3">
        <f t="shared" si="106"/>
        <v>111.04396100000002</v>
      </c>
      <c r="G3416" s="3">
        <f t="shared" si="107"/>
        <v>550.47396100000003</v>
      </c>
    </row>
    <row r="3417" spans="1:7" x14ac:dyDescent="0.3">
      <c r="A3417" t="s">
        <v>13039</v>
      </c>
      <c r="B3417" t="s">
        <v>6862</v>
      </c>
      <c r="C3417" t="s">
        <v>6863</v>
      </c>
      <c r="D3417" s="1" t="s">
        <v>195</v>
      </c>
      <c r="E3417" s="3">
        <v>396.61</v>
      </c>
      <c r="F3417" s="3">
        <f t="shared" si="106"/>
        <v>100.22334700000002</v>
      </c>
      <c r="G3417" s="3">
        <f t="shared" si="107"/>
        <v>496.833347</v>
      </c>
    </row>
    <row r="3418" spans="1:7" x14ac:dyDescent="0.3">
      <c r="A3418" t="s">
        <v>13039</v>
      </c>
      <c r="B3418" t="s">
        <v>6864</v>
      </c>
      <c r="C3418" t="s">
        <v>6865</v>
      </c>
      <c r="D3418" s="1" t="s">
        <v>195</v>
      </c>
      <c r="E3418" s="3">
        <v>610.67999999999995</v>
      </c>
      <c r="F3418" s="3">
        <f t="shared" si="106"/>
        <v>154.318836</v>
      </c>
      <c r="G3418" s="3">
        <f t="shared" si="107"/>
        <v>764.99883599999998</v>
      </c>
    </row>
    <row r="3419" spans="1:7" x14ac:dyDescent="0.3">
      <c r="A3419" t="s">
        <v>13039</v>
      </c>
      <c r="B3419" t="s">
        <v>6866</v>
      </c>
      <c r="C3419" t="s">
        <v>6867</v>
      </c>
      <c r="D3419" s="1" t="s">
        <v>195</v>
      </c>
      <c r="E3419" s="3">
        <v>543.72</v>
      </c>
      <c r="F3419" s="3">
        <f t="shared" si="106"/>
        <v>137.39804400000003</v>
      </c>
      <c r="G3419" s="3">
        <f t="shared" si="107"/>
        <v>681.11804400000005</v>
      </c>
    </row>
    <row r="3420" spans="1:7" x14ac:dyDescent="0.3">
      <c r="A3420" t="s">
        <v>13039</v>
      </c>
      <c r="B3420" t="s">
        <v>6868</v>
      </c>
      <c r="C3420" t="s">
        <v>6869</v>
      </c>
      <c r="D3420" s="1" t="s">
        <v>195</v>
      </c>
      <c r="E3420" s="3">
        <v>915.94</v>
      </c>
      <c r="F3420" s="3">
        <f t="shared" si="106"/>
        <v>231.45803800000004</v>
      </c>
      <c r="G3420" s="3">
        <f t="shared" si="107"/>
        <v>1147.398038</v>
      </c>
    </row>
    <row r="3421" spans="1:7" x14ac:dyDescent="0.3">
      <c r="A3421" t="s">
        <v>13039</v>
      </c>
      <c r="B3421" t="s">
        <v>6870</v>
      </c>
      <c r="C3421" t="s">
        <v>6871</v>
      </c>
      <c r="D3421" s="1" t="s">
        <v>195</v>
      </c>
      <c r="E3421" s="3">
        <v>813.6</v>
      </c>
      <c r="F3421" s="3">
        <f t="shared" si="106"/>
        <v>205.59672000000003</v>
      </c>
      <c r="G3421" s="3">
        <f t="shared" si="107"/>
        <v>1019.19672</v>
      </c>
    </row>
    <row r="3422" spans="1:7" x14ac:dyDescent="0.3">
      <c r="A3422" t="s">
        <v>13039</v>
      </c>
      <c r="B3422" t="s">
        <v>6872</v>
      </c>
      <c r="C3422" t="s">
        <v>6873</v>
      </c>
      <c r="D3422" s="1" t="s">
        <v>195</v>
      </c>
      <c r="E3422" s="3">
        <v>1436.79</v>
      </c>
      <c r="F3422" s="3">
        <f t="shared" si="106"/>
        <v>363.07683300000002</v>
      </c>
      <c r="G3422" s="3">
        <f t="shared" si="107"/>
        <v>1799.866833</v>
      </c>
    </row>
    <row r="3423" spans="1:7" x14ac:dyDescent="0.3">
      <c r="A3423" t="s">
        <v>13039</v>
      </c>
      <c r="B3423" t="s">
        <v>6874</v>
      </c>
      <c r="C3423" t="s">
        <v>6875</v>
      </c>
      <c r="D3423" s="1" t="s">
        <v>195</v>
      </c>
      <c r="E3423" s="3">
        <v>1277.92</v>
      </c>
      <c r="F3423" s="3">
        <f t="shared" si="106"/>
        <v>322.93038400000006</v>
      </c>
      <c r="G3423" s="3">
        <f t="shared" si="107"/>
        <v>1600.8503840000001</v>
      </c>
    </row>
    <row r="3424" spans="1:7" x14ac:dyDescent="0.3">
      <c r="A3424" t="s">
        <v>13039</v>
      </c>
      <c r="B3424" t="s">
        <v>6876</v>
      </c>
      <c r="C3424" t="s">
        <v>6877</v>
      </c>
      <c r="D3424" s="1" t="s">
        <v>195</v>
      </c>
      <c r="E3424" s="3">
        <v>330.38</v>
      </c>
      <c r="F3424" s="3">
        <f t="shared" si="106"/>
        <v>83.487026000000014</v>
      </c>
      <c r="G3424" s="3">
        <f t="shared" si="107"/>
        <v>413.86702600000001</v>
      </c>
    </row>
    <row r="3425" spans="1:7" x14ac:dyDescent="0.3">
      <c r="A3425" t="s">
        <v>13039</v>
      </c>
      <c r="B3425" t="s">
        <v>6878</v>
      </c>
      <c r="C3425" t="s">
        <v>6879</v>
      </c>
      <c r="D3425" s="1" t="s">
        <v>195</v>
      </c>
      <c r="E3425" s="3">
        <v>461.69</v>
      </c>
      <c r="F3425" s="3">
        <f t="shared" si="106"/>
        <v>116.66906300000002</v>
      </c>
      <c r="G3425" s="3">
        <f t="shared" si="107"/>
        <v>578.35906299999999</v>
      </c>
    </row>
    <row r="3426" spans="1:7" x14ac:dyDescent="0.3">
      <c r="A3426" t="s">
        <v>13039</v>
      </c>
      <c r="B3426" t="s">
        <v>6880</v>
      </c>
      <c r="C3426" t="s">
        <v>6881</v>
      </c>
      <c r="D3426" s="1" t="s">
        <v>195</v>
      </c>
      <c r="E3426" s="3">
        <v>564.11</v>
      </c>
      <c r="F3426" s="3">
        <f t="shared" si="106"/>
        <v>142.55059700000001</v>
      </c>
      <c r="G3426" s="3">
        <f t="shared" si="107"/>
        <v>706.66059700000005</v>
      </c>
    </row>
    <row r="3427" spans="1:7" x14ac:dyDescent="0.3">
      <c r="A3427" t="s">
        <v>13039</v>
      </c>
      <c r="B3427" t="s">
        <v>6882</v>
      </c>
      <c r="C3427" t="s">
        <v>6883</v>
      </c>
      <c r="D3427" s="1" t="s">
        <v>195</v>
      </c>
      <c r="E3427" s="3">
        <v>706.51</v>
      </c>
      <c r="F3427" s="3">
        <f t="shared" si="106"/>
        <v>178.53507700000003</v>
      </c>
      <c r="G3427" s="3">
        <f t="shared" si="107"/>
        <v>885.04507699999999</v>
      </c>
    </row>
    <row r="3428" spans="1:7" x14ac:dyDescent="0.3">
      <c r="A3428" t="s">
        <v>13039</v>
      </c>
      <c r="B3428" t="s">
        <v>6884</v>
      </c>
      <c r="C3428" t="s">
        <v>6885</v>
      </c>
      <c r="D3428" s="1" t="s">
        <v>195</v>
      </c>
      <c r="E3428" s="3">
        <v>1162.08</v>
      </c>
      <c r="F3428" s="3">
        <f t="shared" si="106"/>
        <v>293.65761600000002</v>
      </c>
      <c r="G3428" s="3">
        <f t="shared" si="107"/>
        <v>1455.7376159999999</v>
      </c>
    </row>
    <row r="3429" spans="1:7" x14ac:dyDescent="0.3">
      <c r="A3429" t="s">
        <v>13039</v>
      </c>
      <c r="B3429" t="s">
        <v>6886</v>
      </c>
      <c r="C3429" t="s">
        <v>6887</v>
      </c>
      <c r="D3429" s="1" t="s">
        <v>195</v>
      </c>
      <c r="E3429" s="3">
        <v>1567.7</v>
      </c>
      <c r="F3429" s="3">
        <f t="shared" si="106"/>
        <v>396.15779000000009</v>
      </c>
      <c r="G3429" s="3">
        <f t="shared" si="107"/>
        <v>1963.85779</v>
      </c>
    </row>
    <row r="3430" spans="1:7" x14ac:dyDescent="0.3">
      <c r="A3430" t="s">
        <v>13039</v>
      </c>
      <c r="B3430" t="s">
        <v>6888</v>
      </c>
      <c r="C3430" t="s">
        <v>6889</v>
      </c>
      <c r="D3430" s="1" t="s">
        <v>195</v>
      </c>
      <c r="E3430" s="3">
        <v>324.61</v>
      </c>
      <c r="F3430" s="3">
        <f t="shared" si="106"/>
        <v>82.028947000000016</v>
      </c>
      <c r="G3430" s="3">
        <f t="shared" si="107"/>
        <v>406.63894700000003</v>
      </c>
    </row>
    <row r="3431" spans="1:7" x14ac:dyDescent="0.3">
      <c r="A3431" t="s">
        <v>13039</v>
      </c>
      <c r="B3431" t="s">
        <v>6890</v>
      </c>
      <c r="C3431" t="s">
        <v>6891</v>
      </c>
      <c r="D3431" s="1" t="s">
        <v>195</v>
      </c>
      <c r="E3431" s="3">
        <v>295.93</v>
      </c>
      <c r="F3431" s="3">
        <f t="shared" si="106"/>
        <v>74.781511000000009</v>
      </c>
      <c r="G3431" s="3">
        <f t="shared" si="107"/>
        <v>370.71151100000003</v>
      </c>
    </row>
    <row r="3432" spans="1:7" x14ac:dyDescent="0.3">
      <c r="A3432" t="s">
        <v>13039</v>
      </c>
      <c r="B3432" t="s">
        <v>6892</v>
      </c>
      <c r="C3432" t="s">
        <v>6893</v>
      </c>
      <c r="D3432" s="1" t="s">
        <v>195</v>
      </c>
      <c r="E3432" s="3">
        <v>506.32</v>
      </c>
      <c r="F3432" s="3">
        <f t="shared" si="106"/>
        <v>127.94706400000001</v>
      </c>
      <c r="G3432" s="3">
        <f t="shared" si="107"/>
        <v>634.267064</v>
      </c>
    </row>
    <row r="3433" spans="1:7" x14ac:dyDescent="0.3">
      <c r="A3433" t="s">
        <v>13039</v>
      </c>
      <c r="B3433" t="s">
        <v>6894</v>
      </c>
      <c r="C3433" t="s">
        <v>6895</v>
      </c>
      <c r="D3433" s="1" t="s">
        <v>195</v>
      </c>
      <c r="E3433" s="3">
        <v>454.49</v>
      </c>
      <c r="F3433" s="3">
        <f t="shared" si="106"/>
        <v>114.84962300000002</v>
      </c>
      <c r="G3433" s="3">
        <f t="shared" si="107"/>
        <v>569.33962300000007</v>
      </c>
    </row>
    <row r="3434" spans="1:7" x14ac:dyDescent="0.3">
      <c r="A3434" t="s">
        <v>13039</v>
      </c>
      <c r="B3434" t="s">
        <v>6896</v>
      </c>
      <c r="C3434" t="s">
        <v>6897</v>
      </c>
      <c r="D3434" s="1" t="s">
        <v>195</v>
      </c>
      <c r="E3434" s="3">
        <v>754.18</v>
      </c>
      <c r="F3434" s="3">
        <f t="shared" si="106"/>
        <v>190.58128600000001</v>
      </c>
      <c r="G3434" s="3">
        <f t="shared" si="107"/>
        <v>944.76128599999993</v>
      </c>
    </row>
    <row r="3435" spans="1:7" x14ac:dyDescent="0.3">
      <c r="A3435" t="s">
        <v>13039</v>
      </c>
      <c r="B3435" t="s">
        <v>6898</v>
      </c>
      <c r="C3435" t="s">
        <v>6899</v>
      </c>
      <c r="D3435" s="1" t="s">
        <v>195</v>
      </c>
      <c r="E3435" s="3">
        <v>676.04</v>
      </c>
      <c r="F3435" s="3">
        <f t="shared" si="106"/>
        <v>170.83530800000003</v>
      </c>
      <c r="G3435" s="3">
        <f t="shared" si="107"/>
        <v>846.87530800000002</v>
      </c>
    </row>
    <row r="3436" spans="1:7" x14ac:dyDescent="0.3">
      <c r="A3436" t="s">
        <v>13039</v>
      </c>
      <c r="B3436" t="s">
        <v>6900</v>
      </c>
      <c r="C3436" t="s">
        <v>6901</v>
      </c>
      <c r="D3436" s="1" t="s">
        <v>195</v>
      </c>
      <c r="E3436" s="3">
        <v>1080.5899999999999</v>
      </c>
      <c r="F3436" s="3">
        <f t="shared" si="106"/>
        <v>273.06509299999999</v>
      </c>
      <c r="G3436" s="3">
        <f t="shared" si="107"/>
        <v>1353.6550929999999</v>
      </c>
    </row>
    <row r="3437" spans="1:7" x14ac:dyDescent="0.3">
      <c r="A3437" t="s">
        <v>13039</v>
      </c>
      <c r="B3437" t="s">
        <v>6902</v>
      </c>
      <c r="C3437" t="s">
        <v>6903</v>
      </c>
      <c r="D3437" s="1" t="s">
        <v>195</v>
      </c>
      <c r="E3437" s="3">
        <v>964.51</v>
      </c>
      <c r="F3437" s="3">
        <f t="shared" si="106"/>
        <v>243.73167700000002</v>
      </c>
      <c r="G3437" s="3">
        <f t="shared" si="107"/>
        <v>1208.241677</v>
      </c>
    </row>
    <row r="3438" spans="1:7" x14ac:dyDescent="0.3">
      <c r="A3438" t="s">
        <v>13039</v>
      </c>
      <c r="B3438" t="s">
        <v>6904</v>
      </c>
      <c r="C3438" t="s">
        <v>6905</v>
      </c>
      <c r="D3438" s="1" t="s">
        <v>195</v>
      </c>
      <c r="E3438" s="3">
        <v>1691.88</v>
      </c>
      <c r="F3438" s="3">
        <f t="shared" si="106"/>
        <v>427.5380760000001</v>
      </c>
      <c r="G3438" s="3">
        <f t="shared" si="107"/>
        <v>2119.4180760000004</v>
      </c>
    </row>
    <row r="3439" spans="1:7" x14ac:dyDescent="0.3">
      <c r="A3439" t="s">
        <v>13039</v>
      </c>
      <c r="B3439" t="s">
        <v>6906</v>
      </c>
      <c r="C3439" t="s">
        <v>6907</v>
      </c>
      <c r="D3439" s="1" t="s">
        <v>195</v>
      </c>
      <c r="E3439" s="3">
        <v>1527.62</v>
      </c>
      <c r="F3439" s="3">
        <f t="shared" si="106"/>
        <v>386.02957400000003</v>
      </c>
      <c r="G3439" s="3">
        <f t="shared" si="107"/>
        <v>1913.649574</v>
      </c>
    </row>
    <row r="3440" spans="1:7" x14ac:dyDescent="0.3">
      <c r="A3440" t="s">
        <v>13039</v>
      </c>
      <c r="B3440" t="s">
        <v>6908</v>
      </c>
      <c r="C3440" t="s">
        <v>6909</v>
      </c>
      <c r="D3440" s="1" t="s">
        <v>195</v>
      </c>
      <c r="E3440" s="3">
        <v>93.21</v>
      </c>
      <c r="F3440" s="3">
        <f t="shared" si="106"/>
        <v>23.554167000000003</v>
      </c>
      <c r="G3440" s="3">
        <f t="shared" si="107"/>
        <v>116.764167</v>
      </c>
    </row>
    <row r="3441" spans="1:7" x14ac:dyDescent="0.3">
      <c r="A3441" t="s">
        <v>13039</v>
      </c>
      <c r="B3441" t="s">
        <v>6910</v>
      </c>
      <c r="C3441" t="s">
        <v>6911</v>
      </c>
      <c r="D3441" s="1" t="s">
        <v>195</v>
      </c>
      <c r="E3441" s="3">
        <v>10.8</v>
      </c>
      <c r="F3441" s="3">
        <f t="shared" si="106"/>
        <v>2.7291600000000007</v>
      </c>
      <c r="G3441" s="3">
        <f t="shared" si="107"/>
        <v>13.529160000000001</v>
      </c>
    </row>
    <row r="3442" spans="1:7" x14ac:dyDescent="0.3">
      <c r="A3442" t="s">
        <v>13039</v>
      </c>
      <c r="B3442" t="s">
        <v>6912</v>
      </c>
      <c r="C3442" t="s">
        <v>6913</v>
      </c>
      <c r="D3442" s="1" t="s">
        <v>195</v>
      </c>
      <c r="E3442" s="3">
        <v>15.04</v>
      </c>
      <c r="F3442" s="3">
        <f t="shared" si="106"/>
        <v>3.8006080000000004</v>
      </c>
      <c r="G3442" s="3">
        <f t="shared" si="107"/>
        <v>18.840608</v>
      </c>
    </row>
    <row r="3443" spans="1:7" x14ac:dyDescent="0.3">
      <c r="A3443" t="s">
        <v>13039</v>
      </c>
      <c r="B3443" t="s">
        <v>6914</v>
      </c>
      <c r="C3443" t="s">
        <v>6915</v>
      </c>
      <c r="D3443" s="1" t="s">
        <v>195</v>
      </c>
      <c r="E3443" s="3">
        <v>1422.36</v>
      </c>
      <c r="F3443" s="3">
        <f t="shared" si="106"/>
        <v>359.43037200000003</v>
      </c>
      <c r="G3443" s="3">
        <f t="shared" si="107"/>
        <v>1781.7903719999999</v>
      </c>
    </row>
    <row r="3444" spans="1:7" x14ac:dyDescent="0.3">
      <c r="A3444" t="s">
        <v>13039</v>
      </c>
      <c r="B3444" t="s">
        <v>6916</v>
      </c>
      <c r="C3444" t="s">
        <v>6917</v>
      </c>
      <c r="D3444" s="1" t="s">
        <v>195</v>
      </c>
      <c r="E3444" s="3">
        <v>1467.63</v>
      </c>
      <c r="F3444" s="3">
        <f t="shared" si="106"/>
        <v>370.87010100000009</v>
      </c>
      <c r="G3444" s="3">
        <f t="shared" si="107"/>
        <v>1838.5001010000001</v>
      </c>
    </row>
    <row r="3445" spans="1:7" x14ac:dyDescent="0.3">
      <c r="A3445" t="s">
        <v>13039</v>
      </c>
      <c r="B3445" t="s">
        <v>6918</v>
      </c>
      <c r="C3445" t="s">
        <v>6919</v>
      </c>
      <c r="D3445" s="1" t="s">
        <v>195</v>
      </c>
      <c r="E3445" s="3">
        <v>1922.13</v>
      </c>
      <c r="F3445" s="3">
        <f t="shared" si="106"/>
        <v>485.72225100000009</v>
      </c>
      <c r="G3445" s="3">
        <f t="shared" si="107"/>
        <v>2407.8522510000003</v>
      </c>
    </row>
    <row r="3446" spans="1:7" x14ac:dyDescent="0.3">
      <c r="A3446" t="s">
        <v>13039</v>
      </c>
      <c r="B3446" t="s">
        <v>6920</v>
      </c>
      <c r="C3446" t="s">
        <v>6921</v>
      </c>
      <c r="D3446" s="1" t="s">
        <v>195</v>
      </c>
      <c r="E3446" s="3">
        <v>2929.83</v>
      </c>
      <c r="F3446" s="3">
        <f t="shared" si="106"/>
        <v>740.36804100000006</v>
      </c>
      <c r="G3446" s="3">
        <f t="shared" si="107"/>
        <v>3670.1980410000001</v>
      </c>
    </row>
    <row r="3447" spans="1:7" x14ac:dyDescent="0.3">
      <c r="A3447" t="s">
        <v>13039</v>
      </c>
      <c r="B3447" t="s">
        <v>6922</v>
      </c>
      <c r="C3447" t="s">
        <v>6923</v>
      </c>
      <c r="D3447" s="1" t="s">
        <v>195</v>
      </c>
      <c r="E3447" s="3">
        <v>226.2</v>
      </c>
      <c r="F3447" s="3">
        <f t="shared" si="106"/>
        <v>57.160740000000004</v>
      </c>
      <c r="G3447" s="3">
        <f t="shared" si="107"/>
        <v>283.36073999999996</v>
      </c>
    </row>
    <row r="3448" spans="1:7" x14ac:dyDescent="0.3">
      <c r="A3448" t="s">
        <v>13039</v>
      </c>
      <c r="B3448" t="s">
        <v>6924</v>
      </c>
      <c r="C3448" t="s">
        <v>6925</v>
      </c>
      <c r="D3448" s="1" t="s">
        <v>195</v>
      </c>
      <c r="E3448" s="3">
        <v>319.89999999999998</v>
      </c>
      <c r="F3448" s="3">
        <f t="shared" si="106"/>
        <v>80.838730000000012</v>
      </c>
      <c r="G3448" s="3">
        <f t="shared" si="107"/>
        <v>400.73872999999998</v>
      </c>
    </row>
    <row r="3449" spans="1:7" x14ac:dyDescent="0.3">
      <c r="A3449" t="s">
        <v>13039</v>
      </c>
      <c r="B3449" t="s">
        <v>6926</v>
      </c>
      <c r="C3449" t="s">
        <v>6927</v>
      </c>
      <c r="D3449" s="1" t="s">
        <v>195</v>
      </c>
      <c r="E3449" s="3">
        <v>374.35</v>
      </c>
      <c r="F3449" s="3">
        <f t="shared" si="106"/>
        <v>94.59824500000002</v>
      </c>
      <c r="G3449" s="3">
        <f t="shared" si="107"/>
        <v>468.94824500000004</v>
      </c>
    </row>
    <row r="3450" spans="1:7" x14ac:dyDescent="0.3">
      <c r="A3450" t="s">
        <v>13039</v>
      </c>
      <c r="B3450" t="s">
        <v>6928</v>
      </c>
      <c r="C3450" t="s">
        <v>6929</v>
      </c>
      <c r="D3450" s="1" t="s">
        <v>195</v>
      </c>
      <c r="E3450" s="3">
        <v>545.38</v>
      </c>
      <c r="F3450" s="3">
        <f t="shared" si="106"/>
        <v>137.81752600000002</v>
      </c>
      <c r="G3450" s="3">
        <f t="shared" si="107"/>
        <v>683.19752600000004</v>
      </c>
    </row>
    <row r="3451" spans="1:7" x14ac:dyDescent="0.3">
      <c r="A3451" t="s">
        <v>13039</v>
      </c>
      <c r="B3451" t="s">
        <v>6930</v>
      </c>
      <c r="C3451" t="s">
        <v>6931</v>
      </c>
      <c r="D3451" s="1" t="s">
        <v>195</v>
      </c>
      <c r="E3451" s="3">
        <v>764.23</v>
      </c>
      <c r="F3451" s="3">
        <f t="shared" si="106"/>
        <v>193.12092100000004</v>
      </c>
      <c r="G3451" s="3">
        <f t="shared" si="107"/>
        <v>957.35092100000008</v>
      </c>
    </row>
    <row r="3452" spans="1:7" x14ac:dyDescent="0.3">
      <c r="A3452" t="s">
        <v>13039</v>
      </c>
      <c r="B3452" t="s">
        <v>6932</v>
      </c>
      <c r="C3452" t="s">
        <v>6933</v>
      </c>
      <c r="D3452" s="1" t="s">
        <v>195</v>
      </c>
      <c r="E3452" s="3">
        <v>802.73</v>
      </c>
      <c r="F3452" s="3">
        <f t="shared" si="106"/>
        <v>202.84987100000004</v>
      </c>
      <c r="G3452" s="3">
        <f t="shared" si="107"/>
        <v>1005.579871</v>
      </c>
    </row>
    <row r="3453" spans="1:7" x14ac:dyDescent="0.3">
      <c r="A3453" t="s">
        <v>13039</v>
      </c>
      <c r="B3453" t="s">
        <v>6934</v>
      </c>
      <c r="C3453" t="s">
        <v>6935</v>
      </c>
      <c r="D3453" s="1" t="s">
        <v>195</v>
      </c>
      <c r="E3453" s="3">
        <v>1241.24</v>
      </c>
      <c r="F3453" s="3">
        <f t="shared" si="106"/>
        <v>313.66134800000003</v>
      </c>
      <c r="G3453" s="3">
        <f t="shared" si="107"/>
        <v>1554.9013480000001</v>
      </c>
    </row>
    <row r="3454" spans="1:7" x14ac:dyDescent="0.3">
      <c r="A3454" t="s">
        <v>13039</v>
      </c>
      <c r="B3454" t="s">
        <v>6936</v>
      </c>
      <c r="C3454" t="s">
        <v>6937</v>
      </c>
      <c r="D3454" s="1" t="s">
        <v>195</v>
      </c>
      <c r="E3454" s="3">
        <v>13.29</v>
      </c>
      <c r="F3454" s="3">
        <f t="shared" si="106"/>
        <v>3.3583830000000003</v>
      </c>
      <c r="G3454" s="3">
        <f t="shared" si="107"/>
        <v>16.648382999999999</v>
      </c>
    </row>
    <row r="3455" spans="1:7" x14ac:dyDescent="0.3">
      <c r="A3455" t="s">
        <v>13039</v>
      </c>
      <c r="B3455" t="s">
        <v>6938</v>
      </c>
      <c r="C3455" t="s">
        <v>6939</v>
      </c>
      <c r="D3455" s="1" t="s">
        <v>195</v>
      </c>
      <c r="E3455" s="3">
        <v>16.38</v>
      </c>
      <c r="F3455" s="3">
        <f t="shared" si="106"/>
        <v>4.1392260000000007</v>
      </c>
      <c r="G3455" s="3">
        <f t="shared" si="107"/>
        <v>20.519226</v>
      </c>
    </row>
    <row r="3456" spans="1:7" x14ac:dyDescent="0.3">
      <c r="A3456" t="s">
        <v>13039</v>
      </c>
      <c r="B3456" t="s">
        <v>6940</v>
      </c>
      <c r="C3456" t="s">
        <v>6941</v>
      </c>
      <c r="D3456" s="1" t="s">
        <v>195</v>
      </c>
      <c r="E3456" s="3">
        <v>97.18</v>
      </c>
      <c r="F3456" s="3">
        <f t="shared" si="106"/>
        <v>24.557386000000005</v>
      </c>
      <c r="G3456" s="3">
        <f t="shared" si="107"/>
        <v>121.73738600000001</v>
      </c>
    </row>
    <row r="3457" spans="1:7" x14ac:dyDescent="0.3">
      <c r="A3457" t="s">
        <v>13039</v>
      </c>
      <c r="B3457" t="s">
        <v>6942</v>
      </c>
      <c r="C3457" t="s">
        <v>6943</v>
      </c>
      <c r="D3457" s="1" t="s">
        <v>195</v>
      </c>
      <c r="E3457" s="3">
        <v>74.87</v>
      </c>
      <c r="F3457" s="3">
        <f t="shared" si="106"/>
        <v>18.919649000000003</v>
      </c>
      <c r="G3457" s="3">
        <f t="shared" si="107"/>
        <v>93.789649000000011</v>
      </c>
    </row>
    <row r="3458" spans="1:7" x14ac:dyDescent="0.3">
      <c r="A3458" t="s">
        <v>13039</v>
      </c>
      <c r="B3458" t="s">
        <v>6944</v>
      </c>
      <c r="C3458" t="s">
        <v>6945</v>
      </c>
      <c r="D3458" s="1" t="s">
        <v>195</v>
      </c>
      <c r="E3458" s="3">
        <v>121.9</v>
      </c>
      <c r="F3458" s="3">
        <f t="shared" si="106"/>
        <v>30.804130000000004</v>
      </c>
      <c r="G3458" s="3">
        <f t="shared" si="107"/>
        <v>152.70413000000002</v>
      </c>
    </row>
    <row r="3459" spans="1:7" x14ac:dyDescent="0.3">
      <c r="A3459" t="s">
        <v>13039</v>
      </c>
      <c r="B3459" t="s">
        <v>6946</v>
      </c>
      <c r="C3459" t="s">
        <v>6947</v>
      </c>
      <c r="D3459" s="1" t="s">
        <v>195</v>
      </c>
      <c r="E3459" s="3">
        <v>94.01</v>
      </c>
      <c r="F3459" s="3">
        <f t="shared" si="106"/>
        <v>23.756327000000006</v>
      </c>
      <c r="G3459" s="3">
        <f t="shared" si="107"/>
        <v>117.76632700000002</v>
      </c>
    </row>
    <row r="3460" spans="1:7" x14ac:dyDescent="0.3">
      <c r="A3460" t="s">
        <v>13039</v>
      </c>
      <c r="B3460" t="s">
        <v>6948</v>
      </c>
      <c r="C3460" t="s">
        <v>6949</v>
      </c>
      <c r="D3460" s="1" t="s">
        <v>195</v>
      </c>
      <c r="E3460" s="3">
        <v>41.48</v>
      </c>
      <c r="F3460" s="3">
        <f t="shared" si="106"/>
        <v>10.481996000000001</v>
      </c>
      <c r="G3460" s="3">
        <f t="shared" si="107"/>
        <v>51.961995999999999</v>
      </c>
    </row>
    <row r="3461" spans="1:7" x14ac:dyDescent="0.3">
      <c r="A3461" t="s">
        <v>13039</v>
      </c>
      <c r="B3461" t="s">
        <v>6950</v>
      </c>
      <c r="C3461" t="s">
        <v>6951</v>
      </c>
      <c r="D3461" s="1" t="s">
        <v>195</v>
      </c>
      <c r="E3461" s="3">
        <v>52.35</v>
      </c>
      <c r="F3461" s="3">
        <f t="shared" si="106"/>
        <v>13.228845000000002</v>
      </c>
      <c r="G3461" s="3">
        <f t="shared" si="107"/>
        <v>65.578845000000001</v>
      </c>
    </row>
    <row r="3462" spans="1:7" x14ac:dyDescent="0.3">
      <c r="A3462" t="s">
        <v>13039</v>
      </c>
      <c r="B3462" t="s">
        <v>6952</v>
      </c>
      <c r="C3462" t="s">
        <v>6953</v>
      </c>
      <c r="D3462" s="1" t="s">
        <v>195</v>
      </c>
      <c r="E3462" s="3">
        <v>13.29</v>
      </c>
      <c r="F3462" s="3">
        <f t="shared" si="106"/>
        <v>3.3583830000000003</v>
      </c>
      <c r="G3462" s="3">
        <f t="shared" si="107"/>
        <v>16.648382999999999</v>
      </c>
    </row>
    <row r="3463" spans="1:7" x14ac:dyDescent="0.3">
      <c r="A3463" t="s">
        <v>13039</v>
      </c>
      <c r="B3463" t="s">
        <v>6954</v>
      </c>
      <c r="C3463" t="s">
        <v>6955</v>
      </c>
      <c r="D3463" s="1" t="s">
        <v>195</v>
      </c>
      <c r="E3463" s="3">
        <v>16.38</v>
      </c>
      <c r="F3463" s="3">
        <f t="shared" ref="F3463:F3526" si="108">+E3463*$F$4</f>
        <v>4.1392260000000007</v>
      </c>
      <c r="G3463" s="3">
        <f t="shared" ref="G3463:G3526" si="109">+E3463+F3463</f>
        <v>20.519226</v>
      </c>
    </row>
    <row r="3464" spans="1:7" x14ac:dyDescent="0.3">
      <c r="A3464" t="s">
        <v>13039</v>
      </c>
      <c r="B3464" t="s">
        <v>6956</v>
      </c>
      <c r="C3464" t="s">
        <v>6957</v>
      </c>
      <c r="D3464" s="1" t="s">
        <v>195</v>
      </c>
      <c r="E3464" s="3">
        <v>97.18</v>
      </c>
      <c r="F3464" s="3">
        <f t="shared" si="108"/>
        <v>24.557386000000005</v>
      </c>
      <c r="G3464" s="3">
        <f t="shared" si="109"/>
        <v>121.73738600000001</v>
      </c>
    </row>
    <row r="3465" spans="1:7" x14ac:dyDescent="0.3">
      <c r="A3465" t="s">
        <v>13039</v>
      </c>
      <c r="B3465" t="s">
        <v>6958</v>
      </c>
      <c r="C3465" t="s">
        <v>6959</v>
      </c>
      <c r="D3465" s="1" t="s">
        <v>195</v>
      </c>
      <c r="E3465" s="3">
        <v>74.87</v>
      </c>
      <c r="F3465" s="3">
        <f t="shared" si="108"/>
        <v>18.919649000000003</v>
      </c>
      <c r="G3465" s="3">
        <f t="shared" si="109"/>
        <v>93.789649000000011</v>
      </c>
    </row>
    <row r="3466" spans="1:7" x14ac:dyDescent="0.3">
      <c r="A3466" t="s">
        <v>13039</v>
      </c>
      <c r="B3466" t="s">
        <v>6960</v>
      </c>
      <c r="C3466" t="s">
        <v>6961</v>
      </c>
      <c r="D3466" s="1" t="s">
        <v>195</v>
      </c>
      <c r="E3466" s="3">
        <v>121.9</v>
      </c>
      <c r="F3466" s="3">
        <f t="shared" si="108"/>
        <v>30.804130000000004</v>
      </c>
      <c r="G3466" s="3">
        <f t="shared" si="109"/>
        <v>152.70413000000002</v>
      </c>
    </row>
    <row r="3467" spans="1:7" x14ac:dyDescent="0.3">
      <c r="A3467" t="s">
        <v>13039</v>
      </c>
      <c r="B3467" t="s">
        <v>6962</v>
      </c>
      <c r="C3467" t="s">
        <v>6963</v>
      </c>
      <c r="D3467" s="1" t="s">
        <v>195</v>
      </c>
      <c r="E3467" s="3">
        <v>94.01</v>
      </c>
      <c r="F3467" s="3">
        <f t="shared" si="108"/>
        <v>23.756327000000006</v>
      </c>
      <c r="G3467" s="3">
        <f t="shared" si="109"/>
        <v>117.76632700000002</v>
      </c>
    </row>
    <row r="3468" spans="1:7" x14ac:dyDescent="0.3">
      <c r="A3468" t="s">
        <v>13039</v>
      </c>
      <c r="B3468" t="s">
        <v>6964</v>
      </c>
      <c r="C3468" t="s">
        <v>6965</v>
      </c>
      <c r="D3468" s="1" t="s">
        <v>195</v>
      </c>
      <c r="E3468" s="3">
        <v>41.48</v>
      </c>
      <c r="F3468" s="3">
        <f t="shared" si="108"/>
        <v>10.481996000000001</v>
      </c>
      <c r="G3468" s="3">
        <f t="shared" si="109"/>
        <v>51.961995999999999</v>
      </c>
    </row>
    <row r="3469" spans="1:7" x14ac:dyDescent="0.3">
      <c r="A3469" t="s">
        <v>13039</v>
      </c>
      <c r="B3469" t="s">
        <v>6966</v>
      </c>
      <c r="C3469" t="s">
        <v>6967</v>
      </c>
      <c r="D3469" s="1" t="s">
        <v>195</v>
      </c>
      <c r="E3469" s="3">
        <v>52.35</v>
      </c>
      <c r="F3469" s="3">
        <f t="shared" si="108"/>
        <v>13.228845000000002</v>
      </c>
      <c r="G3469" s="3">
        <f t="shared" si="109"/>
        <v>65.578845000000001</v>
      </c>
    </row>
    <row r="3470" spans="1:7" x14ac:dyDescent="0.3">
      <c r="A3470" t="s">
        <v>13039</v>
      </c>
      <c r="B3470" t="s">
        <v>6968</v>
      </c>
      <c r="C3470" t="s">
        <v>6969</v>
      </c>
      <c r="D3470" s="1" t="s">
        <v>2904</v>
      </c>
      <c r="E3470" s="3">
        <v>560.34</v>
      </c>
      <c r="F3470" s="3">
        <f t="shared" si="108"/>
        <v>141.59791800000002</v>
      </c>
      <c r="G3470" s="3">
        <f t="shared" si="109"/>
        <v>701.93791800000008</v>
      </c>
    </row>
    <row r="3471" spans="1:7" x14ac:dyDescent="0.3">
      <c r="A3471" t="s">
        <v>13039</v>
      </c>
      <c r="B3471" t="s">
        <v>6970</v>
      </c>
      <c r="C3471" t="s">
        <v>6971</v>
      </c>
      <c r="D3471" s="1" t="s">
        <v>2904</v>
      </c>
      <c r="E3471" s="3">
        <v>627.23</v>
      </c>
      <c r="F3471" s="3">
        <f t="shared" si="108"/>
        <v>158.50102100000004</v>
      </c>
      <c r="G3471" s="3">
        <f t="shared" si="109"/>
        <v>785.73102100000006</v>
      </c>
    </row>
    <row r="3472" spans="1:7" x14ac:dyDescent="0.3">
      <c r="A3472" t="s">
        <v>13039</v>
      </c>
      <c r="B3472" t="s">
        <v>6972</v>
      </c>
      <c r="C3472" t="s">
        <v>6973</v>
      </c>
      <c r="D3472" s="1" t="s">
        <v>2904</v>
      </c>
      <c r="E3472" s="3">
        <v>694.11</v>
      </c>
      <c r="F3472" s="3">
        <f t="shared" si="108"/>
        <v>175.40159700000004</v>
      </c>
      <c r="G3472" s="3">
        <f t="shared" si="109"/>
        <v>869.51159700000005</v>
      </c>
    </row>
    <row r="3473" spans="1:7" x14ac:dyDescent="0.3">
      <c r="A3473" t="s">
        <v>13039</v>
      </c>
      <c r="B3473" t="s">
        <v>6974</v>
      </c>
      <c r="C3473" t="s">
        <v>6975</v>
      </c>
      <c r="D3473" s="1" t="s">
        <v>2904</v>
      </c>
      <c r="E3473" s="3">
        <v>214.51</v>
      </c>
      <c r="F3473" s="3">
        <f t="shared" si="108"/>
        <v>54.206677000000006</v>
      </c>
      <c r="G3473" s="3">
        <f t="shared" si="109"/>
        <v>268.716677</v>
      </c>
    </row>
    <row r="3474" spans="1:7" x14ac:dyDescent="0.3">
      <c r="A3474" t="s">
        <v>13039</v>
      </c>
      <c r="B3474" t="s">
        <v>6976</v>
      </c>
      <c r="C3474" t="s">
        <v>6977</v>
      </c>
      <c r="D3474" s="1" t="s">
        <v>427</v>
      </c>
      <c r="E3474" s="3">
        <v>36.409999999999997</v>
      </c>
      <c r="F3474" s="3">
        <f t="shared" si="108"/>
        <v>9.2008070000000011</v>
      </c>
      <c r="G3474" s="3">
        <f t="shared" si="109"/>
        <v>45.610806999999994</v>
      </c>
    </row>
    <row r="3475" spans="1:7" x14ac:dyDescent="0.3">
      <c r="A3475" t="s">
        <v>13039</v>
      </c>
      <c r="B3475" t="s">
        <v>6978</v>
      </c>
      <c r="C3475" t="s">
        <v>6979</v>
      </c>
      <c r="D3475" s="1" t="s">
        <v>427</v>
      </c>
      <c r="E3475" s="3">
        <v>25.43</v>
      </c>
      <c r="F3475" s="3">
        <f t="shared" si="108"/>
        <v>6.4261610000000005</v>
      </c>
      <c r="G3475" s="3">
        <f t="shared" si="109"/>
        <v>31.856161</v>
      </c>
    </row>
    <row r="3476" spans="1:7" x14ac:dyDescent="0.3">
      <c r="A3476" t="s">
        <v>13039</v>
      </c>
      <c r="B3476" t="s">
        <v>6980</v>
      </c>
      <c r="C3476" t="s">
        <v>6981</v>
      </c>
      <c r="D3476" s="1" t="s">
        <v>427</v>
      </c>
      <c r="E3476" s="3">
        <v>22.63</v>
      </c>
      <c r="F3476" s="3">
        <f t="shared" si="108"/>
        <v>5.7186010000000005</v>
      </c>
      <c r="G3476" s="3">
        <f t="shared" si="109"/>
        <v>28.348600999999999</v>
      </c>
    </row>
    <row r="3477" spans="1:7" x14ac:dyDescent="0.3">
      <c r="A3477" t="s">
        <v>13039</v>
      </c>
      <c r="B3477" t="s">
        <v>6982</v>
      </c>
      <c r="C3477" t="s">
        <v>6983</v>
      </c>
      <c r="D3477" s="1" t="s">
        <v>427</v>
      </c>
      <c r="E3477" s="3">
        <v>21.96</v>
      </c>
      <c r="F3477" s="3">
        <f t="shared" si="108"/>
        <v>5.5492920000000012</v>
      </c>
      <c r="G3477" s="3">
        <f t="shared" si="109"/>
        <v>27.509292000000002</v>
      </c>
    </row>
    <row r="3478" spans="1:7" x14ac:dyDescent="0.3">
      <c r="A3478" t="s">
        <v>13039</v>
      </c>
      <c r="B3478" t="s">
        <v>6984</v>
      </c>
      <c r="C3478" t="s">
        <v>6985</v>
      </c>
      <c r="D3478" s="1" t="s">
        <v>427</v>
      </c>
      <c r="E3478" s="3">
        <v>50.26</v>
      </c>
      <c r="F3478" s="3">
        <f t="shared" si="108"/>
        <v>12.700702000000001</v>
      </c>
      <c r="G3478" s="3">
        <f t="shared" si="109"/>
        <v>62.960701999999998</v>
      </c>
    </row>
    <row r="3479" spans="1:7" x14ac:dyDescent="0.3">
      <c r="A3479" t="s">
        <v>13039</v>
      </c>
      <c r="B3479" t="s">
        <v>6986</v>
      </c>
      <c r="C3479" t="s">
        <v>6987</v>
      </c>
      <c r="D3479" s="1" t="s">
        <v>427</v>
      </c>
      <c r="E3479" s="3">
        <v>36.71</v>
      </c>
      <c r="F3479" s="3">
        <f t="shared" si="108"/>
        <v>9.2766170000000017</v>
      </c>
      <c r="G3479" s="3">
        <f t="shared" si="109"/>
        <v>45.986617000000003</v>
      </c>
    </row>
    <row r="3480" spans="1:7" x14ac:dyDescent="0.3">
      <c r="A3480" t="s">
        <v>13039</v>
      </c>
      <c r="B3480" t="s">
        <v>6988</v>
      </c>
      <c r="C3480" t="s">
        <v>6989</v>
      </c>
      <c r="D3480" s="1" t="s">
        <v>427</v>
      </c>
      <c r="E3480" s="3">
        <v>33.97</v>
      </c>
      <c r="F3480" s="3">
        <f t="shared" si="108"/>
        <v>8.5842190000000009</v>
      </c>
      <c r="G3480" s="3">
        <f t="shared" si="109"/>
        <v>42.554219000000003</v>
      </c>
    </row>
    <row r="3481" spans="1:7" x14ac:dyDescent="0.3">
      <c r="A3481" t="s">
        <v>13039</v>
      </c>
      <c r="B3481" t="s">
        <v>6990</v>
      </c>
      <c r="C3481" t="s">
        <v>6991</v>
      </c>
      <c r="D3481" s="1" t="s">
        <v>427</v>
      </c>
      <c r="E3481" s="3">
        <v>34.81</v>
      </c>
      <c r="F3481" s="3">
        <f t="shared" si="108"/>
        <v>8.7964870000000026</v>
      </c>
      <c r="G3481" s="3">
        <f t="shared" si="109"/>
        <v>43.606487000000001</v>
      </c>
    </row>
    <row r="3482" spans="1:7" x14ac:dyDescent="0.3">
      <c r="A3482" t="s">
        <v>13039</v>
      </c>
      <c r="B3482" t="s">
        <v>6992</v>
      </c>
      <c r="C3482" t="s">
        <v>6993</v>
      </c>
      <c r="D3482" s="1" t="s">
        <v>2904</v>
      </c>
      <c r="E3482" s="3">
        <v>154.62</v>
      </c>
      <c r="F3482" s="3">
        <f t="shared" si="108"/>
        <v>39.072474000000007</v>
      </c>
      <c r="G3482" s="3">
        <f t="shared" si="109"/>
        <v>193.692474</v>
      </c>
    </row>
    <row r="3483" spans="1:7" x14ac:dyDescent="0.3">
      <c r="A3483" t="s">
        <v>13039</v>
      </c>
      <c r="B3483" t="s">
        <v>6994</v>
      </c>
      <c r="C3483" t="s">
        <v>6995</v>
      </c>
      <c r="D3483" s="1" t="s">
        <v>2904</v>
      </c>
      <c r="E3483" s="3">
        <v>226.17</v>
      </c>
      <c r="F3483" s="3">
        <f t="shared" si="108"/>
        <v>57.153159000000002</v>
      </c>
      <c r="G3483" s="3">
        <f t="shared" si="109"/>
        <v>283.32315899999998</v>
      </c>
    </row>
    <row r="3484" spans="1:7" x14ac:dyDescent="0.3">
      <c r="A3484" t="s">
        <v>13039</v>
      </c>
      <c r="B3484" t="s">
        <v>6996</v>
      </c>
      <c r="C3484" t="s">
        <v>6997</v>
      </c>
      <c r="D3484" s="1" t="s">
        <v>427</v>
      </c>
      <c r="E3484" s="3">
        <v>3.54</v>
      </c>
      <c r="F3484" s="3">
        <f t="shared" si="108"/>
        <v>0.89455800000000019</v>
      </c>
      <c r="G3484" s="3">
        <f t="shared" si="109"/>
        <v>4.434558</v>
      </c>
    </row>
    <row r="3485" spans="1:7" x14ac:dyDescent="0.3">
      <c r="A3485" t="s">
        <v>13039</v>
      </c>
      <c r="B3485" t="s">
        <v>6998</v>
      </c>
      <c r="C3485" t="s">
        <v>6999</v>
      </c>
      <c r="D3485" s="1" t="s">
        <v>38</v>
      </c>
      <c r="E3485" s="3">
        <v>19.329999999999998</v>
      </c>
      <c r="F3485" s="3">
        <f t="shared" si="108"/>
        <v>4.8846910000000001</v>
      </c>
      <c r="G3485" s="3">
        <f t="shared" si="109"/>
        <v>24.214690999999998</v>
      </c>
    </row>
    <row r="3486" spans="1:7" x14ac:dyDescent="0.3">
      <c r="A3486" t="s">
        <v>13039</v>
      </c>
      <c r="B3486" t="s">
        <v>7000</v>
      </c>
      <c r="C3486" t="s">
        <v>7001</v>
      </c>
      <c r="D3486" s="1" t="s">
        <v>38</v>
      </c>
      <c r="E3486" s="3">
        <v>14.94</v>
      </c>
      <c r="F3486" s="3">
        <f t="shared" si="108"/>
        <v>3.7753380000000005</v>
      </c>
      <c r="G3486" s="3">
        <f t="shared" si="109"/>
        <v>18.715337999999999</v>
      </c>
    </row>
    <row r="3487" spans="1:7" x14ac:dyDescent="0.3">
      <c r="A3487" t="s">
        <v>13039</v>
      </c>
      <c r="B3487" t="s">
        <v>7002</v>
      </c>
      <c r="C3487" t="s">
        <v>7003</v>
      </c>
      <c r="D3487" s="1" t="s">
        <v>427</v>
      </c>
      <c r="E3487" s="3">
        <v>55.16</v>
      </c>
      <c r="F3487" s="3">
        <f t="shared" si="108"/>
        <v>13.938932000000001</v>
      </c>
      <c r="G3487" s="3">
        <f t="shared" si="109"/>
        <v>69.098931999999991</v>
      </c>
    </row>
    <row r="3488" spans="1:7" x14ac:dyDescent="0.3">
      <c r="A3488" t="s">
        <v>13039</v>
      </c>
      <c r="B3488" t="s">
        <v>7004</v>
      </c>
      <c r="C3488" t="s">
        <v>7005</v>
      </c>
      <c r="D3488" s="1" t="s">
        <v>195</v>
      </c>
      <c r="E3488" s="3">
        <v>37.32</v>
      </c>
      <c r="F3488" s="3">
        <f t="shared" si="108"/>
        <v>9.4307640000000017</v>
      </c>
      <c r="G3488" s="3">
        <f t="shared" si="109"/>
        <v>46.750764000000004</v>
      </c>
    </row>
    <row r="3489" spans="1:7" x14ac:dyDescent="0.3">
      <c r="A3489" t="s">
        <v>13039</v>
      </c>
      <c r="B3489" t="s">
        <v>7006</v>
      </c>
      <c r="C3489" t="s">
        <v>7007</v>
      </c>
      <c r="D3489" s="1" t="s">
        <v>195</v>
      </c>
      <c r="E3489" s="3">
        <v>18.68</v>
      </c>
      <c r="F3489" s="3">
        <f t="shared" si="108"/>
        <v>4.7204360000000003</v>
      </c>
      <c r="G3489" s="3">
        <f t="shared" si="109"/>
        <v>23.400435999999999</v>
      </c>
    </row>
    <row r="3490" spans="1:7" x14ac:dyDescent="0.3">
      <c r="A3490" t="s">
        <v>13039</v>
      </c>
      <c r="B3490" t="s">
        <v>7008</v>
      </c>
      <c r="C3490" t="s">
        <v>7009</v>
      </c>
      <c r="D3490" s="1" t="s">
        <v>195</v>
      </c>
      <c r="E3490" s="3">
        <v>23.91</v>
      </c>
      <c r="F3490" s="3">
        <f t="shared" si="108"/>
        <v>6.0420570000000007</v>
      </c>
      <c r="G3490" s="3">
        <f t="shared" si="109"/>
        <v>29.952057</v>
      </c>
    </row>
    <row r="3491" spans="1:7" x14ac:dyDescent="0.3">
      <c r="A3491" t="s">
        <v>13039</v>
      </c>
      <c r="B3491" t="s">
        <v>7010</v>
      </c>
      <c r="C3491" t="s">
        <v>7011</v>
      </c>
      <c r="D3491" s="1" t="s">
        <v>195</v>
      </c>
      <c r="E3491" s="3">
        <v>29.83</v>
      </c>
      <c r="F3491" s="3">
        <f t="shared" si="108"/>
        <v>7.5380410000000007</v>
      </c>
      <c r="G3491" s="3">
        <f t="shared" si="109"/>
        <v>37.368040999999998</v>
      </c>
    </row>
    <row r="3492" spans="1:7" x14ac:dyDescent="0.3">
      <c r="A3492" t="s">
        <v>13039</v>
      </c>
      <c r="B3492" t="s">
        <v>7012</v>
      </c>
      <c r="C3492" t="s">
        <v>7013</v>
      </c>
      <c r="D3492" s="1" t="s">
        <v>195</v>
      </c>
      <c r="E3492" s="3">
        <v>47.51</v>
      </c>
      <c r="F3492" s="3">
        <f t="shared" si="108"/>
        <v>12.005777000000002</v>
      </c>
      <c r="G3492" s="3">
        <f t="shared" si="109"/>
        <v>59.515777</v>
      </c>
    </row>
    <row r="3493" spans="1:7" x14ac:dyDescent="0.3">
      <c r="A3493" t="s">
        <v>13039</v>
      </c>
      <c r="B3493" t="s">
        <v>7014</v>
      </c>
      <c r="C3493" t="s">
        <v>7015</v>
      </c>
      <c r="D3493" s="1" t="s">
        <v>210</v>
      </c>
      <c r="E3493" s="3">
        <v>0.69</v>
      </c>
      <c r="F3493" s="3">
        <f t="shared" si="108"/>
        <v>0.17436300000000002</v>
      </c>
      <c r="G3493" s="3">
        <f t="shared" si="109"/>
        <v>0.86436299999999999</v>
      </c>
    </row>
    <row r="3494" spans="1:7" x14ac:dyDescent="0.3">
      <c r="A3494" t="s">
        <v>13039</v>
      </c>
      <c r="B3494" t="s">
        <v>7016</v>
      </c>
      <c r="C3494" t="s">
        <v>7017</v>
      </c>
      <c r="D3494" s="1" t="s">
        <v>195</v>
      </c>
      <c r="E3494" s="3">
        <v>1700.78</v>
      </c>
      <c r="F3494" s="3">
        <f t="shared" si="108"/>
        <v>429.78710600000005</v>
      </c>
      <c r="G3494" s="3">
        <f t="shared" si="109"/>
        <v>2130.567106</v>
      </c>
    </row>
    <row r="3495" spans="1:7" x14ac:dyDescent="0.3">
      <c r="A3495" t="s">
        <v>13039</v>
      </c>
      <c r="B3495" t="s">
        <v>7018</v>
      </c>
      <c r="C3495" t="s">
        <v>7019</v>
      </c>
      <c r="D3495" s="1" t="s">
        <v>195</v>
      </c>
      <c r="E3495" s="3">
        <v>2072.08</v>
      </c>
      <c r="F3495" s="3">
        <f t="shared" si="108"/>
        <v>523.61461600000007</v>
      </c>
      <c r="G3495" s="3">
        <f t="shared" si="109"/>
        <v>2595.6946159999998</v>
      </c>
    </row>
    <row r="3496" spans="1:7" x14ac:dyDescent="0.3">
      <c r="A3496" t="s">
        <v>13039</v>
      </c>
      <c r="B3496" t="s">
        <v>7020</v>
      </c>
      <c r="C3496" t="s">
        <v>7021</v>
      </c>
      <c r="D3496" s="1" t="s">
        <v>195</v>
      </c>
      <c r="E3496" s="3">
        <v>397.98</v>
      </c>
      <c r="F3496" s="3">
        <f t="shared" si="108"/>
        <v>100.56954600000002</v>
      </c>
      <c r="G3496" s="3">
        <f t="shared" si="109"/>
        <v>498.54954600000002</v>
      </c>
    </row>
    <row r="3497" spans="1:7" x14ac:dyDescent="0.3">
      <c r="A3497" t="s">
        <v>13039</v>
      </c>
      <c r="B3497" t="s">
        <v>7022</v>
      </c>
      <c r="C3497" t="s">
        <v>7023</v>
      </c>
      <c r="D3497" s="1" t="s">
        <v>427</v>
      </c>
      <c r="E3497" s="3">
        <v>134.53</v>
      </c>
      <c r="F3497" s="3">
        <f t="shared" si="108"/>
        <v>33.995731000000006</v>
      </c>
      <c r="G3497" s="3">
        <f t="shared" si="109"/>
        <v>168.52573100000001</v>
      </c>
    </row>
    <row r="3498" spans="1:7" x14ac:dyDescent="0.3">
      <c r="A3498" t="s">
        <v>13039</v>
      </c>
      <c r="B3498" t="s">
        <v>7024</v>
      </c>
      <c r="C3498" t="s">
        <v>7025</v>
      </c>
      <c r="D3498" s="1" t="s">
        <v>195</v>
      </c>
      <c r="E3498" s="3">
        <v>260.11</v>
      </c>
      <c r="F3498" s="3">
        <f t="shared" si="108"/>
        <v>65.729797000000019</v>
      </c>
      <c r="G3498" s="3">
        <f t="shared" si="109"/>
        <v>325.83979700000003</v>
      </c>
    </row>
    <row r="3499" spans="1:7" x14ac:dyDescent="0.3">
      <c r="A3499" t="s">
        <v>13039</v>
      </c>
      <c r="B3499" t="s">
        <v>7026</v>
      </c>
      <c r="C3499" t="s">
        <v>7027</v>
      </c>
      <c r="D3499" s="1" t="s">
        <v>210</v>
      </c>
      <c r="E3499" s="3">
        <v>12.36</v>
      </c>
      <c r="F3499" s="3">
        <f t="shared" si="108"/>
        <v>3.1233720000000003</v>
      </c>
      <c r="G3499" s="3">
        <f t="shared" si="109"/>
        <v>15.483371999999999</v>
      </c>
    </row>
    <row r="3500" spans="1:7" x14ac:dyDescent="0.3">
      <c r="A3500" t="s">
        <v>13039</v>
      </c>
      <c r="B3500" t="s">
        <v>7028</v>
      </c>
      <c r="C3500" t="s">
        <v>7029</v>
      </c>
      <c r="D3500" s="1" t="s">
        <v>427</v>
      </c>
      <c r="E3500" s="3">
        <v>253.25</v>
      </c>
      <c r="F3500" s="3">
        <f t="shared" si="108"/>
        <v>63.996275000000011</v>
      </c>
      <c r="G3500" s="3">
        <f t="shared" si="109"/>
        <v>317.24627500000003</v>
      </c>
    </row>
    <row r="3501" spans="1:7" x14ac:dyDescent="0.3">
      <c r="A3501" t="s">
        <v>13039</v>
      </c>
      <c r="B3501" t="s">
        <v>7030</v>
      </c>
      <c r="C3501" t="s">
        <v>7031</v>
      </c>
      <c r="D3501" s="1" t="s">
        <v>427</v>
      </c>
      <c r="E3501" s="3">
        <v>589.34</v>
      </c>
      <c r="F3501" s="3">
        <f t="shared" si="108"/>
        <v>148.92621800000003</v>
      </c>
      <c r="G3501" s="3">
        <f t="shared" si="109"/>
        <v>738.26621800000009</v>
      </c>
    </row>
    <row r="3502" spans="1:7" x14ac:dyDescent="0.3">
      <c r="A3502" t="s">
        <v>13039</v>
      </c>
      <c r="B3502" t="s">
        <v>7032</v>
      </c>
      <c r="C3502" t="s">
        <v>7033</v>
      </c>
      <c r="D3502" s="1" t="s">
        <v>427</v>
      </c>
      <c r="E3502" s="3">
        <v>94.18</v>
      </c>
      <c r="F3502" s="3">
        <f t="shared" si="108"/>
        <v>23.799286000000006</v>
      </c>
      <c r="G3502" s="3">
        <f t="shared" si="109"/>
        <v>117.97928600000002</v>
      </c>
    </row>
    <row r="3503" spans="1:7" x14ac:dyDescent="0.3">
      <c r="A3503" t="s">
        <v>13039</v>
      </c>
      <c r="B3503" t="s">
        <v>7034</v>
      </c>
      <c r="C3503" t="s">
        <v>7035</v>
      </c>
      <c r="D3503" s="1" t="s">
        <v>195</v>
      </c>
      <c r="E3503" s="3">
        <v>6976.42</v>
      </c>
      <c r="F3503" s="3">
        <f t="shared" si="108"/>
        <v>1762.9413340000003</v>
      </c>
      <c r="G3503" s="3">
        <f t="shared" si="109"/>
        <v>8739.3613340000011</v>
      </c>
    </row>
    <row r="3504" spans="1:7" x14ac:dyDescent="0.3">
      <c r="A3504" t="s">
        <v>13039</v>
      </c>
      <c r="B3504" t="s">
        <v>7036</v>
      </c>
      <c r="C3504" t="s">
        <v>7037</v>
      </c>
      <c r="D3504" s="1" t="s">
        <v>195</v>
      </c>
      <c r="E3504" s="3">
        <v>6613.63</v>
      </c>
      <c r="F3504" s="3">
        <f t="shared" si="108"/>
        <v>1671.2643010000002</v>
      </c>
      <c r="G3504" s="3">
        <f t="shared" si="109"/>
        <v>8284.8943010000003</v>
      </c>
    </row>
    <row r="3505" spans="1:7" x14ac:dyDescent="0.3">
      <c r="A3505" t="s">
        <v>13039</v>
      </c>
      <c r="B3505" t="s">
        <v>7038</v>
      </c>
      <c r="C3505" t="s">
        <v>7039</v>
      </c>
      <c r="D3505" s="1" t="s">
        <v>195</v>
      </c>
      <c r="E3505" s="3">
        <v>7044.55</v>
      </c>
      <c r="F3505" s="3">
        <f t="shared" si="108"/>
        <v>1780.1577850000003</v>
      </c>
      <c r="G3505" s="3">
        <f t="shared" si="109"/>
        <v>8824.7077850000005</v>
      </c>
    </row>
    <row r="3506" spans="1:7" x14ac:dyDescent="0.3">
      <c r="A3506" t="s">
        <v>13039</v>
      </c>
      <c r="B3506" t="s">
        <v>7040</v>
      </c>
      <c r="C3506" t="s">
        <v>7041</v>
      </c>
      <c r="D3506" s="1" t="s">
        <v>195</v>
      </c>
      <c r="E3506" s="3">
        <v>6668.32</v>
      </c>
      <c r="F3506" s="3">
        <f t="shared" si="108"/>
        <v>1685.0844640000003</v>
      </c>
      <c r="G3506" s="3">
        <f t="shared" si="109"/>
        <v>8353.4044639999993</v>
      </c>
    </row>
    <row r="3507" spans="1:7" x14ac:dyDescent="0.3">
      <c r="A3507" t="s">
        <v>13039</v>
      </c>
      <c r="B3507" t="s">
        <v>7042</v>
      </c>
      <c r="C3507" t="s">
        <v>7043</v>
      </c>
      <c r="D3507" s="1" t="s">
        <v>195</v>
      </c>
      <c r="E3507" s="3">
        <v>7115.53</v>
      </c>
      <c r="F3507" s="3">
        <f t="shared" si="108"/>
        <v>1798.0944310000002</v>
      </c>
      <c r="G3507" s="3">
        <f t="shared" si="109"/>
        <v>8913.6244310000002</v>
      </c>
    </row>
    <row r="3508" spans="1:7" x14ac:dyDescent="0.3">
      <c r="A3508" t="s">
        <v>13039</v>
      </c>
      <c r="B3508" t="s">
        <v>7044</v>
      </c>
      <c r="C3508" t="s">
        <v>7045</v>
      </c>
      <c r="D3508" s="1" t="s">
        <v>195</v>
      </c>
      <c r="E3508" s="3">
        <v>6724.83</v>
      </c>
      <c r="F3508" s="3">
        <f t="shared" si="108"/>
        <v>1699.3645410000001</v>
      </c>
      <c r="G3508" s="3">
        <f t="shared" si="109"/>
        <v>8424.1945410000008</v>
      </c>
    </row>
    <row r="3509" spans="1:7" x14ac:dyDescent="0.3">
      <c r="A3509" t="s">
        <v>13039</v>
      </c>
      <c r="B3509" t="s">
        <v>7046</v>
      </c>
      <c r="C3509" t="s">
        <v>7047</v>
      </c>
      <c r="D3509" s="1" t="s">
        <v>195</v>
      </c>
      <c r="E3509" s="3">
        <v>7186.01</v>
      </c>
      <c r="F3509" s="3">
        <f t="shared" si="108"/>
        <v>1815.9047270000003</v>
      </c>
      <c r="G3509" s="3">
        <f t="shared" si="109"/>
        <v>9001.9147270000012</v>
      </c>
    </row>
    <row r="3510" spans="1:7" x14ac:dyDescent="0.3">
      <c r="A3510" t="s">
        <v>13039</v>
      </c>
      <c r="B3510" t="s">
        <v>7048</v>
      </c>
      <c r="C3510" t="s">
        <v>7049</v>
      </c>
      <c r="D3510" s="1" t="s">
        <v>195</v>
      </c>
      <c r="E3510" s="3">
        <v>6779.68</v>
      </c>
      <c r="F3510" s="3">
        <f t="shared" si="108"/>
        <v>1713.2251360000002</v>
      </c>
      <c r="G3510" s="3">
        <f t="shared" si="109"/>
        <v>8492.9051360000012</v>
      </c>
    </row>
    <row r="3511" spans="1:7" x14ac:dyDescent="0.3">
      <c r="A3511" t="s">
        <v>13039</v>
      </c>
      <c r="B3511" t="s">
        <v>7050</v>
      </c>
      <c r="C3511" t="s">
        <v>7051</v>
      </c>
      <c r="D3511" s="1" t="s">
        <v>195</v>
      </c>
      <c r="E3511" s="3">
        <v>7257.95</v>
      </c>
      <c r="F3511" s="3">
        <f t="shared" si="108"/>
        <v>1834.0839650000003</v>
      </c>
      <c r="G3511" s="3">
        <f t="shared" si="109"/>
        <v>9092.0339650000005</v>
      </c>
    </row>
    <row r="3512" spans="1:7" x14ac:dyDescent="0.3">
      <c r="A3512" t="s">
        <v>13039</v>
      </c>
      <c r="B3512" t="s">
        <v>7052</v>
      </c>
      <c r="C3512" t="s">
        <v>7053</v>
      </c>
      <c r="D3512" s="1" t="s">
        <v>195</v>
      </c>
      <c r="E3512" s="3">
        <v>6834.69</v>
      </c>
      <c r="F3512" s="3">
        <f t="shared" si="108"/>
        <v>1727.1261630000001</v>
      </c>
      <c r="G3512" s="3">
        <f t="shared" si="109"/>
        <v>8561.8161629999995</v>
      </c>
    </row>
    <row r="3513" spans="1:7" x14ac:dyDescent="0.3">
      <c r="A3513" t="s">
        <v>13039</v>
      </c>
      <c r="B3513" t="s">
        <v>7054</v>
      </c>
      <c r="C3513" t="s">
        <v>7055</v>
      </c>
      <c r="D3513" s="1" t="s">
        <v>195</v>
      </c>
      <c r="E3513" s="3">
        <v>9929.51</v>
      </c>
      <c r="F3513" s="3">
        <f t="shared" si="108"/>
        <v>2509.1871770000002</v>
      </c>
      <c r="G3513" s="3">
        <f t="shared" si="109"/>
        <v>12438.697177</v>
      </c>
    </row>
    <row r="3514" spans="1:7" x14ac:dyDescent="0.3">
      <c r="A3514" t="s">
        <v>13039</v>
      </c>
      <c r="B3514" t="s">
        <v>7056</v>
      </c>
      <c r="C3514" t="s">
        <v>7057</v>
      </c>
      <c r="D3514" s="1" t="s">
        <v>195</v>
      </c>
      <c r="E3514" s="3">
        <v>9553.27</v>
      </c>
      <c r="F3514" s="3">
        <f t="shared" si="108"/>
        <v>2414.1113290000003</v>
      </c>
      <c r="G3514" s="3">
        <f t="shared" si="109"/>
        <v>11967.381329</v>
      </c>
    </row>
    <row r="3515" spans="1:7" x14ac:dyDescent="0.3">
      <c r="A3515" t="s">
        <v>13039</v>
      </c>
      <c r="B3515" t="s">
        <v>7058</v>
      </c>
      <c r="C3515" t="s">
        <v>7059</v>
      </c>
      <c r="D3515" s="1" t="s">
        <v>195</v>
      </c>
      <c r="E3515" s="3">
        <v>10065.629999999999</v>
      </c>
      <c r="F3515" s="3">
        <f t="shared" si="108"/>
        <v>2543.5847010000002</v>
      </c>
      <c r="G3515" s="3">
        <f t="shared" si="109"/>
        <v>12609.214700999999</v>
      </c>
    </row>
    <row r="3516" spans="1:7" x14ac:dyDescent="0.3">
      <c r="A3516" t="s">
        <v>13039</v>
      </c>
      <c r="B3516" t="s">
        <v>7060</v>
      </c>
      <c r="C3516" t="s">
        <v>7061</v>
      </c>
      <c r="D3516" s="1" t="s">
        <v>195</v>
      </c>
      <c r="E3516" s="3">
        <v>9674.92</v>
      </c>
      <c r="F3516" s="3">
        <f t="shared" si="108"/>
        <v>2444.8522840000005</v>
      </c>
      <c r="G3516" s="3">
        <f t="shared" si="109"/>
        <v>12119.772284000001</v>
      </c>
    </row>
    <row r="3517" spans="1:7" x14ac:dyDescent="0.3">
      <c r="A3517" t="s">
        <v>13039</v>
      </c>
      <c r="B3517" t="s">
        <v>7062</v>
      </c>
      <c r="C3517" t="s">
        <v>7063</v>
      </c>
      <c r="D3517" s="1" t="s">
        <v>195</v>
      </c>
      <c r="E3517" s="3">
        <v>10199.219999999999</v>
      </c>
      <c r="F3517" s="3">
        <f t="shared" si="108"/>
        <v>2577.3428940000003</v>
      </c>
      <c r="G3517" s="3">
        <f t="shared" si="109"/>
        <v>12776.562893999999</v>
      </c>
    </row>
    <row r="3518" spans="1:7" x14ac:dyDescent="0.3">
      <c r="A3518" t="s">
        <v>13039</v>
      </c>
      <c r="B3518" t="s">
        <v>7064</v>
      </c>
      <c r="C3518" t="s">
        <v>7065</v>
      </c>
      <c r="D3518" s="1" t="s">
        <v>195</v>
      </c>
      <c r="E3518" s="3">
        <v>9792.8799999999992</v>
      </c>
      <c r="F3518" s="3">
        <f t="shared" si="108"/>
        <v>2474.6607760000002</v>
      </c>
      <c r="G3518" s="3">
        <f t="shared" si="109"/>
        <v>12267.540776</v>
      </c>
    </row>
    <row r="3519" spans="1:7" x14ac:dyDescent="0.3">
      <c r="A3519" t="s">
        <v>13039</v>
      </c>
      <c r="B3519" t="s">
        <v>7066</v>
      </c>
      <c r="C3519" t="s">
        <v>7067</v>
      </c>
      <c r="D3519" s="1" t="s">
        <v>195</v>
      </c>
      <c r="E3519" s="3">
        <v>10337.969999999999</v>
      </c>
      <c r="F3519" s="3">
        <f t="shared" si="108"/>
        <v>2612.4050190000003</v>
      </c>
      <c r="G3519" s="3">
        <f t="shared" si="109"/>
        <v>12950.375018999999</v>
      </c>
    </row>
    <row r="3520" spans="1:7" x14ac:dyDescent="0.3">
      <c r="A3520" t="s">
        <v>13039</v>
      </c>
      <c r="B3520" t="s">
        <v>7068</v>
      </c>
      <c r="C3520" t="s">
        <v>7069</v>
      </c>
      <c r="D3520" s="1" t="s">
        <v>195</v>
      </c>
      <c r="E3520" s="3">
        <v>9914.7099999999991</v>
      </c>
      <c r="F3520" s="3">
        <f t="shared" si="108"/>
        <v>2505.4472169999999</v>
      </c>
      <c r="G3520" s="3">
        <f t="shared" si="109"/>
        <v>12420.157217</v>
      </c>
    </row>
    <row r="3521" spans="1:7" x14ac:dyDescent="0.3">
      <c r="A3521" t="s">
        <v>13039</v>
      </c>
      <c r="B3521" t="s">
        <v>7070</v>
      </c>
      <c r="C3521" t="s">
        <v>7071</v>
      </c>
      <c r="D3521" s="1" t="s">
        <v>195</v>
      </c>
      <c r="E3521" s="3">
        <v>2415.9699999999998</v>
      </c>
      <c r="F3521" s="3">
        <f t="shared" si="108"/>
        <v>610.51561900000002</v>
      </c>
      <c r="G3521" s="3">
        <f t="shared" si="109"/>
        <v>3026.485619</v>
      </c>
    </row>
    <row r="3522" spans="1:7" x14ac:dyDescent="0.3">
      <c r="A3522" t="s">
        <v>13039</v>
      </c>
      <c r="B3522" t="s">
        <v>7072</v>
      </c>
      <c r="C3522" t="s">
        <v>7073</v>
      </c>
      <c r="D3522" s="1" t="s">
        <v>195</v>
      </c>
      <c r="E3522" s="3">
        <v>2098.52</v>
      </c>
      <c r="F3522" s="3">
        <f t="shared" si="108"/>
        <v>530.29600400000004</v>
      </c>
      <c r="G3522" s="3">
        <f t="shared" si="109"/>
        <v>2628.8160040000002</v>
      </c>
    </row>
    <row r="3523" spans="1:7" x14ac:dyDescent="0.3">
      <c r="A3523" t="s">
        <v>13039</v>
      </c>
      <c r="B3523" t="s">
        <v>7074</v>
      </c>
      <c r="C3523" t="s">
        <v>7075</v>
      </c>
      <c r="D3523" s="1" t="s">
        <v>195</v>
      </c>
      <c r="E3523" s="3">
        <v>1049.42</v>
      </c>
      <c r="F3523" s="3">
        <f t="shared" si="108"/>
        <v>265.18843400000003</v>
      </c>
      <c r="G3523" s="3">
        <f t="shared" si="109"/>
        <v>1314.6084340000002</v>
      </c>
    </row>
    <row r="3524" spans="1:7" x14ac:dyDescent="0.3">
      <c r="A3524" t="s">
        <v>13039</v>
      </c>
      <c r="B3524" t="s">
        <v>7076</v>
      </c>
      <c r="C3524" t="s">
        <v>7077</v>
      </c>
      <c r="D3524" s="1" t="s">
        <v>195</v>
      </c>
      <c r="E3524" s="3">
        <v>782.1</v>
      </c>
      <c r="F3524" s="3">
        <f t="shared" si="108"/>
        <v>197.63667000000004</v>
      </c>
      <c r="G3524" s="3">
        <f t="shared" si="109"/>
        <v>979.73667</v>
      </c>
    </row>
    <row r="3525" spans="1:7" x14ac:dyDescent="0.3">
      <c r="A3525" t="s">
        <v>13039</v>
      </c>
      <c r="B3525" t="s">
        <v>7078</v>
      </c>
      <c r="C3525" t="s">
        <v>7079</v>
      </c>
      <c r="D3525" s="1" t="s">
        <v>195</v>
      </c>
      <c r="E3525" s="3">
        <v>1246.55</v>
      </c>
      <c r="F3525" s="3">
        <f t="shared" si="108"/>
        <v>315.00318500000003</v>
      </c>
      <c r="G3525" s="3">
        <f t="shared" si="109"/>
        <v>1561.553185</v>
      </c>
    </row>
    <row r="3526" spans="1:7" x14ac:dyDescent="0.3">
      <c r="A3526" t="s">
        <v>13039</v>
      </c>
      <c r="B3526" t="s">
        <v>7080</v>
      </c>
      <c r="C3526" t="s">
        <v>7081</v>
      </c>
      <c r="D3526" s="1" t="s">
        <v>195</v>
      </c>
      <c r="E3526" s="3">
        <v>972</v>
      </c>
      <c r="F3526" s="3">
        <f t="shared" si="108"/>
        <v>245.62440000000004</v>
      </c>
      <c r="G3526" s="3">
        <f t="shared" si="109"/>
        <v>1217.6244000000002</v>
      </c>
    </row>
    <row r="3527" spans="1:7" x14ac:dyDescent="0.3">
      <c r="A3527" t="s">
        <v>13039</v>
      </c>
      <c r="B3527" t="s">
        <v>7082</v>
      </c>
      <c r="C3527" t="s">
        <v>7083</v>
      </c>
      <c r="D3527" s="1" t="s">
        <v>195</v>
      </c>
      <c r="E3527" s="3">
        <v>1400.16</v>
      </c>
      <c r="F3527" s="3">
        <f t="shared" ref="F3527:F3590" si="110">+E3527*$F$4</f>
        <v>353.8204320000001</v>
      </c>
      <c r="G3527" s="3">
        <f t="shared" ref="G3527:G3590" si="111">+E3527+F3527</f>
        <v>1753.9804320000003</v>
      </c>
    </row>
    <row r="3528" spans="1:7" x14ac:dyDescent="0.3">
      <c r="A3528" t="s">
        <v>13039</v>
      </c>
      <c r="B3528" t="s">
        <v>7084</v>
      </c>
      <c r="C3528" t="s">
        <v>7085</v>
      </c>
      <c r="D3528" s="1" t="s">
        <v>195</v>
      </c>
      <c r="E3528" s="3">
        <v>1117.98</v>
      </c>
      <c r="F3528" s="3">
        <f t="shared" si="110"/>
        <v>282.51354600000002</v>
      </c>
      <c r="G3528" s="3">
        <f t="shared" si="111"/>
        <v>1400.4935460000002</v>
      </c>
    </row>
    <row r="3529" spans="1:7" x14ac:dyDescent="0.3">
      <c r="A3529" t="s">
        <v>13039</v>
      </c>
      <c r="B3529" t="s">
        <v>7086</v>
      </c>
      <c r="C3529" t="s">
        <v>7087</v>
      </c>
      <c r="D3529" s="1" t="s">
        <v>195</v>
      </c>
      <c r="E3529" s="3">
        <v>1607.4</v>
      </c>
      <c r="F3529" s="3">
        <f t="shared" si="110"/>
        <v>406.18998000000011</v>
      </c>
      <c r="G3529" s="3">
        <f t="shared" si="111"/>
        <v>2013.5899800000002</v>
      </c>
    </row>
    <row r="3530" spans="1:7" x14ac:dyDescent="0.3">
      <c r="A3530" t="s">
        <v>13039</v>
      </c>
      <c r="B3530" t="s">
        <v>7088</v>
      </c>
      <c r="C3530" t="s">
        <v>7089</v>
      </c>
      <c r="D3530" s="1" t="s">
        <v>195</v>
      </c>
      <c r="E3530" s="3">
        <v>1317.16</v>
      </c>
      <c r="F3530" s="3">
        <f t="shared" si="110"/>
        <v>332.84633200000007</v>
      </c>
      <c r="G3530" s="3">
        <f t="shared" si="111"/>
        <v>1650.0063320000002</v>
      </c>
    </row>
    <row r="3531" spans="1:7" x14ac:dyDescent="0.3">
      <c r="A3531" t="s">
        <v>13039</v>
      </c>
      <c r="B3531" t="s">
        <v>7090</v>
      </c>
      <c r="C3531" t="s">
        <v>7091</v>
      </c>
      <c r="D3531" s="1" t="s">
        <v>195</v>
      </c>
      <c r="E3531" s="3">
        <v>1906.95</v>
      </c>
      <c r="F3531" s="3">
        <f t="shared" si="110"/>
        <v>481.88626500000009</v>
      </c>
      <c r="G3531" s="3">
        <f t="shared" si="111"/>
        <v>2388.8362649999999</v>
      </c>
    </row>
    <row r="3532" spans="1:7" x14ac:dyDescent="0.3">
      <c r="A3532" t="s">
        <v>13039</v>
      </c>
      <c r="B3532" t="s">
        <v>7092</v>
      </c>
      <c r="C3532" t="s">
        <v>7093</v>
      </c>
      <c r="D3532" s="1" t="s">
        <v>195</v>
      </c>
      <c r="E3532" s="3">
        <v>1608.17</v>
      </c>
      <c r="F3532" s="3">
        <f t="shared" si="110"/>
        <v>406.38455900000008</v>
      </c>
      <c r="G3532" s="3">
        <f t="shared" si="111"/>
        <v>2014.5545590000002</v>
      </c>
    </row>
    <row r="3533" spans="1:7" x14ac:dyDescent="0.3">
      <c r="A3533" t="s">
        <v>13039</v>
      </c>
      <c r="B3533" t="s">
        <v>7094</v>
      </c>
      <c r="C3533" t="s">
        <v>7095</v>
      </c>
      <c r="D3533" s="1" t="s">
        <v>195</v>
      </c>
      <c r="E3533" s="3">
        <v>1930.76</v>
      </c>
      <c r="F3533" s="3">
        <f t="shared" si="110"/>
        <v>487.90305200000006</v>
      </c>
      <c r="G3533" s="3">
        <f t="shared" si="111"/>
        <v>2418.6630519999999</v>
      </c>
    </row>
    <row r="3534" spans="1:7" x14ac:dyDescent="0.3">
      <c r="A3534" t="s">
        <v>13039</v>
      </c>
      <c r="B3534" t="s">
        <v>7096</v>
      </c>
      <c r="C3534" t="s">
        <v>7097</v>
      </c>
      <c r="D3534" s="1" t="s">
        <v>195</v>
      </c>
      <c r="E3534" s="3">
        <v>1622.94</v>
      </c>
      <c r="F3534" s="3">
        <f t="shared" si="110"/>
        <v>410.11693800000006</v>
      </c>
      <c r="G3534" s="3">
        <f t="shared" si="111"/>
        <v>2033.0569380000002</v>
      </c>
    </row>
    <row r="3535" spans="1:7" x14ac:dyDescent="0.3">
      <c r="A3535" t="s">
        <v>13039</v>
      </c>
      <c r="B3535" t="s">
        <v>7098</v>
      </c>
      <c r="C3535" t="s">
        <v>7099</v>
      </c>
      <c r="D3535" s="1" t="s">
        <v>195</v>
      </c>
      <c r="E3535" s="3">
        <v>3028.87</v>
      </c>
      <c r="F3535" s="3">
        <f t="shared" si="110"/>
        <v>765.3954490000001</v>
      </c>
      <c r="G3535" s="3">
        <f t="shared" si="111"/>
        <v>3794.265449</v>
      </c>
    </row>
    <row r="3536" spans="1:7" x14ac:dyDescent="0.3">
      <c r="A3536" t="s">
        <v>13039</v>
      </c>
      <c r="B3536" t="s">
        <v>7100</v>
      </c>
      <c r="C3536" t="s">
        <v>7101</v>
      </c>
      <c r="D3536" s="1" t="s">
        <v>195</v>
      </c>
      <c r="E3536" s="3">
        <v>2711.42</v>
      </c>
      <c r="F3536" s="3">
        <f t="shared" si="110"/>
        <v>685.17583400000012</v>
      </c>
      <c r="G3536" s="3">
        <f t="shared" si="111"/>
        <v>3396.5958340000002</v>
      </c>
    </row>
    <row r="3537" spans="1:7" x14ac:dyDescent="0.3">
      <c r="A3537" t="s">
        <v>13039</v>
      </c>
      <c r="B3537" t="s">
        <v>7102</v>
      </c>
      <c r="C3537" t="s">
        <v>7103</v>
      </c>
      <c r="D3537" s="1" t="s">
        <v>195</v>
      </c>
      <c r="E3537" s="3">
        <v>3061.24</v>
      </c>
      <c r="F3537" s="3">
        <f t="shared" si="110"/>
        <v>773.57534800000008</v>
      </c>
      <c r="G3537" s="3">
        <f t="shared" si="111"/>
        <v>3834.8153480000001</v>
      </c>
    </row>
    <row r="3538" spans="1:7" x14ac:dyDescent="0.3">
      <c r="A3538" t="s">
        <v>13039</v>
      </c>
      <c r="B3538" t="s">
        <v>7104</v>
      </c>
      <c r="C3538" t="s">
        <v>7105</v>
      </c>
      <c r="D3538" s="1" t="s">
        <v>195</v>
      </c>
      <c r="E3538" s="3">
        <v>2733.55</v>
      </c>
      <c r="F3538" s="3">
        <f t="shared" si="110"/>
        <v>690.76808500000016</v>
      </c>
      <c r="G3538" s="3">
        <f t="shared" si="111"/>
        <v>3424.3180850000003</v>
      </c>
    </row>
    <row r="3539" spans="1:7" x14ac:dyDescent="0.3">
      <c r="A3539" t="s">
        <v>13039</v>
      </c>
      <c r="B3539" t="s">
        <v>7106</v>
      </c>
      <c r="C3539" t="s">
        <v>7107</v>
      </c>
      <c r="D3539" s="1" t="s">
        <v>195</v>
      </c>
      <c r="E3539" s="3">
        <v>3093.91</v>
      </c>
      <c r="F3539" s="3">
        <f t="shared" si="110"/>
        <v>781.8310570000001</v>
      </c>
      <c r="G3539" s="3">
        <f t="shared" si="111"/>
        <v>3875.7410570000002</v>
      </c>
    </row>
    <row r="3540" spans="1:7" x14ac:dyDescent="0.3">
      <c r="A3540" t="s">
        <v>13039</v>
      </c>
      <c r="B3540" t="s">
        <v>7108</v>
      </c>
      <c r="C3540" t="s">
        <v>7109</v>
      </c>
      <c r="D3540" s="1" t="s">
        <v>195</v>
      </c>
      <c r="E3540" s="3">
        <v>2755.3</v>
      </c>
      <c r="F3540" s="3">
        <f t="shared" si="110"/>
        <v>696.26431000000014</v>
      </c>
      <c r="G3540" s="3">
        <f t="shared" si="111"/>
        <v>3451.5643100000002</v>
      </c>
    </row>
    <row r="3541" spans="1:7" x14ac:dyDescent="0.3">
      <c r="A3541" t="s">
        <v>13039</v>
      </c>
      <c r="B3541" t="s">
        <v>7110</v>
      </c>
      <c r="C3541" t="s">
        <v>7111</v>
      </c>
      <c r="D3541" s="1" t="s">
        <v>195</v>
      </c>
      <c r="E3541" s="3">
        <v>1999.37</v>
      </c>
      <c r="F3541" s="3">
        <f t="shared" si="110"/>
        <v>505.24079900000004</v>
      </c>
      <c r="G3541" s="3">
        <f t="shared" si="111"/>
        <v>2504.610799</v>
      </c>
    </row>
    <row r="3542" spans="1:7" x14ac:dyDescent="0.3">
      <c r="A3542" t="s">
        <v>13039</v>
      </c>
      <c r="B3542" t="s">
        <v>7112</v>
      </c>
      <c r="C3542" t="s">
        <v>7113</v>
      </c>
      <c r="D3542" s="1" t="s">
        <v>195</v>
      </c>
      <c r="E3542" s="3">
        <v>1709.13</v>
      </c>
      <c r="F3542" s="3">
        <f t="shared" si="110"/>
        <v>431.89715100000006</v>
      </c>
      <c r="G3542" s="3">
        <f t="shared" si="111"/>
        <v>2141.0271510000002</v>
      </c>
    </row>
    <row r="3543" spans="1:7" x14ac:dyDescent="0.3">
      <c r="A3543" t="s">
        <v>13039</v>
      </c>
      <c r="B3543" t="s">
        <v>7114</v>
      </c>
      <c r="C3543" t="s">
        <v>7115</v>
      </c>
      <c r="D3543" s="1" t="s">
        <v>195</v>
      </c>
      <c r="E3543" s="3">
        <v>2380.87</v>
      </c>
      <c r="F3543" s="3">
        <f t="shared" si="110"/>
        <v>601.64584900000011</v>
      </c>
      <c r="G3543" s="3">
        <f t="shared" si="111"/>
        <v>2982.5158489999999</v>
      </c>
    </row>
    <row r="3544" spans="1:7" x14ac:dyDescent="0.3">
      <c r="A3544" t="s">
        <v>13039</v>
      </c>
      <c r="B3544" t="s">
        <v>7116</v>
      </c>
      <c r="C3544" t="s">
        <v>7117</v>
      </c>
      <c r="D3544" s="1" t="s">
        <v>195</v>
      </c>
      <c r="E3544" s="3">
        <v>2082.09</v>
      </c>
      <c r="F3544" s="3">
        <f t="shared" si="110"/>
        <v>526.1441430000001</v>
      </c>
      <c r="G3544" s="3">
        <f t="shared" si="111"/>
        <v>2608.2341430000001</v>
      </c>
    </row>
    <row r="3545" spans="1:7" x14ac:dyDescent="0.3">
      <c r="A3545" t="s">
        <v>13039</v>
      </c>
      <c r="B3545" t="s">
        <v>7118</v>
      </c>
      <c r="C3545" t="s">
        <v>7119</v>
      </c>
      <c r="D3545" s="1" t="s">
        <v>195</v>
      </c>
      <c r="E3545" s="3">
        <v>2411.96</v>
      </c>
      <c r="F3545" s="3">
        <f t="shared" si="110"/>
        <v>609.50229200000012</v>
      </c>
      <c r="G3545" s="3">
        <f t="shared" si="111"/>
        <v>3021.4622920000002</v>
      </c>
    </row>
    <row r="3546" spans="1:7" x14ac:dyDescent="0.3">
      <c r="A3546" t="s">
        <v>13039</v>
      </c>
      <c r="B3546" t="s">
        <v>7120</v>
      </c>
      <c r="C3546" t="s">
        <v>7121</v>
      </c>
      <c r="D3546" s="1" t="s">
        <v>195</v>
      </c>
      <c r="E3546" s="3">
        <v>2104.13</v>
      </c>
      <c r="F3546" s="3">
        <f t="shared" si="110"/>
        <v>531.71365100000014</v>
      </c>
      <c r="G3546" s="3">
        <f t="shared" si="111"/>
        <v>2635.8436510000001</v>
      </c>
    </row>
    <row r="3547" spans="1:7" x14ac:dyDescent="0.3">
      <c r="A3547" t="s">
        <v>13039</v>
      </c>
      <c r="B3547" t="s">
        <v>7122</v>
      </c>
      <c r="C3547" t="s">
        <v>7123</v>
      </c>
      <c r="D3547" s="1" t="s">
        <v>195</v>
      </c>
      <c r="E3547" s="3">
        <v>3613.57</v>
      </c>
      <c r="F3547" s="3">
        <f t="shared" si="110"/>
        <v>913.14913900000022</v>
      </c>
      <c r="G3547" s="3">
        <f t="shared" si="111"/>
        <v>4526.7191390000007</v>
      </c>
    </row>
    <row r="3548" spans="1:7" x14ac:dyDescent="0.3">
      <c r="A3548" t="s">
        <v>13039</v>
      </c>
      <c r="B3548" t="s">
        <v>7124</v>
      </c>
      <c r="C3548" t="s">
        <v>7125</v>
      </c>
      <c r="D3548" s="1" t="s">
        <v>195</v>
      </c>
      <c r="E3548" s="3">
        <v>3296.12</v>
      </c>
      <c r="F3548" s="3">
        <f t="shared" si="110"/>
        <v>832.92952400000013</v>
      </c>
      <c r="G3548" s="3">
        <f t="shared" si="111"/>
        <v>4129.049524</v>
      </c>
    </row>
    <row r="3549" spans="1:7" x14ac:dyDescent="0.3">
      <c r="A3549" t="s">
        <v>13039</v>
      </c>
      <c r="B3549" t="s">
        <v>7126</v>
      </c>
      <c r="C3549" t="s">
        <v>7127</v>
      </c>
      <c r="D3549" s="1" t="s">
        <v>195</v>
      </c>
      <c r="E3549" s="3">
        <v>3655.31</v>
      </c>
      <c r="F3549" s="3">
        <f t="shared" si="110"/>
        <v>923.69683700000007</v>
      </c>
      <c r="G3549" s="3">
        <f t="shared" si="111"/>
        <v>4579.0068369999999</v>
      </c>
    </row>
    <row r="3550" spans="1:7" x14ac:dyDescent="0.3">
      <c r="A3550" t="s">
        <v>13039</v>
      </c>
      <c r="B3550" t="s">
        <v>7128</v>
      </c>
      <c r="C3550" t="s">
        <v>7129</v>
      </c>
      <c r="D3550" s="1" t="s">
        <v>195</v>
      </c>
      <c r="E3550" s="3">
        <v>3327.62</v>
      </c>
      <c r="F3550" s="3">
        <f t="shared" si="110"/>
        <v>840.88957400000004</v>
      </c>
      <c r="G3550" s="3">
        <f t="shared" si="111"/>
        <v>4168.5095739999997</v>
      </c>
    </row>
    <row r="3551" spans="1:7" x14ac:dyDescent="0.3">
      <c r="A3551" t="s">
        <v>13039</v>
      </c>
      <c r="B3551" t="s">
        <v>7130</v>
      </c>
      <c r="C3551" t="s">
        <v>7131</v>
      </c>
      <c r="D3551" s="1" t="s">
        <v>195</v>
      </c>
      <c r="E3551" s="3">
        <v>3696.93</v>
      </c>
      <c r="F3551" s="3">
        <f t="shared" si="110"/>
        <v>934.21421100000009</v>
      </c>
      <c r="G3551" s="3">
        <f t="shared" si="111"/>
        <v>4631.1442109999998</v>
      </c>
    </row>
    <row r="3552" spans="1:7" x14ac:dyDescent="0.3">
      <c r="A3552" t="s">
        <v>13039</v>
      </c>
      <c r="B3552" t="s">
        <v>7132</v>
      </c>
      <c r="C3552" t="s">
        <v>7133</v>
      </c>
      <c r="D3552" s="1" t="s">
        <v>195</v>
      </c>
      <c r="E3552" s="3">
        <v>3358.32</v>
      </c>
      <c r="F3552" s="3">
        <f t="shared" si="110"/>
        <v>848.64746400000013</v>
      </c>
      <c r="G3552" s="3">
        <f t="shared" si="111"/>
        <v>4206.9674640000003</v>
      </c>
    </row>
    <row r="3553" spans="1:7" x14ac:dyDescent="0.3">
      <c r="A3553" t="s">
        <v>13039</v>
      </c>
      <c r="B3553" t="s">
        <v>7134</v>
      </c>
      <c r="C3553" t="s">
        <v>7135</v>
      </c>
      <c r="D3553" s="1" t="s">
        <v>195</v>
      </c>
      <c r="E3553" s="3">
        <v>5130.26</v>
      </c>
      <c r="F3553" s="3">
        <f t="shared" si="110"/>
        <v>1296.4167020000002</v>
      </c>
      <c r="G3553" s="3">
        <f t="shared" si="111"/>
        <v>6426.6767020000007</v>
      </c>
    </row>
    <row r="3554" spans="1:7" x14ac:dyDescent="0.3">
      <c r="A3554" t="s">
        <v>13039</v>
      </c>
      <c r="B3554" t="s">
        <v>7136</v>
      </c>
      <c r="C3554" t="s">
        <v>7137</v>
      </c>
      <c r="D3554" s="1" t="s">
        <v>195</v>
      </c>
      <c r="E3554" s="3">
        <v>4779.9799999999996</v>
      </c>
      <c r="F3554" s="3">
        <f t="shared" si="110"/>
        <v>1207.900946</v>
      </c>
      <c r="G3554" s="3">
        <f t="shared" si="111"/>
        <v>5987.8809459999993</v>
      </c>
    </row>
    <row r="3555" spans="1:7" x14ac:dyDescent="0.3">
      <c r="A3555" t="s">
        <v>13039</v>
      </c>
      <c r="B3555" t="s">
        <v>7138</v>
      </c>
      <c r="C3555" t="s">
        <v>7139</v>
      </c>
      <c r="D3555" s="1" t="s">
        <v>195</v>
      </c>
      <c r="E3555" s="3">
        <v>5174.49</v>
      </c>
      <c r="F3555" s="3">
        <f t="shared" si="110"/>
        <v>1307.5936230000002</v>
      </c>
      <c r="G3555" s="3">
        <f t="shared" si="111"/>
        <v>6482.0836230000004</v>
      </c>
    </row>
    <row r="3556" spans="1:7" x14ac:dyDescent="0.3">
      <c r="A3556" t="s">
        <v>13039</v>
      </c>
      <c r="B3556" t="s">
        <v>7140</v>
      </c>
      <c r="C3556" t="s">
        <v>7141</v>
      </c>
      <c r="D3556" s="1" t="s">
        <v>195</v>
      </c>
      <c r="E3556" s="3">
        <v>4811.6899999999996</v>
      </c>
      <c r="F3556" s="3">
        <f t="shared" si="110"/>
        <v>1215.9140630000002</v>
      </c>
      <c r="G3556" s="3">
        <f t="shared" si="111"/>
        <v>6027.6040629999998</v>
      </c>
    </row>
    <row r="3557" spans="1:7" x14ac:dyDescent="0.3">
      <c r="A3557" t="s">
        <v>13039</v>
      </c>
      <c r="B3557" t="s">
        <v>7142</v>
      </c>
      <c r="C3557" t="s">
        <v>7143</v>
      </c>
      <c r="D3557" s="1" t="s">
        <v>195</v>
      </c>
      <c r="E3557" s="3">
        <v>5218.74</v>
      </c>
      <c r="F3557" s="3">
        <f t="shared" si="110"/>
        <v>1318.7755980000002</v>
      </c>
      <c r="G3557" s="3">
        <f t="shared" si="111"/>
        <v>6537.515598</v>
      </c>
    </row>
    <row r="3558" spans="1:7" x14ac:dyDescent="0.3">
      <c r="A3558" t="s">
        <v>13039</v>
      </c>
      <c r="B3558" t="s">
        <v>7144</v>
      </c>
      <c r="C3558" t="s">
        <v>7145</v>
      </c>
      <c r="D3558" s="1" t="s">
        <v>195</v>
      </c>
      <c r="E3558" s="3">
        <v>4842.51</v>
      </c>
      <c r="F3558" s="3">
        <f t="shared" si="110"/>
        <v>1223.7022770000003</v>
      </c>
      <c r="G3558" s="3">
        <f t="shared" si="111"/>
        <v>6066.2122770000005</v>
      </c>
    </row>
    <row r="3559" spans="1:7" x14ac:dyDescent="0.3">
      <c r="A3559" t="s">
        <v>13039</v>
      </c>
      <c r="B3559" t="s">
        <v>7146</v>
      </c>
      <c r="C3559" t="s">
        <v>7147</v>
      </c>
      <c r="D3559" s="1" t="s">
        <v>195</v>
      </c>
      <c r="E3559" s="3">
        <v>2877.86</v>
      </c>
      <c r="F3559" s="3">
        <f t="shared" si="110"/>
        <v>727.23522200000014</v>
      </c>
      <c r="G3559" s="3">
        <f t="shared" si="111"/>
        <v>3605.0952220000004</v>
      </c>
    </row>
    <row r="3560" spans="1:7" x14ac:dyDescent="0.3">
      <c r="A3560" t="s">
        <v>13039</v>
      </c>
      <c r="B3560" t="s">
        <v>7148</v>
      </c>
      <c r="C3560" t="s">
        <v>7149</v>
      </c>
      <c r="D3560" s="1" t="s">
        <v>195</v>
      </c>
      <c r="E3560" s="3">
        <v>2570.0300000000002</v>
      </c>
      <c r="F3560" s="3">
        <f t="shared" si="110"/>
        <v>649.44658100000015</v>
      </c>
      <c r="G3560" s="3">
        <f t="shared" si="111"/>
        <v>3219.4765810000004</v>
      </c>
    </row>
    <row r="3561" spans="1:7" x14ac:dyDescent="0.3">
      <c r="A3561" t="s">
        <v>13039</v>
      </c>
      <c r="B3561" t="s">
        <v>7150</v>
      </c>
      <c r="C3561" t="s">
        <v>7151</v>
      </c>
      <c r="D3561" s="1" t="s">
        <v>195</v>
      </c>
      <c r="E3561" s="3">
        <v>100.85</v>
      </c>
      <c r="F3561" s="3">
        <f t="shared" si="110"/>
        <v>25.484795000000002</v>
      </c>
      <c r="G3561" s="3">
        <f t="shared" si="111"/>
        <v>126.334795</v>
      </c>
    </row>
    <row r="3562" spans="1:7" x14ac:dyDescent="0.3">
      <c r="A3562" t="s">
        <v>13039</v>
      </c>
      <c r="B3562" t="s">
        <v>7152</v>
      </c>
      <c r="C3562" t="s">
        <v>7153</v>
      </c>
      <c r="D3562" s="1" t="s">
        <v>195</v>
      </c>
      <c r="E3562" s="3">
        <v>77.209999999999994</v>
      </c>
      <c r="F3562" s="3">
        <f t="shared" si="110"/>
        <v>19.510967000000001</v>
      </c>
      <c r="G3562" s="3">
        <f t="shared" si="111"/>
        <v>96.720967000000002</v>
      </c>
    </row>
    <row r="3563" spans="1:7" x14ac:dyDescent="0.3">
      <c r="A3563" t="s">
        <v>13039</v>
      </c>
      <c r="B3563" t="s">
        <v>7154</v>
      </c>
      <c r="C3563" t="s">
        <v>7155</v>
      </c>
      <c r="D3563" s="1" t="s">
        <v>195</v>
      </c>
      <c r="E3563" s="3">
        <v>122.52</v>
      </c>
      <c r="F3563" s="3">
        <f t="shared" si="110"/>
        <v>30.960804000000003</v>
      </c>
      <c r="G3563" s="3">
        <f t="shared" si="111"/>
        <v>153.48080400000001</v>
      </c>
    </row>
    <row r="3564" spans="1:7" x14ac:dyDescent="0.3">
      <c r="A3564" t="s">
        <v>13039</v>
      </c>
      <c r="B3564" t="s">
        <v>7156</v>
      </c>
      <c r="C3564" t="s">
        <v>7157</v>
      </c>
      <c r="D3564" s="1" t="s">
        <v>195</v>
      </c>
      <c r="E3564" s="3">
        <v>88.47</v>
      </c>
      <c r="F3564" s="3">
        <f t="shared" si="110"/>
        <v>22.356369000000004</v>
      </c>
      <c r="G3564" s="3">
        <f t="shared" si="111"/>
        <v>110.826369</v>
      </c>
    </row>
    <row r="3565" spans="1:7" x14ac:dyDescent="0.3">
      <c r="A3565" t="s">
        <v>13039</v>
      </c>
      <c r="B3565" t="s">
        <v>7158</v>
      </c>
      <c r="C3565" t="s">
        <v>7159</v>
      </c>
      <c r="D3565" s="1" t="s">
        <v>195</v>
      </c>
      <c r="E3565" s="3">
        <v>147.63</v>
      </c>
      <c r="F3565" s="3">
        <f t="shared" si="110"/>
        <v>37.306101000000005</v>
      </c>
      <c r="G3565" s="3">
        <f t="shared" si="111"/>
        <v>184.93610100000001</v>
      </c>
    </row>
    <row r="3566" spans="1:7" x14ac:dyDescent="0.3">
      <c r="A3566" t="s">
        <v>13039</v>
      </c>
      <c r="B3566" t="s">
        <v>7160</v>
      </c>
      <c r="C3566" t="s">
        <v>7161</v>
      </c>
      <c r="D3566" s="1" t="s">
        <v>195</v>
      </c>
      <c r="E3566" s="3">
        <v>101.28</v>
      </c>
      <c r="F3566" s="3">
        <f t="shared" si="110"/>
        <v>25.593456000000003</v>
      </c>
      <c r="G3566" s="3">
        <f t="shared" si="111"/>
        <v>126.873456</v>
      </c>
    </row>
    <row r="3567" spans="1:7" x14ac:dyDescent="0.3">
      <c r="A3567" t="s">
        <v>13039</v>
      </c>
      <c r="B3567" t="s">
        <v>7162</v>
      </c>
      <c r="C3567" t="s">
        <v>7163</v>
      </c>
      <c r="D3567" s="1" t="s">
        <v>195</v>
      </c>
      <c r="E3567" s="3">
        <v>177.6</v>
      </c>
      <c r="F3567" s="3">
        <f t="shared" si="110"/>
        <v>44.879520000000007</v>
      </c>
      <c r="G3567" s="3">
        <f t="shared" si="111"/>
        <v>222.47952000000001</v>
      </c>
    </row>
    <row r="3568" spans="1:7" x14ac:dyDescent="0.3">
      <c r="A3568" t="s">
        <v>13039</v>
      </c>
      <c r="B3568" t="s">
        <v>7164</v>
      </c>
      <c r="C3568" t="s">
        <v>7165</v>
      </c>
      <c r="D3568" s="1" t="s">
        <v>195</v>
      </c>
      <c r="E3568" s="3">
        <v>117.06</v>
      </c>
      <c r="F3568" s="3">
        <f t="shared" si="110"/>
        <v>29.581062000000006</v>
      </c>
      <c r="G3568" s="3">
        <f t="shared" si="111"/>
        <v>146.64106200000001</v>
      </c>
    </row>
    <row r="3569" spans="1:7" x14ac:dyDescent="0.3">
      <c r="A3569" t="s">
        <v>13039</v>
      </c>
      <c r="B3569" t="s">
        <v>7166</v>
      </c>
      <c r="C3569" t="s">
        <v>7167</v>
      </c>
      <c r="D3569" s="1" t="s">
        <v>195</v>
      </c>
      <c r="E3569" s="3">
        <v>6570.29</v>
      </c>
      <c r="F3569" s="3">
        <f t="shared" si="110"/>
        <v>1660.3122830000002</v>
      </c>
      <c r="G3569" s="3">
        <f t="shared" si="111"/>
        <v>8230.6022830000002</v>
      </c>
    </row>
    <row r="3570" spans="1:7" x14ac:dyDescent="0.3">
      <c r="A3570" t="s">
        <v>13039</v>
      </c>
      <c r="B3570" t="s">
        <v>7168</v>
      </c>
      <c r="C3570" t="s">
        <v>7169</v>
      </c>
      <c r="D3570" s="1" t="s">
        <v>195</v>
      </c>
      <c r="E3570" s="3">
        <v>6622.81</v>
      </c>
      <c r="F3570" s="3">
        <f t="shared" si="110"/>
        <v>1673.5840870000004</v>
      </c>
      <c r="G3570" s="3">
        <f t="shared" si="111"/>
        <v>8296.3940870000006</v>
      </c>
    </row>
    <row r="3571" spans="1:7" x14ac:dyDescent="0.3">
      <c r="A3571" t="s">
        <v>13039</v>
      </c>
      <c r="B3571" t="s">
        <v>7170</v>
      </c>
      <c r="C3571" t="s">
        <v>7171</v>
      </c>
      <c r="D3571" s="1" t="s">
        <v>195</v>
      </c>
      <c r="E3571" s="3">
        <v>6677.04</v>
      </c>
      <c r="F3571" s="3">
        <f t="shared" si="110"/>
        <v>1687.2880080000002</v>
      </c>
      <c r="G3571" s="3">
        <f t="shared" si="111"/>
        <v>8364.3280080000004</v>
      </c>
    </row>
    <row r="3572" spans="1:7" x14ac:dyDescent="0.3">
      <c r="A3572" t="s">
        <v>13039</v>
      </c>
      <c r="B3572" t="s">
        <v>7172</v>
      </c>
      <c r="C3572" t="s">
        <v>7173</v>
      </c>
      <c r="D3572" s="1" t="s">
        <v>195</v>
      </c>
      <c r="E3572" s="3">
        <v>6729.56</v>
      </c>
      <c r="F3572" s="3">
        <f t="shared" si="110"/>
        <v>1700.5598120000004</v>
      </c>
      <c r="G3572" s="3">
        <f t="shared" si="111"/>
        <v>8430.1198120000008</v>
      </c>
    </row>
    <row r="3573" spans="1:7" x14ac:dyDescent="0.3">
      <c r="A3573" t="s">
        <v>13039</v>
      </c>
      <c r="B3573" t="s">
        <v>7174</v>
      </c>
      <c r="C3573" t="s">
        <v>7175</v>
      </c>
      <c r="D3573" s="1" t="s">
        <v>195</v>
      </c>
      <c r="E3573" s="3">
        <v>6782.15</v>
      </c>
      <c r="F3573" s="3">
        <f t="shared" si="110"/>
        <v>1713.8493050000002</v>
      </c>
      <c r="G3573" s="3">
        <f t="shared" si="111"/>
        <v>8495.9993049999994</v>
      </c>
    </row>
    <row r="3574" spans="1:7" x14ac:dyDescent="0.3">
      <c r="A3574" t="s">
        <v>13039</v>
      </c>
      <c r="B3574" t="s">
        <v>7176</v>
      </c>
      <c r="C3574" t="s">
        <v>7177</v>
      </c>
      <c r="D3574" s="1" t="s">
        <v>195</v>
      </c>
      <c r="E3574" s="3">
        <v>9499.42</v>
      </c>
      <c r="F3574" s="3">
        <f t="shared" si="110"/>
        <v>2400.5034340000002</v>
      </c>
      <c r="G3574" s="3">
        <f t="shared" si="111"/>
        <v>11899.923434</v>
      </c>
    </row>
    <row r="3575" spans="1:7" x14ac:dyDescent="0.3">
      <c r="A3575" t="s">
        <v>13039</v>
      </c>
      <c r="B3575" t="s">
        <v>7178</v>
      </c>
      <c r="C3575" t="s">
        <v>7179</v>
      </c>
      <c r="D3575" s="1" t="s">
        <v>195</v>
      </c>
      <c r="E3575" s="3">
        <v>9618.24</v>
      </c>
      <c r="F3575" s="3">
        <f t="shared" si="110"/>
        <v>2430.5292480000003</v>
      </c>
      <c r="G3575" s="3">
        <f t="shared" si="111"/>
        <v>12048.769248000001</v>
      </c>
    </row>
    <row r="3576" spans="1:7" x14ac:dyDescent="0.3">
      <c r="A3576" t="s">
        <v>13039</v>
      </c>
      <c r="B3576" t="s">
        <v>7180</v>
      </c>
      <c r="C3576" t="s">
        <v>7181</v>
      </c>
      <c r="D3576" s="1" t="s">
        <v>195</v>
      </c>
      <c r="E3576" s="3">
        <v>9733.34</v>
      </c>
      <c r="F3576" s="3">
        <f t="shared" si="110"/>
        <v>2459.6150180000004</v>
      </c>
      <c r="G3576" s="3">
        <f t="shared" si="111"/>
        <v>12192.955018000001</v>
      </c>
    </row>
    <row r="3577" spans="1:7" x14ac:dyDescent="0.3">
      <c r="A3577" t="s">
        <v>13039</v>
      </c>
      <c r="B3577" t="s">
        <v>7182</v>
      </c>
      <c r="C3577" t="s">
        <v>7183</v>
      </c>
      <c r="D3577" s="1" t="s">
        <v>195</v>
      </c>
      <c r="E3577" s="3">
        <v>9852.16</v>
      </c>
      <c r="F3577" s="3">
        <f t="shared" si="110"/>
        <v>2489.6408320000005</v>
      </c>
      <c r="G3577" s="3">
        <f t="shared" si="111"/>
        <v>12341.800832000001</v>
      </c>
    </row>
    <row r="3578" spans="1:7" x14ac:dyDescent="0.3">
      <c r="A3578" t="s">
        <v>13039</v>
      </c>
      <c r="B3578" t="s">
        <v>7184</v>
      </c>
      <c r="C3578" t="s">
        <v>7185</v>
      </c>
      <c r="D3578" s="1" t="s">
        <v>195</v>
      </c>
      <c r="E3578" s="3">
        <v>2071.23</v>
      </c>
      <c r="F3578" s="3">
        <f t="shared" si="110"/>
        <v>523.39982100000009</v>
      </c>
      <c r="G3578" s="3">
        <f t="shared" si="111"/>
        <v>2594.629821</v>
      </c>
    </row>
    <row r="3579" spans="1:7" x14ac:dyDescent="0.3">
      <c r="A3579" t="s">
        <v>13039</v>
      </c>
      <c r="B3579" t="s">
        <v>7186</v>
      </c>
      <c r="C3579" t="s">
        <v>7187</v>
      </c>
      <c r="D3579" s="1" t="s">
        <v>195</v>
      </c>
      <c r="E3579" s="3">
        <v>761.18</v>
      </c>
      <c r="F3579" s="3">
        <f t="shared" si="110"/>
        <v>192.35018600000001</v>
      </c>
      <c r="G3579" s="3">
        <f t="shared" si="111"/>
        <v>953.53018599999996</v>
      </c>
    </row>
    <row r="3580" spans="1:7" x14ac:dyDescent="0.3">
      <c r="A3580" t="s">
        <v>13039</v>
      </c>
      <c r="B3580" t="s">
        <v>7188</v>
      </c>
      <c r="C3580" t="s">
        <v>7189</v>
      </c>
      <c r="D3580" s="1" t="s">
        <v>195</v>
      </c>
      <c r="E3580" s="3">
        <v>950.11</v>
      </c>
      <c r="F3580" s="3">
        <f t="shared" si="110"/>
        <v>240.09279700000005</v>
      </c>
      <c r="G3580" s="3">
        <f t="shared" si="111"/>
        <v>1190.2027970000001</v>
      </c>
    </row>
    <row r="3581" spans="1:7" x14ac:dyDescent="0.3">
      <c r="A3581" t="s">
        <v>13039</v>
      </c>
      <c r="B3581" t="s">
        <v>7190</v>
      </c>
      <c r="C3581" t="s">
        <v>7191</v>
      </c>
      <c r="D3581" s="1" t="s">
        <v>195</v>
      </c>
      <c r="E3581" s="3">
        <v>1095.08</v>
      </c>
      <c r="F3581" s="3">
        <f t="shared" si="110"/>
        <v>276.72671600000001</v>
      </c>
      <c r="G3581" s="3">
        <f t="shared" si="111"/>
        <v>1371.8067160000001</v>
      </c>
    </row>
    <row r="3582" spans="1:7" x14ac:dyDescent="0.3">
      <c r="A3582" t="s">
        <v>13039</v>
      </c>
      <c r="B3582" t="s">
        <v>7192</v>
      </c>
      <c r="C3582" t="s">
        <v>7193</v>
      </c>
      <c r="D3582" s="1" t="s">
        <v>195</v>
      </c>
      <c r="E3582" s="3">
        <v>1293.21</v>
      </c>
      <c r="F3582" s="3">
        <f t="shared" si="110"/>
        <v>326.79416700000007</v>
      </c>
      <c r="G3582" s="3">
        <f t="shared" si="111"/>
        <v>1620.0041670000001</v>
      </c>
    </row>
    <row r="3583" spans="1:7" x14ac:dyDescent="0.3">
      <c r="A3583" t="s">
        <v>13039</v>
      </c>
      <c r="B3583" t="s">
        <v>7194</v>
      </c>
      <c r="C3583" t="s">
        <v>7195</v>
      </c>
      <c r="D3583" s="1" t="s">
        <v>195</v>
      </c>
      <c r="E3583" s="3">
        <v>1583.15</v>
      </c>
      <c r="F3583" s="3">
        <f t="shared" si="110"/>
        <v>400.06200500000006</v>
      </c>
      <c r="G3583" s="3">
        <f t="shared" si="111"/>
        <v>1983.2120050000001</v>
      </c>
    </row>
    <row r="3584" spans="1:7" x14ac:dyDescent="0.3">
      <c r="A3584" t="s">
        <v>13039</v>
      </c>
      <c r="B3584" t="s">
        <v>7196</v>
      </c>
      <c r="C3584" t="s">
        <v>7197</v>
      </c>
      <c r="D3584" s="1" t="s">
        <v>195</v>
      </c>
      <c r="E3584" s="3">
        <v>1596.79</v>
      </c>
      <c r="F3584" s="3">
        <f t="shared" si="110"/>
        <v>403.50883300000004</v>
      </c>
      <c r="G3584" s="3">
        <f t="shared" si="111"/>
        <v>2000.2988330000001</v>
      </c>
    </row>
    <row r="3585" spans="1:7" x14ac:dyDescent="0.3">
      <c r="A3585" t="s">
        <v>13039</v>
      </c>
      <c r="B3585" t="s">
        <v>7198</v>
      </c>
      <c r="C3585" t="s">
        <v>7199</v>
      </c>
      <c r="D3585" s="1" t="s">
        <v>195</v>
      </c>
      <c r="E3585" s="3">
        <v>2682.24</v>
      </c>
      <c r="F3585" s="3">
        <f t="shared" si="110"/>
        <v>677.80204800000001</v>
      </c>
      <c r="G3585" s="3">
        <f t="shared" si="111"/>
        <v>3360.0420479999998</v>
      </c>
    </row>
    <row r="3586" spans="1:7" x14ac:dyDescent="0.3">
      <c r="A3586" t="s">
        <v>13039</v>
      </c>
      <c r="B3586" t="s">
        <v>7200</v>
      </c>
      <c r="C3586" t="s">
        <v>7201</v>
      </c>
      <c r="D3586" s="1" t="s">
        <v>195</v>
      </c>
      <c r="E3586" s="3">
        <v>2702.97</v>
      </c>
      <c r="F3586" s="3">
        <f t="shared" si="110"/>
        <v>683.04051900000002</v>
      </c>
      <c r="G3586" s="3">
        <f t="shared" si="111"/>
        <v>3386.0105189999999</v>
      </c>
    </row>
    <row r="3587" spans="1:7" x14ac:dyDescent="0.3">
      <c r="A3587" t="s">
        <v>13039</v>
      </c>
      <c r="B3587" t="s">
        <v>7202</v>
      </c>
      <c r="C3587" t="s">
        <v>7203</v>
      </c>
      <c r="D3587" s="1" t="s">
        <v>195</v>
      </c>
      <c r="E3587" s="3">
        <v>2723.3</v>
      </c>
      <c r="F3587" s="3">
        <f t="shared" si="110"/>
        <v>688.17791000000011</v>
      </c>
      <c r="G3587" s="3">
        <f t="shared" si="111"/>
        <v>3411.4779100000005</v>
      </c>
    </row>
    <row r="3588" spans="1:7" x14ac:dyDescent="0.3">
      <c r="A3588" t="s">
        <v>13039</v>
      </c>
      <c r="B3588" t="s">
        <v>7204</v>
      </c>
      <c r="C3588" t="s">
        <v>7205</v>
      </c>
      <c r="D3588" s="1" t="s">
        <v>195</v>
      </c>
      <c r="E3588" s="3">
        <v>1683.84</v>
      </c>
      <c r="F3588" s="3">
        <f t="shared" si="110"/>
        <v>425.50636800000007</v>
      </c>
      <c r="G3588" s="3">
        <f t="shared" si="111"/>
        <v>2109.346368</v>
      </c>
    </row>
    <row r="3589" spans="1:7" x14ac:dyDescent="0.3">
      <c r="A3589" t="s">
        <v>13039</v>
      </c>
      <c r="B3589" t="s">
        <v>7206</v>
      </c>
      <c r="C3589" t="s">
        <v>7207</v>
      </c>
      <c r="D3589" s="1" t="s">
        <v>195</v>
      </c>
      <c r="E3589" s="3">
        <v>2055.5500000000002</v>
      </c>
      <c r="F3589" s="3">
        <f t="shared" si="110"/>
        <v>519.43748500000015</v>
      </c>
      <c r="G3589" s="3">
        <f t="shared" si="111"/>
        <v>2574.9874850000006</v>
      </c>
    </row>
    <row r="3590" spans="1:7" x14ac:dyDescent="0.3">
      <c r="A3590" t="s">
        <v>13039</v>
      </c>
      <c r="B3590" t="s">
        <v>7208</v>
      </c>
      <c r="C3590" t="s">
        <v>7209</v>
      </c>
      <c r="D3590" s="1" t="s">
        <v>195</v>
      </c>
      <c r="E3590" s="3">
        <v>2076.2800000000002</v>
      </c>
      <c r="F3590" s="3">
        <f t="shared" si="110"/>
        <v>524.67595600000016</v>
      </c>
      <c r="G3590" s="3">
        <f t="shared" si="111"/>
        <v>2600.9559560000002</v>
      </c>
    </row>
    <row r="3591" spans="1:7" x14ac:dyDescent="0.3">
      <c r="A3591" t="s">
        <v>13039</v>
      </c>
      <c r="B3591" t="s">
        <v>7210</v>
      </c>
      <c r="C3591" t="s">
        <v>7211</v>
      </c>
      <c r="D3591" s="1" t="s">
        <v>195</v>
      </c>
      <c r="E3591" s="3">
        <v>3265.11</v>
      </c>
      <c r="F3591" s="3">
        <f t="shared" ref="F3591:F3654" si="112">+E3591*$F$4</f>
        <v>825.09329700000012</v>
      </c>
      <c r="G3591" s="3">
        <f t="shared" ref="G3591:G3654" si="113">+E3591+F3591</f>
        <v>4090.203297</v>
      </c>
    </row>
    <row r="3592" spans="1:7" x14ac:dyDescent="0.3">
      <c r="A3592" t="s">
        <v>13039</v>
      </c>
      <c r="B3592" t="s">
        <v>7212</v>
      </c>
      <c r="C3592" t="s">
        <v>7213</v>
      </c>
      <c r="D3592" s="1" t="s">
        <v>195</v>
      </c>
      <c r="E3592" s="3">
        <v>3295.03</v>
      </c>
      <c r="F3592" s="3">
        <f t="shared" si="112"/>
        <v>832.65408100000013</v>
      </c>
      <c r="G3592" s="3">
        <f t="shared" si="113"/>
        <v>4127.6840810000003</v>
      </c>
    </row>
    <row r="3593" spans="1:7" x14ac:dyDescent="0.3">
      <c r="A3593" t="s">
        <v>13039</v>
      </c>
      <c r="B3593" t="s">
        <v>7214</v>
      </c>
      <c r="C3593" t="s">
        <v>7215</v>
      </c>
      <c r="D3593" s="1" t="s">
        <v>195</v>
      </c>
      <c r="E3593" s="3">
        <v>3324.13</v>
      </c>
      <c r="F3593" s="3">
        <f t="shared" si="112"/>
        <v>840.00765100000012</v>
      </c>
      <c r="G3593" s="3">
        <f t="shared" si="113"/>
        <v>4164.137651</v>
      </c>
    </row>
    <row r="3594" spans="1:7" x14ac:dyDescent="0.3">
      <c r="A3594" t="s">
        <v>13039</v>
      </c>
      <c r="B3594" t="s">
        <v>7216</v>
      </c>
      <c r="C3594" t="s">
        <v>7217</v>
      </c>
      <c r="D3594" s="1" t="s">
        <v>195</v>
      </c>
      <c r="E3594" s="3">
        <v>4744.1400000000003</v>
      </c>
      <c r="F3594" s="3">
        <f t="shared" si="112"/>
        <v>1198.8441780000003</v>
      </c>
      <c r="G3594" s="3">
        <f t="shared" si="113"/>
        <v>5942.9841780000006</v>
      </c>
    </row>
    <row r="3595" spans="1:7" x14ac:dyDescent="0.3">
      <c r="A3595" t="s">
        <v>13039</v>
      </c>
      <c r="B3595" t="s">
        <v>7218</v>
      </c>
      <c r="C3595" t="s">
        <v>7219</v>
      </c>
      <c r="D3595" s="1" t="s">
        <v>195</v>
      </c>
      <c r="E3595" s="3">
        <v>4774.12</v>
      </c>
      <c r="F3595" s="3">
        <f t="shared" si="112"/>
        <v>1206.4201240000002</v>
      </c>
      <c r="G3595" s="3">
        <f t="shared" si="113"/>
        <v>5980.5401240000001</v>
      </c>
    </row>
    <row r="3596" spans="1:7" x14ac:dyDescent="0.3">
      <c r="A3596" t="s">
        <v>13039</v>
      </c>
      <c r="B3596" t="s">
        <v>7220</v>
      </c>
      <c r="C3596" t="s">
        <v>7221</v>
      </c>
      <c r="D3596" s="1" t="s">
        <v>195</v>
      </c>
      <c r="E3596" s="3">
        <v>4803.16</v>
      </c>
      <c r="F3596" s="3">
        <f t="shared" si="112"/>
        <v>1213.7585320000001</v>
      </c>
      <c r="G3596" s="3">
        <f t="shared" si="113"/>
        <v>6016.9185319999997</v>
      </c>
    </row>
    <row r="3597" spans="1:7" x14ac:dyDescent="0.3">
      <c r="A3597" t="s">
        <v>13039</v>
      </c>
      <c r="B3597" t="s">
        <v>7222</v>
      </c>
      <c r="C3597" t="s">
        <v>7223</v>
      </c>
      <c r="D3597" s="1" t="s">
        <v>195</v>
      </c>
      <c r="E3597" s="3">
        <v>2540.52</v>
      </c>
      <c r="F3597" s="3">
        <f t="shared" si="112"/>
        <v>641.98940400000004</v>
      </c>
      <c r="G3597" s="3">
        <f t="shared" si="113"/>
        <v>3182.5094039999999</v>
      </c>
    </row>
    <row r="3598" spans="1:7" x14ac:dyDescent="0.3">
      <c r="A3598" t="s">
        <v>13039</v>
      </c>
      <c r="B3598" t="s">
        <v>7224</v>
      </c>
      <c r="C3598" t="s">
        <v>7225</v>
      </c>
      <c r="D3598" s="1" t="s">
        <v>210</v>
      </c>
      <c r="E3598" s="3">
        <v>12.86</v>
      </c>
      <c r="F3598" s="3">
        <f t="shared" si="112"/>
        <v>3.2497220000000002</v>
      </c>
      <c r="G3598" s="3">
        <f t="shared" si="113"/>
        <v>16.109721999999998</v>
      </c>
    </row>
    <row r="3599" spans="1:7" x14ac:dyDescent="0.3">
      <c r="A3599" t="s">
        <v>13039</v>
      </c>
      <c r="B3599" t="s">
        <v>7226</v>
      </c>
      <c r="C3599" t="s">
        <v>7227</v>
      </c>
      <c r="D3599" s="1" t="s">
        <v>195</v>
      </c>
      <c r="E3599" s="3">
        <v>2524.04</v>
      </c>
      <c r="F3599" s="3">
        <f t="shared" si="112"/>
        <v>637.82490800000005</v>
      </c>
      <c r="G3599" s="3">
        <f t="shared" si="113"/>
        <v>3161.864908</v>
      </c>
    </row>
    <row r="3600" spans="1:7" x14ac:dyDescent="0.3">
      <c r="A3600" t="s">
        <v>13039</v>
      </c>
      <c r="B3600" t="s">
        <v>7228</v>
      </c>
      <c r="C3600" t="s">
        <v>7229</v>
      </c>
      <c r="D3600" s="1" t="s">
        <v>195</v>
      </c>
      <c r="E3600" s="3">
        <v>2614.94</v>
      </c>
      <c r="F3600" s="3">
        <f t="shared" si="112"/>
        <v>660.79533800000013</v>
      </c>
      <c r="G3600" s="3">
        <f t="shared" si="113"/>
        <v>3275.7353380000004</v>
      </c>
    </row>
    <row r="3601" spans="1:7" x14ac:dyDescent="0.3">
      <c r="A3601" t="s">
        <v>13039</v>
      </c>
      <c r="B3601" t="s">
        <v>7230</v>
      </c>
      <c r="C3601" t="s">
        <v>7231</v>
      </c>
      <c r="D3601" s="1" t="s">
        <v>195</v>
      </c>
      <c r="E3601" s="3">
        <v>2752.55</v>
      </c>
      <c r="F3601" s="3">
        <f t="shared" si="112"/>
        <v>695.56938500000012</v>
      </c>
      <c r="G3601" s="3">
        <f t="shared" si="113"/>
        <v>3448.1193850000004</v>
      </c>
    </row>
    <row r="3602" spans="1:7" x14ac:dyDescent="0.3">
      <c r="A3602" t="s">
        <v>13039</v>
      </c>
      <c r="B3602" t="s">
        <v>7232</v>
      </c>
      <c r="C3602" t="s">
        <v>7233</v>
      </c>
      <c r="D3602" s="1" t="s">
        <v>195</v>
      </c>
      <c r="E3602" s="3">
        <v>2967.8</v>
      </c>
      <c r="F3602" s="3">
        <f t="shared" si="112"/>
        <v>749.96306000000016</v>
      </c>
      <c r="G3602" s="3">
        <f t="shared" si="113"/>
        <v>3717.7630600000002</v>
      </c>
    </row>
    <row r="3603" spans="1:7" x14ac:dyDescent="0.3">
      <c r="A3603" t="s">
        <v>13039</v>
      </c>
      <c r="B3603" t="s">
        <v>7234</v>
      </c>
      <c r="C3603" t="s">
        <v>7235</v>
      </c>
      <c r="D3603" s="1" t="s">
        <v>195</v>
      </c>
      <c r="E3603" s="3">
        <v>3070.23</v>
      </c>
      <c r="F3603" s="3">
        <f t="shared" si="112"/>
        <v>775.84712100000013</v>
      </c>
      <c r="G3603" s="3">
        <f t="shared" si="113"/>
        <v>3846.0771210000003</v>
      </c>
    </row>
    <row r="3604" spans="1:7" x14ac:dyDescent="0.3">
      <c r="A3604" t="s">
        <v>13039</v>
      </c>
      <c r="B3604" t="s">
        <v>7236</v>
      </c>
      <c r="C3604" t="s">
        <v>7237</v>
      </c>
      <c r="D3604" s="1" t="s">
        <v>195</v>
      </c>
      <c r="E3604" s="3">
        <v>3207.34</v>
      </c>
      <c r="F3604" s="3">
        <f t="shared" si="112"/>
        <v>810.49481800000012</v>
      </c>
      <c r="G3604" s="3">
        <f t="shared" si="113"/>
        <v>4017.8348180000003</v>
      </c>
    </row>
    <row r="3605" spans="1:7" x14ac:dyDescent="0.3">
      <c r="A3605" t="s">
        <v>13039</v>
      </c>
      <c r="B3605" t="s">
        <v>7238</v>
      </c>
      <c r="C3605" t="s">
        <v>7239</v>
      </c>
      <c r="D3605" s="1" t="s">
        <v>195</v>
      </c>
      <c r="E3605" s="3">
        <v>3413.91</v>
      </c>
      <c r="F3605" s="3">
        <f t="shared" si="112"/>
        <v>862.69505700000013</v>
      </c>
      <c r="G3605" s="3">
        <f t="shared" si="113"/>
        <v>4276.6050569999998</v>
      </c>
    </row>
    <row r="3606" spans="1:7" x14ac:dyDescent="0.3">
      <c r="A3606" t="s">
        <v>13039</v>
      </c>
      <c r="B3606" t="s">
        <v>7240</v>
      </c>
      <c r="C3606" t="s">
        <v>7241</v>
      </c>
      <c r="D3606" s="1" t="s">
        <v>195</v>
      </c>
      <c r="E3606" s="3">
        <v>3511.05</v>
      </c>
      <c r="F3606" s="3">
        <f t="shared" si="112"/>
        <v>887.24233500000014</v>
      </c>
      <c r="G3606" s="3">
        <f t="shared" si="113"/>
        <v>4398.2923350000001</v>
      </c>
    </row>
    <row r="3607" spans="1:7" x14ac:dyDescent="0.3">
      <c r="A3607" t="s">
        <v>13039</v>
      </c>
      <c r="B3607" t="s">
        <v>7242</v>
      </c>
      <c r="C3607" t="s">
        <v>7243</v>
      </c>
      <c r="D3607" s="1" t="s">
        <v>195</v>
      </c>
      <c r="E3607" s="3">
        <v>3697.96</v>
      </c>
      <c r="F3607" s="3">
        <f t="shared" si="112"/>
        <v>934.47449200000017</v>
      </c>
      <c r="G3607" s="3">
        <f t="shared" si="113"/>
        <v>4632.4344920000003</v>
      </c>
    </row>
    <row r="3608" spans="1:7" x14ac:dyDescent="0.3">
      <c r="A3608" t="s">
        <v>13039</v>
      </c>
      <c r="B3608" t="s">
        <v>7244</v>
      </c>
      <c r="C3608" t="s">
        <v>7245</v>
      </c>
      <c r="D3608" s="1" t="s">
        <v>195</v>
      </c>
      <c r="E3608" s="3">
        <v>2004.03</v>
      </c>
      <c r="F3608" s="3">
        <f t="shared" si="112"/>
        <v>506.41838100000007</v>
      </c>
      <c r="G3608" s="3">
        <f t="shared" si="113"/>
        <v>2510.4483810000002</v>
      </c>
    </row>
    <row r="3609" spans="1:7" x14ac:dyDescent="0.3">
      <c r="A3609" t="s">
        <v>13039</v>
      </c>
      <c r="B3609" t="s">
        <v>7246</v>
      </c>
      <c r="C3609" t="s">
        <v>7247</v>
      </c>
      <c r="D3609" s="1" t="s">
        <v>195</v>
      </c>
      <c r="E3609" s="3">
        <v>2115.5300000000002</v>
      </c>
      <c r="F3609" s="3">
        <f t="shared" si="112"/>
        <v>534.5944310000001</v>
      </c>
      <c r="G3609" s="3">
        <f t="shared" si="113"/>
        <v>2650.1244310000002</v>
      </c>
    </row>
    <row r="3610" spans="1:7" x14ac:dyDescent="0.3">
      <c r="A3610" t="s">
        <v>13039</v>
      </c>
      <c r="B3610" t="s">
        <v>7248</v>
      </c>
      <c r="C3610" t="s">
        <v>7249</v>
      </c>
      <c r="D3610" s="1" t="s">
        <v>195</v>
      </c>
      <c r="E3610" s="3">
        <v>2266.34</v>
      </c>
      <c r="F3610" s="3">
        <f t="shared" si="112"/>
        <v>572.70411800000011</v>
      </c>
      <c r="G3610" s="3">
        <f t="shared" si="113"/>
        <v>2839.0441180000003</v>
      </c>
    </row>
    <row r="3611" spans="1:7" x14ac:dyDescent="0.3">
      <c r="A3611" t="s">
        <v>13039</v>
      </c>
      <c r="B3611" t="s">
        <v>7250</v>
      </c>
      <c r="C3611" t="s">
        <v>7251</v>
      </c>
      <c r="D3611" s="1" t="s">
        <v>195</v>
      </c>
      <c r="E3611" s="3">
        <v>2371</v>
      </c>
      <c r="F3611" s="3">
        <f t="shared" si="112"/>
        <v>599.15170000000012</v>
      </c>
      <c r="G3611" s="3">
        <f t="shared" si="113"/>
        <v>2970.1517000000003</v>
      </c>
    </row>
    <row r="3612" spans="1:7" x14ac:dyDescent="0.3">
      <c r="A3612" t="s">
        <v>13039</v>
      </c>
      <c r="B3612" t="s">
        <v>7252</v>
      </c>
      <c r="C3612" t="s">
        <v>7253</v>
      </c>
      <c r="D3612" s="1" t="s">
        <v>195</v>
      </c>
      <c r="E3612" s="3">
        <v>4852.46</v>
      </c>
      <c r="F3612" s="3">
        <f t="shared" si="112"/>
        <v>1226.2166420000001</v>
      </c>
      <c r="G3612" s="3">
        <f t="shared" si="113"/>
        <v>6078.6766420000004</v>
      </c>
    </row>
    <row r="3613" spans="1:7" x14ac:dyDescent="0.3">
      <c r="A3613" t="s">
        <v>13039</v>
      </c>
      <c r="B3613" t="s">
        <v>7254</v>
      </c>
      <c r="C3613" t="s">
        <v>7255</v>
      </c>
      <c r="D3613" s="1" t="s">
        <v>195</v>
      </c>
      <c r="E3613" s="3">
        <v>5152.46</v>
      </c>
      <c r="F3613" s="3">
        <f t="shared" si="112"/>
        <v>1302.0266420000003</v>
      </c>
      <c r="G3613" s="3">
        <f t="shared" si="113"/>
        <v>6454.4866419999998</v>
      </c>
    </row>
    <row r="3614" spans="1:7" x14ac:dyDescent="0.3">
      <c r="A3614" t="s">
        <v>13039</v>
      </c>
      <c r="B3614" t="s">
        <v>7256</v>
      </c>
      <c r="C3614" t="s">
        <v>7257</v>
      </c>
      <c r="D3614" s="1" t="s">
        <v>195</v>
      </c>
      <c r="E3614" s="3">
        <v>5353.01</v>
      </c>
      <c r="F3614" s="3">
        <f t="shared" si="112"/>
        <v>1352.7056270000003</v>
      </c>
      <c r="G3614" s="3">
        <f t="shared" si="113"/>
        <v>6705.7156270000005</v>
      </c>
    </row>
    <row r="3615" spans="1:7" x14ac:dyDescent="0.3">
      <c r="A3615" t="s">
        <v>13039</v>
      </c>
      <c r="B3615" t="s">
        <v>7258</v>
      </c>
      <c r="C3615" t="s">
        <v>7259</v>
      </c>
      <c r="D3615" s="1" t="s">
        <v>195</v>
      </c>
      <c r="E3615" s="3">
        <v>5622.61</v>
      </c>
      <c r="F3615" s="3">
        <f t="shared" si="112"/>
        <v>1420.8335470000002</v>
      </c>
      <c r="G3615" s="3">
        <f t="shared" si="113"/>
        <v>7043.4435469999999</v>
      </c>
    </row>
    <row r="3616" spans="1:7" x14ac:dyDescent="0.3">
      <c r="A3616" t="s">
        <v>13039</v>
      </c>
      <c r="B3616" t="s">
        <v>7260</v>
      </c>
      <c r="C3616" t="s">
        <v>7261</v>
      </c>
      <c r="D3616" s="1" t="s">
        <v>195</v>
      </c>
      <c r="E3616" s="3">
        <v>5771.04</v>
      </c>
      <c r="F3616" s="3">
        <f t="shared" si="112"/>
        <v>1458.3418080000001</v>
      </c>
      <c r="G3616" s="3">
        <f t="shared" si="113"/>
        <v>7229.3818080000001</v>
      </c>
    </row>
    <row r="3617" spans="1:7" x14ac:dyDescent="0.3">
      <c r="A3617" t="s">
        <v>13039</v>
      </c>
      <c r="B3617" t="s">
        <v>7262</v>
      </c>
      <c r="C3617" t="s">
        <v>7263</v>
      </c>
      <c r="D3617" s="1" t="s">
        <v>195</v>
      </c>
      <c r="E3617" s="3">
        <v>6104.03</v>
      </c>
      <c r="F3617" s="3">
        <f t="shared" si="112"/>
        <v>1542.4883810000001</v>
      </c>
      <c r="G3617" s="3">
        <f t="shared" si="113"/>
        <v>7646.5183809999999</v>
      </c>
    </row>
    <row r="3618" spans="1:7" x14ac:dyDescent="0.3">
      <c r="A3618" t="s">
        <v>13039</v>
      </c>
      <c r="B3618" t="s">
        <v>7264</v>
      </c>
      <c r="C3618" t="s">
        <v>7265</v>
      </c>
      <c r="D3618" s="1" t="s">
        <v>195</v>
      </c>
      <c r="E3618" s="3">
        <v>6639.86</v>
      </c>
      <c r="F3618" s="3">
        <f t="shared" si="112"/>
        <v>1677.8926220000001</v>
      </c>
      <c r="G3618" s="3">
        <f t="shared" si="113"/>
        <v>8317.752622</v>
      </c>
    </row>
    <row r="3619" spans="1:7" x14ac:dyDescent="0.3">
      <c r="A3619" t="s">
        <v>13039</v>
      </c>
      <c r="B3619" t="s">
        <v>7266</v>
      </c>
      <c r="C3619" t="s">
        <v>7267</v>
      </c>
      <c r="D3619" s="1" t="s">
        <v>195</v>
      </c>
      <c r="E3619" s="3">
        <v>6932.39</v>
      </c>
      <c r="F3619" s="3">
        <f t="shared" si="112"/>
        <v>1751.8149530000003</v>
      </c>
      <c r="G3619" s="3">
        <f t="shared" si="113"/>
        <v>8684.2049530000004</v>
      </c>
    </row>
    <row r="3620" spans="1:7" x14ac:dyDescent="0.3">
      <c r="A3620" t="s">
        <v>13039</v>
      </c>
      <c r="B3620" t="s">
        <v>7268</v>
      </c>
      <c r="C3620" t="s">
        <v>7269</v>
      </c>
      <c r="D3620" s="1" t="s">
        <v>195</v>
      </c>
      <c r="E3620" s="3">
        <v>7265.41</v>
      </c>
      <c r="F3620" s="3">
        <f t="shared" si="112"/>
        <v>1835.9691070000001</v>
      </c>
      <c r="G3620" s="3">
        <f t="shared" si="113"/>
        <v>9101.3791070000007</v>
      </c>
    </row>
    <row r="3621" spans="1:7" x14ac:dyDescent="0.3">
      <c r="A3621" t="s">
        <v>13039</v>
      </c>
      <c r="B3621" t="s">
        <v>7270</v>
      </c>
      <c r="C3621" t="s">
        <v>7271</v>
      </c>
      <c r="D3621" s="1" t="s">
        <v>195</v>
      </c>
      <c r="E3621" s="3">
        <v>3838.18</v>
      </c>
      <c r="F3621" s="3">
        <f t="shared" si="112"/>
        <v>969.90808600000014</v>
      </c>
      <c r="G3621" s="3">
        <f t="shared" si="113"/>
        <v>4808.0880859999997</v>
      </c>
    </row>
    <row r="3622" spans="1:7" x14ac:dyDescent="0.3">
      <c r="A3622" t="s">
        <v>13039</v>
      </c>
      <c r="B3622" t="s">
        <v>7272</v>
      </c>
      <c r="C3622" t="s">
        <v>7273</v>
      </c>
      <c r="D3622" s="1" t="s">
        <v>195</v>
      </c>
      <c r="E3622" s="3">
        <v>4041.62</v>
      </c>
      <c r="F3622" s="3">
        <f t="shared" si="112"/>
        <v>1021.3173740000001</v>
      </c>
      <c r="G3622" s="3">
        <f t="shared" si="113"/>
        <v>5062.9373740000001</v>
      </c>
    </row>
    <row r="3623" spans="1:7" x14ac:dyDescent="0.3">
      <c r="A3623" t="s">
        <v>13039</v>
      </c>
      <c r="B3623" t="s">
        <v>7274</v>
      </c>
      <c r="C3623" t="s">
        <v>7275</v>
      </c>
      <c r="D3623" s="1" t="s">
        <v>195</v>
      </c>
      <c r="E3623" s="3">
        <v>4250.8599999999997</v>
      </c>
      <c r="F3623" s="3">
        <f t="shared" si="112"/>
        <v>1074.1923220000001</v>
      </c>
      <c r="G3623" s="3">
        <f t="shared" si="113"/>
        <v>5325.0523219999995</v>
      </c>
    </row>
    <row r="3624" spans="1:7" x14ac:dyDescent="0.3">
      <c r="A3624" t="s">
        <v>13039</v>
      </c>
      <c r="B3624" t="s">
        <v>7276</v>
      </c>
      <c r="C3624" t="s">
        <v>7277</v>
      </c>
      <c r="D3624" s="1" t="s">
        <v>195</v>
      </c>
      <c r="E3624" s="3">
        <v>4498.45</v>
      </c>
      <c r="F3624" s="3">
        <f t="shared" si="112"/>
        <v>1136.758315</v>
      </c>
      <c r="G3624" s="3">
        <f t="shared" si="113"/>
        <v>5635.2083149999999</v>
      </c>
    </row>
    <row r="3625" spans="1:7" x14ac:dyDescent="0.3">
      <c r="A3625" t="s">
        <v>13039</v>
      </c>
      <c r="B3625" t="s">
        <v>7278</v>
      </c>
      <c r="C3625" t="s">
        <v>7279</v>
      </c>
      <c r="D3625" s="1" t="s">
        <v>195</v>
      </c>
      <c r="E3625" s="3">
        <v>388.57</v>
      </c>
      <c r="F3625" s="3">
        <f t="shared" si="112"/>
        <v>98.191639000000009</v>
      </c>
      <c r="G3625" s="3">
        <f t="shared" si="113"/>
        <v>486.761639</v>
      </c>
    </row>
    <row r="3626" spans="1:7" x14ac:dyDescent="0.3">
      <c r="A3626" t="s">
        <v>13039</v>
      </c>
      <c r="B3626" t="s">
        <v>7280</v>
      </c>
      <c r="C3626" t="s">
        <v>7281</v>
      </c>
      <c r="D3626" s="1" t="s">
        <v>195</v>
      </c>
      <c r="E3626" s="3">
        <v>401.63</v>
      </c>
      <c r="F3626" s="3">
        <f t="shared" si="112"/>
        <v>101.49190100000001</v>
      </c>
      <c r="G3626" s="3">
        <f t="shared" si="113"/>
        <v>503.12190099999998</v>
      </c>
    </row>
    <row r="3627" spans="1:7" x14ac:dyDescent="0.3">
      <c r="A3627" t="s">
        <v>13039</v>
      </c>
      <c r="B3627" t="s">
        <v>7282</v>
      </c>
      <c r="C3627" t="s">
        <v>7283</v>
      </c>
      <c r="D3627" s="1" t="s">
        <v>195</v>
      </c>
      <c r="E3627" s="3">
        <v>422.95</v>
      </c>
      <c r="F3627" s="3">
        <f t="shared" si="112"/>
        <v>106.87946500000001</v>
      </c>
      <c r="G3627" s="3">
        <f t="shared" si="113"/>
        <v>529.82946500000003</v>
      </c>
    </row>
    <row r="3628" spans="1:7" x14ac:dyDescent="0.3">
      <c r="A3628" t="s">
        <v>13039</v>
      </c>
      <c r="B3628" t="s">
        <v>7284</v>
      </c>
      <c r="C3628" t="s">
        <v>7285</v>
      </c>
      <c r="D3628" s="1" t="s">
        <v>195</v>
      </c>
      <c r="E3628" s="3">
        <v>438.48</v>
      </c>
      <c r="F3628" s="3">
        <f t="shared" si="112"/>
        <v>110.80389600000002</v>
      </c>
      <c r="G3628" s="3">
        <f t="shared" si="113"/>
        <v>549.28389600000003</v>
      </c>
    </row>
    <row r="3629" spans="1:7" x14ac:dyDescent="0.3">
      <c r="A3629" t="s">
        <v>13039</v>
      </c>
      <c r="B3629" t="s">
        <v>7286</v>
      </c>
      <c r="C3629" t="s">
        <v>7287</v>
      </c>
      <c r="D3629" s="1" t="s">
        <v>195</v>
      </c>
      <c r="E3629" s="3">
        <v>455.18</v>
      </c>
      <c r="F3629" s="3">
        <f t="shared" si="112"/>
        <v>115.02398600000002</v>
      </c>
      <c r="G3629" s="3">
        <f t="shared" si="113"/>
        <v>570.20398599999999</v>
      </c>
    </row>
    <row r="3630" spans="1:7" x14ac:dyDescent="0.3">
      <c r="A3630" t="s">
        <v>13039</v>
      </c>
      <c r="B3630" t="s">
        <v>7288</v>
      </c>
      <c r="C3630" t="s">
        <v>7289</v>
      </c>
      <c r="D3630" s="1" t="s">
        <v>195</v>
      </c>
      <c r="E3630" s="3">
        <v>473.21</v>
      </c>
      <c r="F3630" s="3">
        <f t="shared" si="112"/>
        <v>119.58016700000002</v>
      </c>
      <c r="G3630" s="3">
        <f t="shared" si="113"/>
        <v>592.790167</v>
      </c>
    </row>
    <row r="3631" spans="1:7" x14ac:dyDescent="0.3">
      <c r="A3631" t="s">
        <v>13039</v>
      </c>
      <c r="B3631" t="s">
        <v>7290</v>
      </c>
      <c r="C3631" t="s">
        <v>7291</v>
      </c>
      <c r="D3631" s="1" t="s">
        <v>195</v>
      </c>
      <c r="E3631" s="3">
        <v>493.99</v>
      </c>
      <c r="F3631" s="3">
        <f t="shared" si="112"/>
        <v>124.83127300000002</v>
      </c>
      <c r="G3631" s="3">
        <f t="shared" si="113"/>
        <v>618.82127300000002</v>
      </c>
    </row>
    <row r="3632" spans="1:7" x14ac:dyDescent="0.3">
      <c r="A3632" t="s">
        <v>13039</v>
      </c>
      <c r="B3632" t="s">
        <v>7292</v>
      </c>
      <c r="C3632" t="s">
        <v>7293</v>
      </c>
      <c r="D3632" s="1" t="s">
        <v>195</v>
      </c>
      <c r="E3632" s="3">
        <v>515.29999999999995</v>
      </c>
      <c r="F3632" s="3">
        <f t="shared" si="112"/>
        <v>130.21630999999999</v>
      </c>
      <c r="G3632" s="3">
        <f t="shared" si="113"/>
        <v>645.51630999999998</v>
      </c>
    </row>
    <row r="3633" spans="1:7" x14ac:dyDescent="0.3">
      <c r="A3633" t="s">
        <v>13039</v>
      </c>
      <c r="B3633" t="s">
        <v>7294</v>
      </c>
      <c r="C3633" t="s">
        <v>7295</v>
      </c>
      <c r="D3633" s="1" t="s">
        <v>195</v>
      </c>
      <c r="E3633" s="3">
        <v>526.65</v>
      </c>
      <c r="F3633" s="3">
        <f t="shared" si="112"/>
        <v>133.08445500000002</v>
      </c>
      <c r="G3633" s="3">
        <f t="shared" si="113"/>
        <v>659.73445500000003</v>
      </c>
    </row>
    <row r="3634" spans="1:7" x14ac:dyDescent="0.3">
      <c r="A3634" t="s">
        <v>13039</v>
      </c>
      <c r="B3634" t="s">
        <v>7296</v>
      </c>
      <c r="C3634" t="s">
        <v>7297</v>
      </c>
      <c r="D3634" s="1" t="s">
        <v>195</v>
      </c>
      <c r="E3634" s="3">
        <v>323.48</v>
      </c>
      <c r="F3634" s="3">
        <f t="shared" si="112"/>
        <v>81.743396000000018</v>
      </c>
      <c r="G3634" s="3">
        <f t="shared" si="113"/>
        <v>405.22339600000004</v>
      </c>
    </row>
    <row r="3635" spans="1:7" x14ac:dyDescent="0.3">
      <c r="A3635" t="s">
        <v>13039</v>
      </c>
      <c r="B3635" t="s">
        <v>7298</v>
      </c>
      <c r="C3635" t="s">
        <v>7299</v>
      </c>
      <c r="D3635" s="1" t="s">
        <v>195</v>
      </c>
      <c r="E3635" s="3">
        <v>338.36</v>
      </c>
      <c r="F3635" s="3">
        <f t="shared" si="112"/>
        <v>85.50357200000002</v>
      </c>
      <c r="G3635" s="3">
        <f t="shared" si="113"/>
        <v>423.86357200000003</v>
      </c>
    </row>
    <row r="3636" spans="1:7" x14ac:dyDescent="0.3">
      <c r="A3636" t="s">
        <v>13039</v>
      </c>
      <c r="B3636" t="s">
        <v>7300</v>
      </c>
      <c r="C3636" t="s">
        <v>7301</v>
      </c>
      <c r="D3636" s="1" t="s">
        <v>195</v>
      </c>
      <c r="E3636" s="3">
        <v>353.37</v>
      </c>
      <c r="F3636" s="3">
        <f t="shared" si="112"/>
        <v>89.296599000000015</v>
      </c>
      <c r="G3636" s="3">
        <f t="shared" si="113"/>
        <v>442.66659900000002</v>
      </c>
    </row>
    <row r="3637" spans="1:7" x14ac:dyDescent="0.3">
      <c r="A3637" t="s">
        <v>13039</v>
      </c>
      <c r="B3637" t="s">
        <v>7302</v>
      </c>
      <c r="C3637" t="s">
        <v>7303</v>
      </c>
      <c r="D3637" s="1" t="s">
        <v>195</v>
      </c>
      <c r="E3637" s="3">
        <v>369.78</v>
      </c>
      <c r="F3637" s="3">
        <f t="shared" si="112"/>
        <v>93.44340600000001</v>
      </c>
      <c r="G3637" s="3">
        <f t="shared" si="113"/>
        <v>463.22340599999995</v>
      </c>
    </row>
    <row r="3638" spans="1:7" x14ac:dyDescent="0.3">
      <c r="A3638" t="s">
        <v>13039</v>
      </c>
      <c r="B3638" t="s">
        <v>7304</v>
      </c>
      <c r="C3638" t="s">
        <v>7305</v>
      </c>
      <c r="D3638" s="1" t="s">
        <v>427</v>
      </c>
      <c r="E3638" s="3">
        <v>328.11</v>
      </c>
      <c r="F3638" s="3">
        <f t="shared" si="112"/>
        <v>82.913397000000018</v>
      </c>
      <c r="G3638" s="3">
        <f t="shared" si="113"/>
        <v>411.02339700000005</v>
      </c>
    </row>
    <row r="3639" spans="1:7" x14ac:dyDescent="0.3">
      <c r="A3639" t="s">
        <v>13039</v>
      </c>
      <c r="B3639" t="s">
        <v>7306</v>
      </c>
      <c r="C3639" t="s">
        <v>7307</v>
      </c>
      <c r="D3639" s="1" t="s">
        <v>195</v>
      </c>
      <c r="E3639" s="3">
        <v>42.73</v>
      </c>
      <c r="F3639" s="3">
        <f t="shared" si="112"/>
        <v>10.797871000000001</v>
      </c>
      <c r="G3639" s="3">
        <f t="shared" si="113"/>
        <v>53.527870999999998</v>
      </c>
    </row>
    <row r="3640" spans="1:7" x14ac:dyDescent="0.3">
      <c r="A3640" t="s">
        <v>13039</v>
      </c>
      <c r="B3640" t="s">
        <v>7308</v>
      </c>
      <c r="C3640" t="s">
        <v>7309</v>
      </c>
      <c r="D3640" s="1" t="s">
        <v>195</v>
      </c>
      <c r="E3640" s="3">
        <v>56.97</v>
      </c>
      <c r="F3640" s="3">
        <f t="shared" si="112"/>
        <v>14.396319000000002</v>
      </c>
      <c r="G3640" s="3">
        <f t="shared" si="113"/>
        <v>71.366319000000004</v>
      </c>
    </row>
    <row r="3641" spans="1:7" x14ac:dyDescent="0.3">
      <c r="A3641" t="s">
        <v>13039</v>
      </c>
      <c r="B3641" t="s">
        <v>7310</v>
      </c>
      <c r="C3641" t="s">
        <v>7311</v>
      </c>
      <c r="D3641" s="1" t="s">
        <v>427</v>
      </c>
      <c r="E3641" s="3">
        <v>1178.8499999999999</v>
      </c>
      <c r="F3641" s="3">
        <f t="shared" si="112"/>
        <v>297.89539500000001</v>
      </c>
      <c r="G3641" s="3">
        <f t="shared" si="113"/>
        <v>1476.7453949999999</v>
      </c>
    </row>
    <row r="3642" spans="1:7" x14ac:dyDescent="0.3">
      <c r="A3642" t="s">
        <v>13039</v>
      </c>
      <c r="B3642" t="s">
        <v>7312</v>
      </c>
      <c r="C3642" t="s">
        <v>7313</v>
      </c>
      <c r="D3642" s="1" t="s">
        <v>195</v>
      </c>
      <c r="E3642" s="3">
        <v>513.92999999999995</v>
      </c>
      <c r="F3642" s="3">
        <f t="shared" si="112"/>
        <v>129.87011100000001</v>
      </c>
      <c r="G3642" s="3">
        <f t="shared" si="113"/>
        <v>643.80011100000002</v>
      </c>
    </row>
    <row r="3643" spans="1:7" x14ac:dyDescent="0.3">
      <c r="A3643" t="s">
        <v>13039</v>
      </c>
      <c r="B3643" t="s">
        <v>7314</v>
      </c>
      <c r="C3643" t="s">
        <v>7315</v>
      </c>
      <c r="D3643" s="1" t="s">
        <v>195</v>
      </c>
      <c r="E3643" s="3">
        <v>303.12</v>
      </c>
      <c r="F3643" s="3">
        <f t="shared" si="112"/>
        <v>76.598424000000009</v>
      </c>
      <c r="G3643" s="3">
        <f t="shared" si="113"/>
        <v>379.71842400000003</v>
      </c>
    </row>
    <row r="3644" spans="1:7" x14ac:dyDescent="0.3">
      <c r="A3644" t="s">
        <v>13039</v>
      </c>
      <c r="B3644" t="s">
        <v>7316</v>
      </c>
      <c r="C3644" t="s">
        <v>7317</v>
      </c>
      <c r="D3644" s="1" t="s">
        <v>195</v>
      </c>
      <c r="E3644" s="3">
        <v>434.79</v>
      </c>
      <c r="F3644" s="3">
        <f t="shared" si="112"/>
        <v>109.87143300000002</v>
      </c>
      <c r="G3644" s="3">
        <f t="shared" si="113"/>
        <v>544.66143299999999</v>
      </c>
    </row>
    <row r="3645" spans="1:7" x14ac:dyDescent="0.3">
      <c r="A3645" t="s">
        <v>13039</v>
      </c>
      <c r="B3645" t="s">
        <v>7318</v>
      </c>
      <c r="C3645" t="s">
        <v>7319</v>
      </c>
      <c r="D3645" s="1" t="s">
        <v>195</v>
      </c>
      <c r="E3645" s="3">
        <v>515.39</v>
      </c>
      <c r="F3645" s="3">
        <f t="shared" si="112"/>
        <v>130.23905300000001</v>
      </c>
      <c r="G3645" s="3">
        <f t="shared" si="113"/>
        <v>645.629053</v>
      </c>
    </row>
    <row r="3646" spans="1:7" x14ac:dyDescent="0.3">
      <c r="A3646" t="s">
        <v>13039</v>
      </c>
      <c r="B3646" t="s">
        <v>7320</v>
      </c>
      <c r="C3646" t="s">
        <v>7321</v>
      </c>
      <c r="D3646" s="1" t="s">
        <v>195</v>
      </c>
      <c r="E3646" s="3">
        <v>643.83000000000004</v>
      </c>
      <c r="F3646" s="3">
        <f t="shared" si="112"/>
        <v>162.69584100000003</v>
      </c>
      <c r="G3646" s="3">
        <f t="shared" si="113"/>
        <v>806.52584100000013</v>
      </c>
    </row>
    <row r="3647" spans="1:7" x14ac:dyDescent="0.3">
      <c r="A3647" t="s">
        <v>13039</v>
      </c>
      <c r="B3647" t="s">
        <v>7322</v>
      </c>
      <c r="C3647" t="s">
        <v>7323</v>
      </c>
      <c r="D3647" s="1" t="s">
        <v>195</v>
      </c>
      <c r="E3647" s="3">
        <v>760.21</v>
      </c>
      <c r="F3647" s="3">
        <f t="shared" si="112"/>
        <v>192.10506700000005</v>
      </c>
      <c r="G3647" s="3">
        <f t="shared" si="113"/>
        <v>952.31506700000011</v>
      </c>
    </row>
    <row r="3648" spans="1:7" x14ac:dyDescent="0.3">
      <c r="A3648" t="s">
        <v>13039</v>
      </c>
      <c r="B3648" t="s">
        <v>7324</v>
      </c>
      <c r="C3648" t="s">
        <v>7325</v>
      </c>
      <c r="D3648" s="1" t="s">
        <v>195</v>
      </c>
      <c r="E3648" s="3">
        <v>202.42</v>
      </c>
      <c r="F3648" s="3">
        <f t="shared" si="112"/>
        <v>51.151534000000005</v>
      </c>
      <c r="G3648" s="3">
        <f t="shared" si="113"/>
        <v>253.57153399999999</v>
      </c>
    </row>
    <row r="3649" spans="1:7" x14ac:dyDescent="0.3">
      <c r="A3649" t="s">
        <v>13039</v>
      </c>
      <c r="B3649" t="s">
        <v>7326</v>
      </c>
      <c r="C3649" t="s">
        <v>7327</v>
      </c>
      <c r="D3649" s="1" t="s">
        <v>195</v>
      </c>
      <c r="E3649" s="3">
        <v>220.82</v>
      </c>
      <c r="F3649" s="3">
        <f t="shared" si="112"/>
        <v>55.801214000000009</v>
      </c>
      <c r="G3649" s="3">
        <f t="shared" si="113"/>
        <v>276.62121400000001</v>
      </c>
    </row>
    <row r="3650" spans="1:7" x14ac:dyDescent="0.3">
      <c r="A3650" t="s">
        <v>13039</v>
      </c>
      <c r="B3650" t="s">
        <v>7328</v>
      </c>
      <c r="C3650" t="s">
        <v>7329</v>
      </c>
      <c r="D3650" s="1" t="s">
        <v>195</v>
      </c>
      <c r="E3650" s="3">
        <v>242.91</v>
      </c>
      <c r="F3650" s="3">
        <f t="shared" si="112"/>
        <v>61.383357000000011</v>
      </c>
      <c r="G3650" s="3">
        <f t="shared" si="113"/>
        <v>304.29335700000001</v>
      </c>
    </row>
    <row r="3651" spans="1:7" x14ac:dyDescent="0.3">
      <c r="A3651" t="s">
        <v>13039</v>
      </c>
      <c r="B3651" t="s">
        <v>7330</v>
      </c>
      <c r="C3651" t="s">
        <v>7331</v>
      </c>
      <c r="D3651" s="1" t="s">
        <v>195</v>
      </c>
      <c r="E3651" s="3">
        <v>282.45</v>
      </c>
      <c r="F3651" s="3">
        <f t="shared" si="112"/>
        <v>71.375115000000008</v>
      </c>
      <c r="G3651" s="3">
        <f t="shared" si="113"/>
        <v>353.82511499999998</v>
      </c>
    </row>
    <row r="3652" spans="1:7" x14ac:dyDescent="0.3">
      <c r="A3652" t="s">
        <v>13039</v>
      </c>
      <c r="B3652" t="s">
        <v>7332</v>
      </c>
      <c r="C3652" t="s">
        <v>7333</v>
      </c>
      <c r="D3652" s="1" t="s">
        <v>195</v>
      </c>
      <c r="E3652" s="3">
        <v>347.01</v>
      </c>
      <c r="F3652" s="3">
        <f t="shared" si="112"/>
        <v>87.689427000000009</v>
      </c>
      <c r="G3652" s="3">
        <f t="shared" si="113"/>
        <v>434.69942700000001</v>
      </c>
    </row>
    <row r="3653" spans="1:7" x14ac:dyDescent="0.3">
      <c r="A3653" t="s">
        <v>13039</v>
      </c>
      <c r="B3653" t="s">
        <v>7334</v>
      </c>
      <c r="C3653" t="s">
        <v>7335</v>
      </c>
      <c r="D3653" s="1" t="s">
        <v>195</v>
      </c>
      <c r="E3653" s="3">
        <v>485.81</v>
      </c>
      <c r="F3653" s="3">
        <f t="shared" si="112"/>
        <v>122.76418700000002</v>
      </c>
      <c r="G3653" s="3">
        <f t="shared" si="113"/>
        <v>608.57418700000005</v>
      </c>
    </row>
    <row r="3654" spans="1:7" x14ac:dyDescent="0.3">
      <c r="A3654" t="s">
        <v>13039</v>
      </c>
      <c r="B3654" t="s">
        <v>7336</v>
      </c>
      <c r="C3654" t="s">
        <v>7337</v>
      </c>
      <c r="D3654" s="1" t="s">
        <v>427</v>
      </c>
      <c r="E3654" s="3">
        <v>327.96</v>
      </c>
      <c r="F3654" s="3">
        <f t="shared" si="112"/>
        <v>82.875492000000008</v>
      </c>
      <c r="G3654" s="3">
        <f t="shared" si="113"/>
        <v>410.83549199999999</v>
      </c>
    </row>
    <row r="3655" spans="1:7" x14ac:dyDescent="0.3">
      <c r="A3655" t="s">
        <v>13039</v>
      </c>
      <c r="B3655" t="s">
        <v>7338</v>
      </c>
      <c r="C3655" t="s">
        <v>7339</v>
      </c>
      <c r="D3655" s="1" t="s">
        <v>427</v>
      </c>
      <c r="E3655" s="3">
        <v>393.23</v>
      </c>
      <c r="F3655" s="3">
        <f t="shared" ref="F3655:F3718" si="114">+E3655*$F$4</f>
        <v>99.369221000000024</v>
      </c>
      <c r="G3655" s="3">
        <f t="shared" ref="G3655:G3718" si="115">+E3655+F3655</f>
        <v>492.59922100000006</v>
      </c>
    </row>
    <row r="3656" spans="1:7" x14ac:dyDescent="0.3">
      <c r="A3656" t="s">
        <v>13039</v>
      </c>
      <c r="B3656" t="s">
        <v>7340</v>
      </c>
      <c r="C3656" t="s">
        <v>7341</v>
      </c>
      <c r="D3656" s="1" t="s">
        <v>195</v>
      </c>
      <c r="E3656" s="3">
        <v>334.52</v>
      </c>
      <c r="F3656" s="3">
        <f t="shared" si="114"/>
        <v>84.533204000000012</v>
      </c>
      <c r="G3656" s="3">
        <f t="shared" si="115"/>
        <v>419.05320399999999</v>
      </c>
    </row>
    <row r="3657" spans="1:7" x14ac:dyDescent="0.3">
      <c r="A3657" t="s">
        <v>13039</v>
      </c>
      <c r="B3657" t="s">
        <v>7342</v>
      </c>
      <c r="C3657" t="s">
        <v>7343</v>
      </c>
      <c r="D3657" s="1" t="s">
        <v>210</v>
      </c>
      <c r="E3657" s="3">
        <v>17.28</v>
      </c>
      <c r="F3657" s="3">
        <f t="shared" si="114"/>
        <v>4.3666560000000008</v>
      </c>
      <c r="G3657" s="3">
        <f t="shared" si="115"/>
        <v>21.646656</v>
      </c>
    </row>
    <row r="3658" spans="1:7" x14ac:dyDescent="0.3">
      <c r="A3658" t="s">
        <v>13039</v>
      </c>
      <c r="B3658" t="s">
        <v>7344</v>
      </c>
      <c r="C3658" t="s">
        <v>7345</v>
      </c>
      <c r="D3658" s="1" t="s">
        <v>210</v>
      </c>
      <c r="E3658" s="3">
        <v>17.98</v>
      </c>
      <c r="F3658" s="3">
        <f t="shared" si="114"/>
        <v>4.543546000000001</v>
      </c>
      <c r="G3658" s="3">
        <f t="shared" si="115"/>
        <v>22.523546000000003</v>
      </c>
    </row>
    <row r="3659" spans="1:7" x14ac:dyDescent="0.3">
      <c r="A3659" t="s">
        <v>13039</v>
      </c>
      <c r="B3659" t="s">
        <v>7346</v>
      </c>
      <c r="C3659" t="s">
        <v>7347</v>
      </c>
      <c r="D3659" s="1" t="s">
        <v>210</v>
      </c>
      <c r="E3659" s="3">
        <v>3.2</v>
      </c>
      <c r="F3659" s="3">
        <f t="shared" si="114"/>
        <v>0.80864000000000014</v>
      </c>
      <c r="G3659" s="3">
        <f t="shared" si="115"/>
        <v>4.0086400000000006</v>
      </c>
    </row>
    <row r="3660" spans="1:7" x14ac:dyDescent="0.3">
      <c r="A3660" t="s">
        <v>13039</v>
      </c>
      <c r="B3660" t="s">
        <v>7348</v>
      </c>
      <c r="C3660" t="s">
        <v>7349</v>
      </c>
      <c r="D3660" s="1" t="s">
        <v>210</v>
      </c>
      <c r="E3660" s="3">
        <v>2.16</v>
      </c>
      <c r="F3660" s="3">
        <f t="shared" si="114"/>
        <v>0.54583200000000009</v>
      </c>
      <c r="G3660" s="3">
        <f t="shared" si="115"/>
        <v>2.705832</v>
      </c>
    </row>
    <row r="3661" spans="1:7" x14ac:dyDescent="0.3">
      <c r="A3661" t="s">
        <v>13039</v>
      </c>
      <c r="B3661" t="s">
        <v>7350</v>
      </c>
      <c r="C3661" t="s">
        <v>7351</v>
      </c>
      <c r="D3661" s="1" t="s">
        <v>195</v>
      </c>
      <c r="E3661" s="3">
        <v>342.88</v>
      </c>
      <c r="F3661" s="3">
        <f t="shared" si="114"/>
        <v>86.645776000000012</v>
      </c>
      <c r="G3661" s="3">
        <f t="shared" si="115"/>
        <v>429.52577600000001</v>
      </c>
    </row>
    <row r="3662" spans="1:7" x14ac:dyDescent="0.3">
      <c r="A3662" t="s">
        <v>13039</v>
      </c>
      <c r="B3662" t="s">
        <v>7352</v>
      </c>
      <c r="C3662" t="s">
        <v>7353</v>
      </c>
      <c r="D3662" s="1" t="s">
        <v>195</v>
      </c>
      <c r="E3662" s="3">
        <v>425.73</v>
      </c>
      <c r="F3662" s="3">
        <f t="shared" si="114"/>
        <v>107.58197100000002</v>
      </c>
      <c r="G3662" s="3">
        <f t="shared" si="115"/>
        <v>533.31197100000009</v>
      </c>
    </row>
    <row r="3663" spans="1:7" x14ac:dyDescent="0.3">
      <c r="A3663" t="s">
        <v>13039</v>
      </c>
      <c r="B3663" t="s">
        <v>7354</v>
      </c>
      <c r="C3663" t="s">
        <v>7355</v>
      </c>
      <c r="D3663" s="1" t="s">
        <v>195</v>
      </c>
      <c r="E3663" s="3">
        <v>672.73</v>
      </c>
      <c r="F3663" s="3">
        <f t="shared" si="114"/>
        <v>169.99887100000004</v>
      </c>
      <c r="G3663" s="3">
        <f t="shared" si="115"/>
        <v>842.72887100000003</v>
      </c>
    </row>
    <row r="3664" spans="1:7" x14ac:dyDescent="0.3">
      <c r="A3664" t="s">
        <v>13039</v>
      </c>
      <c r="B3664" t="s">
        <v>7356</v>
      </c>
      <c r="C3664" t="s">
        <v>7357</v>
      </c>
      <c r="D3664" s="1" t="s">
        <v>195</v>
      </c>
      <c r="E3664" s="3">
        <v>798.87</v>
      </c>
      <c r="F3664" s="3">
        <f t="shared" si="114"/>
        <v>201.87444900000003</v>
      </c>
      <c r="G3664" s="3">
        <f t="shared" si="115"/>
        <v>1000.744449</v>
      </c>
    </row>
    <row r="3665" spans="1:7" x14ac:dyDescent="0.3">
      <c r="A3665" t="s">
        <v>13039</v>
      </c>
      <c r="B3665" t="s">
        <v>7358</v>
      </c>
      <c r="C3665" t="s">
        <v>7359</v>
      </c>
      <c r="D3665" s="1" t="s">
        <v>195</v>
      </c>
      <c r="E3665" s="3">
        <v>1118.1199999999999</v>
      </c>
      <c r="F3665" s="3">
        <f t="shared" si="114"/>
        <v>282.548924</v>
      </c>
      <c r="G3665" s="3">
        <f t="shared" si="115"/>
        <v>1400.6689239999998</v>
      </c>
    </row>
    <row r="3666" spans="1:7" x14ac:dyDescent="0.3">
      <c r="A3666" t="s">
        <v>13039</v>
      </c>
      <c r="B3666" t="s">
        <v>7360</v>
      </c>
      <c r="C3666" t="s">
        <v>7361</v>
      </c>
      <c r="D3666" s="1" t="s">
        <v>195</v>
      </c>
      <c r="E3666" s="3">
        <v>253.08</v>
      </c>
      <c r="F3666" s="3">
        <f t="shared" si="114"/>
        <v>63.953316000000015</v>
      </c>
      <c r="G3666" s="3">
        <f t="shared" si="115"/>
        <v>317.03331600000001</v>
      </c>
    </row>
    <row r="3667" spans="1:7" x14ac:dyDescent="0.3">
      <c r="A3667" t="s">
        <v>13039</v>
      </c>
      <c r="B3667" t="s">
        <v>7362</v>
      </c>
      <c r="C3667" t="s">
        <v>7363</v>
      </c>
      <c r="D3667" s="1" t="s">
        <v>195</v>
      </c>
      <c r="E3667" s="3">
        <v>307.88</v>
      </c>
      <c r="F3667" s="3">
        <f t="shared" si="114"/>
        <v>77.801276000000016</v>
      </c>
      <c r="G3667" s="3">
        <f t="shared" si="115"/>
        <v>385.68127600000003</v>
      </c>
    </row>
    <row r="3668" spans="1:7" x14ac:dyDescent="0.3">
      <c r="A3668" t="s">
        <v>13039</v>
      </c>
      <c r="B3668" t="s">
        <v>7364</v>
      </c>
      <c r="C3668" t="s">
        <v>7365</v>
      </c>
      <c r="D3668" s="1" t="s">
        <v>195</v>
      </c>
      <c r="E3668" s="3">
        <v>89.85</v>
      </c>
      <c r="F3668" s="3">
        <f t="shared" si="114"/>
        <v>22.705095</v>
      </c>
      <c r="G3668" s="3">
        <f t="shared" si="115"/>
        <v>112.55509499999999</v>
      </c>
    </row>
    <row r="3669" spans="1:7" x14ac:dyDescent="0.3">
      <c r="A3669" t="s">
        <v>13039</v>
      </c>
      <c r="B3669" t="s">
        <v>7366</v>
      </c>
      <c r="C3669" t="s">
        <v>7367</v>
      </c>
      <c r="D3669" s="1" t="s">
        <v>195</v>
      </c>
      <c r="E3669" s="3">
        <v>95.3</v>
      </c>
      <c r="F3669" s="3">
        <f t="shared" si="114"/>
        <v>24.082310000000003</v>
      </c>
      <c r="G3669" s="3">
        <f t="shared" si="115"/>
        <v>119.38231</v>
      </c>
    </row>
    <row r="3670" spans="1:7" x14ac:dyDescent="0.3">
      <c r="A3670" t="s">
        <v>13039</v>
      </c>
      <c r="B3670" t="s">
        <v>7368</v>
      </c>
      <c r="C3670" t="s">
        <v>7369</v>
      </c>
      <c r="D3670" s="1" t="s">
        <v>195</v>
      </c>
      <c r="E3670" s="3">
        <v>105.73</v>
      </c>
      <c r="F3670" s="3">
        <f t="shared" si="114"/>
        <v>26.717971000000006</v>
      </c>
      <c r="G3670" s="3">
        <f t="shared" si="115"/>
        <v>132.447971</v>
      </c>
    </row>
    <row r="3671" spans="1:7" x14ac:dyDescent="0.3">
      <c r="A3671" t="s">
        <v>13039</v>
      </c>
      <c r="B3671" t="s">
        <v>7370</v>
      </c>
      <c r="C3671" t="s">
        <v>7371</v>
      </c>
      <c r="D3671" s="1" t="s">
        <v>195</v>
      </c>
      <c r="E3671" s="3">
        <v>111.67</v>
      </c>
      <c r="F3671" s="3">
        <f t="shared" si="114"/>
        <v>28.219009000000003</v>
      </c>
      <c r="G3671" s="3">
        <f t="shared" si="115"/>
        <v>139.88900900000002</v>
      </c>
    </row>
    <row r="3672" spans="1:7" x14ac:dyDescent="0.3">
      <c r="A3672" t="s">
        <v>13039</v>
      </c>
      <c r="B3672" t="s">
        <v>7372</v>
      </c>
      <c r="C3672" t="s">
        <v>7373</v>
      </c>
      <c r="D3672" s="1" t="s">
        <v>195</v>
      </c>
      <c r="E3672" s="3">
        <v>118.3</v>
      </c>
      <c r="F3672" s="3">
        <f t="shared" si="114"/>
        <v>29.894410000000004</v>
      </c>
      <c r="G3672" s="3">
        <f t="shared" si="115"/>
        <v>148.19441</v>
      </c>
    </row>
    <row r="3673" spans="1:7" x14ac:dyDescent="0.3">
      <c r="A3673" t="s">
        <v>13039</v>
      </c>
      <c r="B3673" t="s">
        <v>7374</v>
      </c>
      <c r="C3673" t="s">
        <v>7375</v>
      </c>
      <c r="D3673" s="1" t="s">
        <v>195</v>
      </c>
      <c r="E3673" s="3">
        <v>127.82</v>
      </c>
      <c r="F3673" s="3">
        <f t="shared" si="114"/>
        <v>32.300114000000001</v>
      </c>
      <c r="G3673" s="3">
        <f t="shared" si="115"/>
        <v>160.120114</v>
      </c>
    </row>
    <row r="3674" spans="1:7" x14ac:dyDescent="0.3">
      <c r="A3674" t="s">
        <v>13039</v>
      </c>
      <c r="B3674" t="s">
        <v>7376</v>
      </c>
      <c r="C3674" t="s">
        <v>7377</v>
      </c>
      <c r="D3674" s="1" t="s">
        <v>195</v>
      </c>
      <c r="E3674" s="3">
        <v>131.54</v>
      </c>
      <c r="F3674" s="3">
        <f t="shared" si="114"/>
        <v>33.240158000000001</v>
      </c>
      <c r="G3674" s="3">
        <f t="shared" si="115"/>
        <v>164.780158</v>
      </c>
    </row>
    <row r="3675" spans="1:7" x14ac:dyDescent="0.3">
      <c r="A3675" t="s">
        <v>13039</v>
      </c>
      <c r="B3675" t="s">
        <v>7378</v>
      </c>
      <c r="C3675" t="s">
        <v>7379</v>
      </c>
      <c r="D3675" s="1" t="s">
        <v>195</v>
      </c>
      <c r="E3675" s="3">
        <v>146.72999999999999</v>
      </c>
      <c r="F3675" s="3">
        <f t="shared" si="114"/>
        <v>37.078671</v>
      </c>
      <c r="G3675" s="3">
        <f t="shared" si="115"/>
        <v>183.808671</v>
      </c>
    </row>
    <row r="3676" spans="1:7" x14ac:dyDescent="0.3">
      <c r="A3676" t="s">
        <v>13039</v>
      </c>
      <c r="B3676" t="s">
        <v>7380</v>
      </c>
      <c r="C3676" t="s">
        <v>7381</v>
      </c>
      <c r="D3676" s="1" t="s">
        <v>195</v>
      </c>
      <c r="E3676" s="3">
        <v>163.30000000000001</v>
      </c>
      <c r="F3676" s="3">
        <f t="shared" si="114"/>
        <v>41.265910000000005</v>
      </c>
      <c r="G3676" s="3">
        <f t="shared" si="115"/>
        <v>204.56591000000003</v>
      </c>
    </row>
    <row r="3677" spans="1:7" x14ac:dyDescent="0.3">
      <c r="A3677" t="s">
        <v>13039</v>
      </c>
      <c r="B3677" t="s">
        <v>7382</v>
      </c>
      <c r="C3677" t="s">
        <v>7383</v>
      </c>
      <c r="D3677" s="1" t="s">
        <v>195</v>
      </c>
      <c r="E3677" s="3">
        <v>178.25</v>
      </c>
      <c r="F3677" s="3">
        <f t="shared" si="114"/>
        <v>45.043775000000004</v>
      </c>
      <c r="G3677" s="3">
        <f t="shared" si="115"/>
        <v>223.29377500000001</v>
      </c>
    </row>
    <row r="3678" spans="1:7" x14ac:dyDescent="0.3">
      <c r="A3678" t="s">
        <v>13039</v>
      </c>
      <c r="B3678" t="s">
        <v>7384</v>
      </c>
      <c r="C3678" t="s">
        <v>7385</v>
      </c>
      <c r="D3678" s="1" t="s">
        <v>195</v>
      </c>
      <c r="E3678" s="3">
        <v>188.1</v>
      </c>
      <c r="F3678" s="3">
        <f t="shared" si="114"/>
        <v>47.532870000000003</v>
      </c>
      <c r="G3678" s="3">
        <f t="shared" si="115"/>
        <v>235.63287</v>
      </c>
    </row>
    <row r="3679" spans="1:7" x14ac:dyDescent="0.3">
      <c r="A3679" t="s">
        <v>13039</v>
      </c>
      <c r="B3679" t="s">
        <v>7386</v>
      </c>
      <c r="C3679" t="s">
        <v>7387</v>
      </c>
      <c r="D3679" s="1" t="s">
        <v>195</v>
      </c>
      <c r="E3679" s="3">
        <v>209.64</v>
      </c>
      <c r="F3679" s="3">
        <f t="shared" si="114"/>
        <v>52.976028000000007</v>
      </c>
      <c r="G3679" s="3">
        <f t="shared" si="115"/>
        <v>262.61602799999997</v>
      </c>
    </row>
    <row r="3680" spans="1:7" x14ac:dyDescent="0.3">
      <c r="A3680" t="s">
        <v>13039</v>
      </c>
      <c r="B3680" t="s">
        <v>7388</v>
      </c>
      <c r="C3680" t="s">
        <v>7389</v>
      </c>
      <c r="D3680" s="1" t="s">
        <v>195</v>
      </c>
      <c r="E3680" s="3">
        <v>223.75</v>
      </c>
      <c r="F3680" s="3">
        <f t="shared" si="114"/>
        <v>56.54162500000001</v>
      </c>
      <c r="G3680" s="3">
        <f t="shared" si="115"/>
        <v>280.29162500000001</v>
      </c>
    </row>
    <row r="3681" spans="1:7" x14ac:dyDescent="0.3">
      <c r="A3681" t="s">
        <v>13039</v>
      </c>
      <c r="B3681" t="s">
        <v>7390</v>
      </c>
      <c r="C3681" t="s">
        <v>7391</v>
      </c>
      <c r="D3681" s="1" t="s">
        <v>195</v>
      </c>
      <c r="E3681" s="3">
        <v>256.12</v>
      </c>
      <c r="F3681" s="3">
        <f t="shared" si="114"/>
        <v>64.721524000000016</v>
      </c>
      <c r="G3681" s="3">
        <f t="shared" si="115"/>
        <v>320.84152400000005</v>
      </c>
    </row>
    <row r="3682" spans="1:7" x14ac:dyDescent="0.3">
      <c r="A3682" t="s">
        <v>13039</v>
      </c>
      <c r="B3682" t="s">
        <v>7392</v>
      </c>
      <c r="C3682" t="s">
        <v>7393</v>
      </c>
      <c r="D3682" s="1" t="s">
        <v>195</v>
      </c>
      <c r="E3682" s="3">
        <v>407.99</v>
      </c>
      <c r="F3682" s="3">
        <f t="shared" si="114"/>
        <v>103.09907300000002</v>
      </c>
      <c r="G3682" s="3">
        <f t="shared" si="115"/>
        <v>511.08907300000004</v>
      </c>
    </row>
    <row r="3683" spans="1:7" x14ac:dyDescent="0.3">
      <c r="A3683" t="s">
        <v>13039</v>
      </c>
      <c r="B3683" t="s">
        <v>7394</v>
      </c>
      <c r="C3683" t="s">
        <v>7395</v>
      </c>
      <c r="D3683" s="1" t="s">
        <v>195</v>
      </c>
      <c r="E3683" s="3">
        <v>147.31</v>
      </c>
      <c r="F3683" s="3">
        <f t="shared" si="114"/>
        <v>37.225237000000007</v>
      </c>
      <c r="G3683" s="3">
        <f t="shared" si="115"/>
        <v>184.535237</v>
      </c>
    </row>
    <row r="3684" spans="1:7" x14ac:dyDescent="0.3">
      <c r="A3684" t="s">
        <v>13039</v>
      </c>
      <c r="B3684" t="s">
        <v>7396</v>
      </c>
      <c r="C3684" t="s">
        <v>7397</v>
      </c>
      <c r="D3684" s="1" t="s">
        <v>195</v>
      </c>
      <c r="E3684" s="3">
        <v>183.67</v>
      </c>
      <c r="F3684" s="3">
        <f t="shared" si="114"/>
        <v>46.413409000000001</v>
      </c>
      <c r="G3684" s="3">
        <f t="shared" si="115"/>
        <v>230.08340899999999</v>
      </c>
    </row>
    <row r="3685" spans="1:7" x14ac:dyDescent="0.3">
      <c r="A3685" t="s">
        <v>13039</v>
      </c>
      <c r="B3685" t="s">
        <v>7398</v>
      </c>
      <c r="C3685" t="s">
        <v>7399</v>
      </c>
      <c r="D3685" s="1" t="s">
        <v>195</v>
      </c>
      <c r="E3685" s="3">
        <v>193.67</v>
      </c>
      <c r="F3685" s="3">
        <f t="shared" si="114"/>
        <v>48.940409000000002</v>
      </c>
      <c r="G3685" s="3">
        <f t="shared" si="115"/>
        <v>242.610409</v>
      </c>
    </row>
    <row r="3686" spans="1:7" x14ac:dyDescent="0.3">
      <c r="A3686" t="s">
        <v>13039</v>
      </c>
      <c r="B3686" t="s">
        <v>7400</v>
      </c>
      <c r="C3686" t="s">
        <v>7401</v>
      </c>
      <c r="D3686" s="1" t="s">
        <v>195</v>
      </c>
      <c r="E3686" s="3">
        <v>287.63</v>
      </c>
      <c r="F3686" s="3">
        <f t="shared" si="114"/>
        <v>72.684101000000013</v>
      </c>
      <c r="G3686" s="3">
        <f t="shared" si="115"/>
        <v>360.31410099999999</v>
      </c>
    </row>
    <row r="3687" spans="1:7" x14ac:dyDescent="0.3">
      <c r="A3687" t="s">
        <v>13039</v>
      </c>
      <c r="B3687" t="s">
        <v>7402</v>
      </c>
      <c r="C3687" t="s">
        <v>7403</v>
      </c>
      <c r="D3687" s="1" t="s">
        <v>195</v>
      </c>
      <c r="E3687" s="3">
        <v>561.47</v>
      </c>
      <c r="F3687" s="3">
        <f t="shared" si="114"/>
        <v>141.88346900000002</v>
      </c>
      <c r="G3687" s="3">
        <f t="shared" si="115"/>
        <v>703.35346900000002</v>
      </c>
    </row>
    <row r="3688" spans="1:7" x14ac:dyDescent="0.3">
      <c r="A3688" t="s">
        <v>13039</v>
      </c>
      <c r="B3688" t="s">
        <v>7404</v>
      </c>
      <c r="C3688" t="s">
        <v>7405</v>
      </c>
      <c r="D3688" s="1" t="s">
        <v>195</v>
      </c>
      <c r="E3688" s="3">
        <v>707.24</v>
      </c>
      <c r="F3688" s="3">
        <f t="shared" si="114"/>
        <v>178.71954800000003</v>
      </c>
      <c r="G3688" s="3">
        <f t="shared" si="115"/>
        <v>885.95954800000004</v>
      </c>
    </row>
    <row r="3689" spans="1:7" x14ac:dyDescent="0.3">
      <c r="A3689" t="s">
        <v>13039</v>
      </c>
      <c r="B3689" t="s">
        <v>7406</v>
      </c>
      <c r="C3689" t="s">
        <v>7407</v>
      </c>
      <c r="D3689" s="1" t="s">
        <v>195</v>
      </c>
      <c r="E3689" s="3">
        <v>955.83</v>
      </c>
      <c r="F3689" s="3">
        <f t="shared" si="114"/>
        <v>241.53824100000006</v>
      </c>
      <c r="G3689" s="3">
        <f t="shared" si="115"/>
        <v>1197.3682410000001</v>
      </c>
    </row>
    <row r="3690" spans="1:7" x14ac:dyDescent="0.3">
      <c r="A3690" t="s">
        <v>13039</v>
      </c>
      <c r="B3690" t="s">
        <v>7408</v>
      </c>
      <c r="C3690" t="s">
        <v>7409</v>
      </c>
      <c r="D3690" s="1" t="s">
        <v>195</v>
      </c>
      <c r="E3690" s="3">
        <v>1451.43</v>
      </c>
      <c r="F3690" s="3">
        <f t="shared" si="114"/>
        <v>366.77636100000007</v>
      </c>
      <c r="G3690" s="3">
        <f t="shared" si="115"/>
        <v>1818.206361</v>
      </c>
    </row>
    <row r="3691" spans="1:7" x14ac:dyDescent="0.3">
      <c r="A3691" t="s">
        <v>13039</v>
      </c>
      <c r="B3691" t="s">
        <v>7410</v>
      </c>
      <c r="C3691" t="s">
        <v>7411</v>
      </c>
      <c r="D3691" s="1" t="s">
        <v>195</v>
      </c>
      <c r="E3691" s="3">
        <v>2183.9299999999998</v>
      </c>
      <c r="F3691" s="3">
        <f t="shared" si="114"/>
        <v>551.87911100000008</v>
      </c>
      <c r="G3691" s="3">
        <f t="shared" si="115"/>
        <v>2735.809111</v>
      </c>
    </row>
    <row r="3692" spans="1:7" x14ac:dyDescent="0.3">
      <c r="A3692" t="s">
        <v>13039</v>
      </c>
      <c r="B3692" t="s">
        <v>7412</v>
      </c>
      <c r="C3692" t="s">
        <v>7413</v>
      </c>
      <c r="D3692" s="1" t="s">
        <v>195</v>
      </c>
      <c r="E3692" s="3">
        <v>2197.2399999999998</v>
      </c>
      <c r="F3692" s="3">
        <f t="shared" si="114"/>
        <v>555.24254800000006</v>
      </c>
      <c r="G3692" s="3">
        <f t="shared" si="115"/>
        <v>2752.482548</v>
      </c>
    </row>
    <row r="3693" spans="1:7" x14ac:dyDescent="0.3">
      <c r="A3693" t="s">
        <v>13039</v>
      </c>
      <c r="B3693" t="s">
        <v>7414</v>
      </c>
      <c r="C3693" t="s">
        <v>7415</v>
      </c>
      <c r="D3693" s="1" t="s">
        <v>195</v>
      </c>
      <c r="E3693" s="3">
        <v>100.85</v>
      </c>
      <c r="F3693" s="3">
        <f t="shared" si="114"/>
        <v>25.484795000000002</v>
      </c>
      <c r="G3693" s="3">
        <f t="shared" si="115"/>
        <v>126.334795</v>
      </c>
    </row>
    <row r="3694" spans="1:7" x14ac:dyDescent="0.3">
      <c r="A3694" t="s">
        <v>13039</v>
      </c>
      <c r="B3694" t="s">
        <v>7416</v>
      </c>
      <c r="C3694" t="s">
        <v>7417</v>
      </c>
      <c r="D3694" s="1" t="s">
        <v>195</v>
      </c>
      <c r="E3694" s="3">
        <v>120.23</v>
      </c>
      <c r="F3694" s="3">
        <f t="shared" si="114"/>
        <v>30.382121000000005</v>
      </c>
      <c r="G3694" s="3">
        <f t="shared" si="115"/>
        <v>150.612121</v>
      </c>
    </row>
    <row r="3695" spans="1:7" x14ac:dyDescent="0.3">
      <c r="A3695" t="s">
        <v>13039</v>
      </c>
      <c r="B3695" t="s">
        <v>7418</v>
      </c>
      <c r="C3695" t="s">
        <v>7419</v>
      </c>
      <c r="D3695" s="1" t="s">
        <v>195</v>
      </c>
      <c r="E3695" s="3">
        <v>146.74</v>
      </c>
      <c r="F3695" s="3">
        <f t="shared" si="114"/>
        <v>37.081198000000008</v>
      </c>
      <c r="G3695" s="3">
        <f t="shared" si="115"/>
        <v>183.82119800000001</v>
      </c>
    </row>
    <row r="3696" spans="1:7" x14ac:dyDescent="0.3">
      <c r="A3696" t="s">
        <v>13039</v>
      </c>
      <c r="B3696" t="s">
        <v>7420</v>
      </c>
      <c r="C3696" t="s">
        <v>7421</v>
      </c>
      <c r="D3696" s="1" t="s">
        <v>195</v>
      </c>
      <c r="E3696" s="3">
        <v>188.38</v>
      </c>
      <c r="F3696" s="3">
        <f t="shared" si="114"/>
        <v>47.603626000000006</v>
      </c>
      <c r="G3696" s="3">
        <f t="shared" si="115"/>
        <v>235.98362600000002</v>
      </c>
    </row>
    <row r="3697" spans="1:7" x14ac:dyDescent="0.3">
      <c r="A3697" t="s">
        <v>13039</v>
      </c>
      <c r="B3697" t="s">
        <v>7422</v>
      </c>
      <c r="C3697" t="s">
        <v>7423</v>
      </c>
      <c r="D3697" s="1" t="s">
        <v>195</v>
      </c>
      <c r="E3697" s="3">
        <v>262.61</v>
      </c>
      <c r="F3697" s="3">
        <f t="shared" si="114"/>
        <v>66.361547000000016</v>
      </c>
      <c r="G3697" s="3">
        <f t="shared" si="115"/>
        <v>328.97154700000004</v>
      </c>
    </row>
    <row r="3698" spans="1:7" x14ac:dyDescent="0.3">
      <c r="A3698" t="s">
        <v>13039</v>
      </c>
      <c r="B3698" t="s">
        <v>7424</v>
      </c>
      <c r="C3698" t="s">
        <v>7425</v>
      </c>
      <c r="D3698" s="1" t="s">
        <v>195</v>
      </c>
      <c r="E3698" s="3">
        <v>294.27</v>
      </c>
      <c r="F3698" s="3">
        <f t="shared" si="114"/>
        <v>74.362029000000007</v>
      </c>
      <c r="G3698" s="3">
        <f t="shared" si="115"/>
        <v>368.63202899999999</v>
      </c>
    </row>
    <row r="3699" spans="1:7" x14ac:dyDescent="0.3">
      <c r="A3699" t="s">
        <v>13039</v>
      </c>
      <c r="B3699" t="s">
        <v>7426</v>
      </c>
      <c r="C3699" t="s">
        <v>7427</v>
      </c>
      <c r="D3699" s="1" t="s">
        <v>195</v>
      </c>
      <c r="E3699" s="3">
        <v>19.77</v>
      </c>
      <c r="F3699" s="3">
        <f t="shared" si="114"/>
        <v>4.9958790000000004</v>
      </c>
      <c r="G3699" s="3">
        <f t="shared" si="115"/>
        <v>24.765878999999998</v>
      </c>
    </row>
    <row r="3700" spans="1:7" x14ac:dyDescent="0.3">
      <c r="A3700" t="s">
        <v>13039</v>
      </c>
      <c r="B3700" t="s">
        <v>7428</v>
      </c>
      <c r="C3700" t="s">
        <v>7429</v>
      </c>
      <c r="D3700" s="1" t="s">
        <v>195</v>
      </c>
      <c r="E3700" s="3">
        <v>24.64</v>
      </c>
      <c r="F3700" s="3">
        <f t="shared" si="114"/>
        <v>6.226528000000001</v>
      </c>
      <c r="G3700" s="3">
        <f t="shared" si="115"/>
        <v>30.866528000000002</v>
      </c>
    </row>
    <row r="3701" spans="1:7" x14ac:dyDescent="0.3">
      <c r="A3701" t="s">
        <v>13039</v>
      </c>
      <c r="B3701" t="s">
        <v>7430</v>
      </c>
      <c r="C3701" t="s">
        <v>7431</v>
      </c>
      <c r="D3701" s="1" t="s">
        <v>195</v>
      </c>
      <c r="E3701" s="3">
        <v>28.06</v>
      </c>
      <c r="F3701" s="3">
        <f t="shared" si="114"/>
        <v>7.0907620000000007</v>
      </c>
      <c r="G3701" s="3">
        <f t="shared" si="115"/>
        <v>35.150762</v>
      </c>
    </row>
    <row r="3702" spans="1:7" x14ac:dyDescent="0.3">
      <c r="A3702" t="s">
        <v>13039</v>
      </c>
      <c r="B3702" t="s">
        <v>7432</v>
      </c>
      <c r="C3702" t="s">
        <v>7433</v>
      </c>
      <c r="D3702" s="1" t="s">
        <v>195</v>
      </c>
      <c r="E3702" s="3">
        <v>32.85</v>
      </c>
      <c r="F3702" s="3">
        <f t="shared" si="114"/>
        <v>8.3011950000000017</v>
      </c>
      <c r="G3702" s="3">
        <f t="shared" si="115"/>
        <v>41.151195000000001</v>
      </c>
    </row>
    <row r="3703" spans="1:7" x14ac:dyDescent="0.3">
      <c r="A3703" t="s">
        <v>13039</v>
      </c>
      <c r="B3703" t="s">
        <v>7434</v>
      </c>
      <c r="C3703" t="s">
        <v>7435</v>
      </c>
      <c r="D3703" s="1" t="s">
        <v>195</v>
      </c>
      <c r="E3703" s="3">
        <v>167.66</v>
      </c>
      <c r="F3703" s="3">
        <f t="shared" si="114"/>
        <v>42.367682000000002</v>
      </c>
      <c r="G3703" s="3">
        <f t="shared" si="115"/>
        <v>210.027682</v>
      </c>
    </row>
    <row r="3704" spans="1:7" x14ac:dyDescent="0.3">
      <c r="A3704" t="s">
        <v>13039</v>
      </c>
      <c r="B3704" t="s">
        <v>7436</v>
      </c>
      <c r="C3704" t="s">
        <v>7437</v>
      </c>
      <c r="D3704" s="1" t="s">
        <v>195</v>
      </c>
      <c r="E3704" s="3">
        <v>234.01</v>
      </c>
      <c r="F3704" s="3">
        <f t="shared" si="114"/>
        <v>59.134327000000006</v>
      </c>
      <c r="G3704" s="3">
        <f t="shared" si="115"/>
        <v>293.14432699999998</v>
      </c>
    </row>
    <row r="3705" spans="1:7" x14ac:dyDescent="0.3">
      <c r="A3705" t="s">
        <v>13039</v>
      </c>
      <c r="B3705" t="s">
        <v>7438</v>
      </c>
      <c r="C3705" t="s">
        <v>7439</v>
      </c>
      <c r="D3705" s="1" t="s">
        <v>195</v>
      </c>
      <c r="E3705" s="3">
        <v>274.08999999999997</v>
      </c>
      <c r="F3705" s="3">
        <f t="shared" si="114"/>
        <v>69.262543000000008</v>
      </c>
      <c r="G3705" s="3">
        <f t="shared" si="115"/>
        <v>343.35254299999997</v>
      </c>
    </row>
    <row r="3706" spans="1:7" x14ac:dyDescent="0.3">
      <c r="A3706" t="s">
        <v>13039</v>
      </c>
      <c r="B3706" t="s">
        <v>7440</v>
      </c>
      <c r="C3706" t="s">
        <v>7441</v>
      </c>
      <c r="D3706" s="1" t="s">
        <v>195</v>
      </c>
      <c r="E3706" s="3">
        <v>338.35</v>
      </c>
      <c r="F3706" s="3">
        <f t="shared" si="114"/>
        <v>85.501045000000019</v>
      </c>
      <c r="G3706" s="3">
        <f t="shared" si="115"/>
        <v>423.85104500000006</v>
      </c>
    </row>
    <row r="3707" spans="1:7" x14ac:dyDescent="0.3">
      <c r="A3707" t="s">
        <v>13039</v>
      </c>
      <c r="B3707" t="s">
        <v>7442</v>
      </c>
      <c r="C3707" t="s">
        <v>7443</v>
      </c>
      <c r="D3707" s="1" t="s">
        <v>195</v>
      </c>
      <c r="E3707" s="3">
        <v>396.68</v>
      </c>
      <c r="F3707" s="3">
        <f t="shared" si="114"/>
        <v>100.24103600000002</v>
      </c>
      <c r="G3707" s="3">
        <f t="shared" si="115"/>
        <v>496.92103600000002</v>
      </c>
    </row>
    <row r="3708" spans="1:7" x14ac:dyDescent="0.3">
      <c r="A3708" t="s">
        <v>13039</v>
      </c>
      <c r="B3708" t="s">
        <v>7444</v>
      </c>
      <c r="C3708" t="s">
        <v>7445</v>
      </c>
      <c r="D3708" s="1" t="s">
        <v>195</v>
      </c>
      <c r="E3708" s="3">
        <v>437.44</v>
      </c>
      <c r="F3708" s="3">
        <f t="shared" si="114"/>
        <v>110.54108800000002</v>
      </c>
      <c r="G3708" s="3">
        <f t="shared" si="115"/>
        <v>547.981088</v>
      </c>
    </row>
    <row r="3709" spans="1:7" x14ac:dyDescent="0.3">
      <c r="A3709" t="s">
        <v>13039</v>
      </c>
      <c r="B3709" t="s">
        <v>7446</v>
      </c>
      <c r="C3709" t="s">
        <v>7447</v>
      </c>
      <c r="D3709" s="1" t="s">
        <v>195</v>
      </c>
      <c r="E3709" s="3">
        <v>634.04</v>
      </c>
      <c r="F3709" s="3">
        <f t="shared" si="114"/>
        <v>160.22190800000001</v>
      </c>
      <c r="G3709" s="3">
        <f t="shared" si="115"/>
        <v>794.26190799999995</v>
      </c>
    </row>
    <row r="3710" spans="1:7" x14ac:dyDescent="0.3">
      <c r="A3710" t="s">
        <v>13039</v>
      </c>
      <c r="B3710" t="s">
        <v>7448</v>
      </c>
      <c r="C3710" t="s">
        <v>7449</v>
      </c>
      <c r="D3710" s="1" t="s">
        <v>195</v>
      </c>
      <c r="E3710" s="3">
        <v>754.27</v>
      </c>
      <c r="F3710" s="3">
        <f t="shared" si="114"/>
        <v>190.60402900000003</v>
      </c>
      <c r="G3710" s="3">
        <f t="shared" si="115"/>
        <v>944.87402900000006</v>
      </c>
    </row>
    <row r="3711" spans="1:7" x14ac:dyDescent="0.3">
      <c r="A3711" t="s">
        <v>13039</v>
      </c>
      <c r="B3711" t="s">
        <v>7450</v>
      </c>
      <c r="C3711" t="s">
        <v>7451</v>
      </c>
      <c r="D3711" s="1" t="s">
        <v>195</v>
      </c>
      <c r="E3711" s="3">
        <v>946.04</v>
      </c>
      <c r="F3711" s="3">
        <f t="shared" si="114"/>
        <v>239.06430800000001</v>
      </c>
      <c r="G3711" s="3">
        <f t="shared" si="115"/>
        <v>1185.1043079999999</v>
      </c>
    </row>
    <row r="3712" spans="1:7" x14ac:dyDescent="0.3">
      <c r="A3712" t="s">
        <v>13039</v>
      </c>
      <c r="B3712" t="s">
        <v>7452</v>
      </c>
      <c r="C3712" t="s">
        <v>7453</v>
      </c>
      <c r="D3712" s="1" t="s">
        <v>195</v>
      </c>
      <c r="E3712" s="3">
        <v>1119.6199999999999</v>
      </c>
      <c r="F3712" s="3">
        <f t="shared" si="114"/>
        <v>282.92797400000001</v>
      </c>
      <c r="G3712" s="3">
        <f t="shared" si="115"/>
        <v>1402.5479739999998</v>
      </c>
    </row>
    <row r="3713" spans="1:7" x14ac:dyDescent="0.3">
      <c r="A3713" t="s">
        <v>13039</v>
      </c>
      <c r="B3713" t="s">
        <v>7454</v>
      </c>
      <c r="C3713" t="s">
        <v>7455</v>
      </c>
      <c r="D3713" s="1" t="s">
        <v>195</v>
      </c>
      <c r="E3713" s="3">
        <v>34.92</v>
      </c>
      <c r="F3713" s="3">
        <f t="shared" si="114"/>
        <v>8.8242840000000022</v>
      </c>
      <c r="G3713" s="3">
        <f t="shared" si="115"/>
        <v>43.744284000000007</v>
      </c>
    </row>
    <row r="3714" spans="1:7" x14ac:dyDescent="0.3">
      <c r="A3714" t="s">
        <v>13039</v>
      </c>
      <c r="B3714" t="s">
        <v>7456</v>
      </c>
      <c r="C3714" t="s">
        <v>7457</v>
      </c>
      <c r="D3714" s="1" t="s">
        <v>195</v>
      </c>
      <c r="E3714" s="3">
        <v>37.76</v>
      </c>
      <c r="F3714" s="3">
        <f t="shared" si="114"/>
        <v>9.5419520000000002</v>
      </c>
      <c r="G3714" s="3">
        <f t="shared" si="115"/>
        <v>47.301952</v>
      </c>
    </row>
    <row r="3715" spans="1:7" x14ac:dyDescent="0.3">
      <c r="A3715" t="s">
        <v>13039</v>
      </c>
      <c r="B3715" t="s">
        <v>7458</v>
      </c>
      <c r="C3715" t="s">
        <v>7459</v>
      </c>
      <c r="D3715" s="1" t="s">
        <v>195</v>
      </c>
      <c r="E3715" s="3">
        <v>45.4</v>
      </c>
      <c r="F3715" s="3">
        <f t="shared" si="114"/>
        <v>11.472580000000001</v>
      </c>
      <c r="G3715" s="3">
        <f t="shared" si="115"/>
        <v>56.872579999999999</v>
      </c>
    </row>
    <row r="3716" spans="1:7" x14ac:dyDescent="0.3">
      <c r="A3716" t="s">
        <v>13039</v>
      </c>
      <c r="B3716" t="s">
        <v>7460</v>
      </c>
      <c r="C3716" t="s">
        <v>7461</v>
      </c>
      <c r="D3716" s="1" t="s">
        <v>195</v>
      </c>
      <c r="E3716" s="3">
        <v>49.25</v>
      </c>
      <c r="F3716" s="3">
        <f t="shared" si="114"/>
        <v>12.445475000000002</v>
      </c>
      <c r="G3716" s="3">
        <f t="shared" si="115"/>
        <v>61.695475000000002</v>
      </c>
    </row>
    <row r="3717" spans="1:7" x14ac:dyDescent="0.3">
      <c r="A3717" t="s">
        <v>13039</v>
      </c>
      <c r="B3717" t="s">
        <v>7462</v>
      </c>
      <c r="C3717" t="s">
        <v>7463</v>
      </c>
      <c r="D3717" s="1" t="s">
        <v>195</v>
      </c>
      <c r="E3717" s="3">
        <v>52.67</v>
      </c>
      <c r="F3717" s="3">
        <f t="shared" si="114"/>
        <v>13.309709000000002</v>
      </c>
      <c r="G3717" s="3">
        <f t="shared" si="115"/>
        <v>65.979709</v>
      </c>
    </row>
    <row r="3718" spans="1:7" x14ac:dyDescent="0.3">
      <c r="A3718" t="s">
        <v>13039</v>
      </c>
      <c r="B3718" t="s">
        <v>7464</v>
      </c>
      <c r="C3718" t="s">
        <v>7465</v>
      </c>
      <c r="D3718" s="1" t="s">
        <v>195</v>
      </c>
      <c r="E3718" s="3">
        <v>59.28</v>
      </c>
      <c r="F3718" s="3">
        <f t="shared" si="114"/>
        <v>14.980056000000003</v>
      </c>
      <c r="G3718" s="3">
        <f t="shared" si="115"/>
        <v>74.260056000000006</v>
      </c>
    </row>
    <row r="3719" spans="1:7" x14ac:dyDescent="0.3">
      <c r="A3719" t="s">
        <v>13039</v>
      </c>
      <c r="B3719" t="s">
        <v>7466</v>
      </c>
      <c r="C3719" t="s">
        <v>7467</v>
      </c>
      <c r="D3719" s="1" t="s">
        <v>195</v>
      </c>
      <c r="E3719" s="3">
        <v>60.77</v>
      </c>
      <c r="F3719" s="3">
        <f t="shared" ref="F3719:F3782" si="116">+E3719*$F$4</f>
        <v>15.356579000000004</v>
      </c>
      <c r="G3719" s="3">
        <f t="shared" ref="G3719:G3782" si="117">+E3719+F3719</f>
        <v>76.126579000000007</v>
      </c>
    </row>
    <row r="3720" spans="1:7" x14ac:dyDescent="0.3">
      <c r="A3720" t="s">
        <v>13039</v>
      </c>
      <c r="B3720" t="s">
        <v>7468</v>
      </c>
      <c r="C3720" t="s">
        <v>7469</v>
      </c>
      <c r="D3720" s="1" t="s">
        <v>195</v>
      </c>
      <c r="E3720" s="3">
        <v>70.760000000000005</v>
      </c>
      <c r="F3720" s="3">
        <f t="shared" si="116"/>
        <v>17.881052000000004</v>
      </c>
      <c r="G3720" s="3">
        <f t="shared" si="117"/>
        <v>88.641052000000002</v>
      </c>
    </row>
    <row r="3721" spans="1:7" x14ac:dyDescent="0.3">
      <c r="A3721" t="s">
        <v>13039</v>
      </c>
      <c r="B3721" t="s">
        <v>7470</v>
      </c>
      <c r="C3721" t="s">
        <v>7471</v>
      </c>
      <c r="D3721" s="1" t="s">
        <v>195</v>
      </c>
      <c r="E3721" s="3">
        <v>79.84</v>
      </c>
      <c r="F3721" s="3">
        <f t="shared" si="116"/>
        <v>20.175568000000002</v>
      </c>
      <c r="G3721" s="3">
        <f t="shared" si="117"/>
        <v>100.015568</v>
      </c>
    </row>
    <row r="3722" spans="1:7" x14ac:dyDescent="0.3">
      <c r="A3722" t="s">
        <v>13039</v>
      </c>
      <c r="B3722" t="s">
        <v>7472</v>
      </c>
      <c r="C3722" t="s">
        <v>7473</v>
      </c>
      <c r="D3722" s="1" t="s">
        <v>195</v>
      </c>
      <c r="E3722" s="3">
        <v>90.46</v>
      </c>
      <c r="F3722" s="3">
        <f t="shared" si="116"/>
        <v>22.859242000000002</v>
      </c>
      <c r="G3722" s="3">
        <f t="shared" si="117"/>
        <v>113.319242</v>
      </c>
    </row>
    <row r="3723" spans="1:7" x14ac:dyDescent="0.3">
      <c r="A3723" t="s">
        <v>13039</v>
      </c>
      <c r="B3723" t="s">
        <v>7474</v>
      </c>
      <c r="C3723" t="s">
        <v>7475</v>
      </c>
      <c r="D3723" s="1" t="s">
        <v>195</v>
      </c>
      <c r="E3723" s="3">
        <v>95.85</v>
      </c>
      <c r="F3723" s="3">
        <f t="shared" si="116"/>
        <v>24.221295000000001</v>
      </c>
      <c r="G3723" s="3">
        <f t="shared" si="117"/>
        <v>120.07129499999999</v>
      </c>
    </row>
    <row r="3724" spans="1:7" x14ac:dyDescent="0.3">
      <c r="A3724" t="s">
        <v>13039</v>
      </c>
      <c r="B3724" t="s">
        <v>7476</v>
      </c>
      <c r="C3724" t="s">
        <v>7477</v>
      </c>
      <c r="D3724" s="1" t="s">
        <v>195</v>
      </c>
      <c r="E3724" s="3">
        <v>110.63</v>
      </c>
      <c r="F3724" s="3">
        <f t="shared" si="116"/>
        <v>27.956201000000004</v>
      </c>
      <c r="G3724" s="3">
        <f t="shared" si="117"/>
        <v>138.58620099999999</v>
      </c>
    </row>
    <row r="3725" spans="1:7" x14ac:dyDescent="0.3">
      <c r="A3725" t="s">
        <v>13039</v>
      </c>
      <c r="B3725" t="s">
        <v>7478</v>
      </c>
      <c r="C3725" t="s">
        <v>7479</v>
      </c>
      <c r="D3725" s="1" t="s">
        <v>195</v>
      </c>
      <c r="E3725" s="3">
        <v>119.67</v>
      </c>
      <c r="F3725" s="3">
        <f t="shared" si="116"/>
        <v>30.240609000000006</v>
      </c>
      <c r="G3725" s="3">
        <f t="shared" si="117"/>
        <v>149.91060900000002</v>
      </c>
    </row>
    <row r="3726" spans="1:7" x14ac:dyDescent="0.3">
      <c r="A3726" t="s">
        <v>13039</v>
      </c>
      <c r="B3726" t="s">
        <v>7480</v>
      </c>
      <c r="C3726" t="s">
        <v>7481</v>
      </c>
      <c r="D3726" s="1" t="s">
        <v>195</v>
      </c>
      <c r="E3726" s="3">
        <v>144.55000000000001</v>
      </c>
      <c r="F3726" s="3">
        <f t="shared" si="116"/>
        <v>36.527785000000009</v>
      </c>
      <c r="G3726" s="3">
        <f t="shared" si="117"/>
        <v>181.07778500000001</v>
      </c>
    </row>
    <row r="3727" spans="1:7" x14ac:dyDescent="0.3">
      <c r="A3727" t="s">
        <v>13039</v>
      </c>
      <c r="B3727" t="s">
        <v>7482</v>
      </c>
      <c r="C3727" t="s">
        <v>7483</v>
      </c>
      <c r="D3727" s="1" t="s">
        <v>210</v>
      </c>
      <c r="E3727" s="3">
        <v>12.75</v>
      </c>
      <c r="F3727" s="3">
        <f t="shared" si="116"/>
        <v>3.2219250000000006</v>
      </c>
      <c r="G3727" s="3">
        <f t="shared" si="117"/>
        <v>15.971925000000001</v>
      </c>
    </row>
    <row r="3728" spans="1:7" x14ac:dyDescent="0.3">
      <c r="A3728" t="s">
        <v>13039</v>
      </c>
      <c r="B3728" t="s">
        <v>7484</v>
      </c>
      <c r="C3728" t="s">
        <v>7485</v>
      </c>
      <c r="D3728" s="1" t="s">
        <v>195</v>
      </c>
      <c r="E3728" s="3">
        <v>569.55999999999995</v>
      </c>
      <c r="F3728" s="3">
        <f t="shared" si="116"/>
        <v>143.92781200000002</v>
      </c>
      <c r="G3728" s="3">
        <f t="shared" si="117"/>
        <v>713.48781199999996</v>
      </c>
    </row>
    <row r="3729" spans="1:7" x14ac:dyDescent="0.3">
      <c r="A3729" t="s">
        <v>13039</v>
      </c>
      <c r="B3729" t="s">
        <v>7486</v>
      </c>
      <c r="C3729" t="s">
        <v>7487</v>
      </c>
      <c r="D3729" s="1" t="s">
        <v>210</v>
      </c>
      <c r="E3729" s="3">
        <v>16.48</v>
      </c>
      <c r="F3729" s="3">
        <f t="shared" si="116"/>
        <v>4.1644960000000006</v>
      </c>
      <c r="G3729" s="3">
        <f t="shared" si="117"/>
        <v>20.644496</v>
      </c>
    </row>
    <row r="3730" spans="1:7" x14ac:dyDescent="0.3">
      <c r="A3730" t="s">
        <v>13039</v>
      </c>
      <c r="B3730" t="s">
        <v>7488</v>
      </c>
      <c r="C3730" t="s">
        <v>7489</v>
      </c>
      <c r="D3730" s="1" t="s">
        <v>210</v>
      </c>
      <c r="E3730" s="3">
        <v>74.209999999999994</v>
      </c>
      <c r="F3730" s="3">
        <f t="shared" si="116"/>
        <v>18.752867000000002</v>
      </c>
      <c r="G3730" s="3">
        <f t="shared" si="117"/>
        <v>92.962866999999989</v>
      </c>
    </row>
    <row r="3731" spans="1:7" x14ac:dyDescent="0.3">
      <c r="A3731" t="s">
        <v>13039</v>
      </c>
      <c r="B3731" t="s">
        <v>7490</v>
      </c>
      <c r="C3731" t="s">
        <v>7491</v>
      </c>
      <c r="D3731" s="1" t="s">
        <v>2904</v>
      </c>
      <c r="E3731" s="3">
        <v>56.37</v>
      </c>
      <c r="F3731" s="3">
        <f t="shared" si="116"/>
        <v>14.244699000000001</v>
      </c>
      <c r="G3731" s="3">
        <f t="shared" si="117"/>
        <v>70.614699000000002</v>
      </c>
    </row>
    <row r="3732" spans="1:7" x14ac:dyDescent="0.3">
      <c r="A3732" t="s">
        <v>13039</v>
      </c>
      <c r="B3732" t="s">
        <v>7492</v>
      </c>
      <c r="C3732" t="s">
        <v>7493</v>
      </c>
      <c r="D3732" s="1" t="s">
        <v>2904</v>
      </c>
      <c r="E3732" s="3">
        <v>13.65</v>
      </c>
      <c r="F3732" s="3">
        <f t="shared" si="116"/>
        <v>3.4493550000000006</v>
      </c>
      <c r="G3732" s="3">
        <f t="shared" si="117"/>
        <v>17.099355000000003</v>
      </c>
    </row>
    <row r="3733" spans="1:7" x14ac:dyDescent="0.3">
      <c r="A3733" t="s">
        <v>13039</v>
      </c>
      <c r="B3733" t="s">
        <v>7494</v>
      </c>
      <c r="C3733" t="s">
        <v>7495</v>
      </c>
      <c r="D3733" s="1" t="s">
        <v>2904</v>
      </c>
      <c r="E3733" s="3">
        <v>5.89</v>
      </c>
      <c r="F3733" s="3">
        <f t="shared" si="116"/>
        <v>1.4884030000000001</v>
      </c>
      <c r="G3733" s="3">
        <f t="shared" si="117"/>
        <v>7.3784029999999996</v>
      </c>
    </row>
    <row r="3734" spans="1:7" x14ac:dyDescent="0.3">
      <c r="A3734" t="s">
        <v>13039</v>
      </c>
      <c r="B3734" t="s">
        <v>7496</v>
      </c>
      <c r="C3734" t="s">
        <v>7497</v>
      </c>
      <c r="D3734" s="1" t="s">
        <v>2904</v>
      </c>
      <c r="E3734" s="3">
        <v>10.63</v>
      </c>
      <c r="F3734" s="3">
        <f t="shared" si="116"/>
        <v>2.6862010000000005</v>
      </c>
      <c r="G3734" s="3">
        <f t="shared" si="117"/>
        <v>13.316201000000001</v>
      </c>
    </row>
    <row r="3735" spans="1:7" x14ac:dyDescent="0.3">
      <c r="A3735" t="s">
        <v>13039</v>
      </c>
      <c r="B3735" t="s">
        <v>7498</v>
      </c>
      <c r="C3735" t="s">
        <v>7499</v>
      </c>
      <c r="D3735" s="1" t="s">
        <v>2904</v>
      </c>
      <c r="E3735" s="3">
        <v>12.44</v>
      </c>
      <c r="F3735" s="3">
        <f t="shared" si="116"/>
        <v>3.1435880000000003</v>
      </c>
      <c r="G3735" s="3">
        <f t="shared" si="117"/>
        <v>15.583587999999999</v>
      </c>
    </row>
    <row r="3736" spans="1:7" x14ac:dyDescent="0.3">
      <c r="A3736" t="s">
        <v>13039</v>
      </c>
      <c r="B3736" t="s">
        <v>7500</v>
      </c>
      <c r="C3736" t="s">
        <v>7501</v>
      </c>
      <c r="D3736" s="1" t="s">
        <v>2904</v>
      </c>
      <c r="E3736" s="3">
        <v>16.559999999999999</v>
      </c>
      <c r="F3736" s="3">
        <f t="shared" si="116"/>
        <v>4.1847120000000002</v>
      </c>
      <c r="G3736" s="3">
        <f t="shared" si="117"/>
        <v>20.744712</v>
      </c>
    </row>
    <row r="3737" spans="1:7" x14ac:dyDescent="0.3">
      <c r="A3737" t="s">
        <v>13039</v>
      </c>
      <c r="B3737" t="s">
        <v>7502</v>
      </c>
      <c r="C3737" t="s">
        <v>7503</v>
      </c>
      <c r="D3737" s="1" t="s">
        <v>2904</v>
      </c>
      <c r="E3737" s="3">
        <v>11.32</v>
      </c>
      <c r="F3737" s="3">
        <f t="shared" si="116"/>
        <v>2.8605640000000006</v>
      </c>
      <c r="G3737" s="3">
        <f t="shared" si="117"/>
        <v>14.180564</v>
      </c>
    </row>
    <row r="3738" spans="1:7" x14ac:dyDescent="0.3">
      <c r="A3738" t="s">
        <v>13039</v>
      </c>
      <c r="B3738" t="s">
        <v>7504</v>
      </c>
      <c r="C3738" t="s">
        <v>7505</v>
      </c>
      <c r="D3738" s="1" t="s">
        <v>2904</v>
      </c>
      <c r="E3738" s="3">
        <v>32.06</v>
      </c>
      <c r="F3738" s="3">
        <f t="shared" si="116"/>
        <v>8.1015620000000013</v>
      </c>
      <c r="G3738" s="3">
        <f t="shared" si="117"/>
        <v>40.161562000000004</v>
      </c>
    </row>
    <row r="3739" spans="1:7" x14ac:dyDescent="0.3">
      <c r="A3739" t="s">
        <v>13039</v>
      </c>
      <c r="B3739" t="s">
        <v>7506</v>
      </c>
      <c r="C3739" t="s">
        <v>7507</v>
      </c>
      <c r="D3739" s="1" t="s">
        <v>2904</v>
      </c>
      <c r="E3739" s="3">
        <v>16.77</v>
      </c>
      <c r="F3739" s="3">
        <f t="shared" si="116"/>
        <v>4.2377790000000006</v>
      </c>
      <c r="G3739" s="3">
        <f t="shared" si="117"/>
        <v>21.007778999999999</v>
      </c>
    </row>
    <row r="3740" spans="1:7" x14ac:dyDescent="0.3">
      <c r="A3740" t="s">
        <v>13039</v>
      </c>
      <c r="B3740" t="s">
        <v>7508</v>
      </c>
      <c r="C3740" t="s">
        <v>7509</v>
      </c>
      <c r="D3740" s="1" t="s">
        <v>2904</v>
      </c>
      <c r="E3740" s="3">
        <v>41.99</v>
      </c>
      <c r="F3740" s="3">
        <f t="shared" si="116"/>
        <v>10.610873000000002</v>
      </c>
      <c r="G3740" s="3">
        <f t="shared" si="117"/>
        <v>52.600873000000007</v>
      </c>
    </row>
    <row r="3741" spans="1:7" x14ac:dyDescent="0.3">
      <c r="A3741" t="s">
        <v>13039</v>
      </c>
      <c r="B3741" t="s">
        <v>7510</v>
      </c>
      <c r="C3741" t="s">
        <v>7511</v>
      </c>
      <c r="D3741" s="1" t="s">
        <v>2904</v>
      </c>
      <c r="E3741" s="3">
        <v>15.74</v>
      </c>
      <c r="F3741" s="3">
        <f t="shared" si="116"/>
        <v>3.9774980000000006</v>
      </c>
      <c r="G3741" s="3">
        <f t="shared" si="117"/>
        <v>19.717497999999999</v>
      </c>
    </row>
    <row r="3742" spans="1:7" x14ac:dyDescent="0.3">
      <c r="A3742" t="s">
        <v>13039</v>
      </c>
      <c r="B3742" t="s">
        <v>7512</v>
      </c>
      <c r="C3742" t="s">
        <v>7513</v>
      </c>
      <c r="D3742" s="1" t="s">
        <v>2904</v>
      </c>
      <c r="E3742" s="3">
        <v>8</v>
      </c>
      <c r="F3742" s="3">
        <f t="shared" si="116"/>
        <v>2.0216000000000003</v>
      </c>
      <c r="G3742" s="3">
        <f t="shared" si="117"/>
        <v>10.021599999999999</v>
      </c>
    </row>
    <row r="3743" spans="1:7" x14ac:dyDescent="0.3">
      <c r="A3743" t="s">
        <v>13039</v>
      </c>
      <c r="B3743" t="s">
        <v>7514</v>
      </c>
      <c r="C3743" t="s">
        <v>7515</v>
      </c>
      <c r="D3743" s="1" t="s">
        <v>2904</v>
      </c>
      <c r="E3743" s="3">
        <v>3.11</v>
      </c>
      <c r="F3743" s="3">
        <f t="shared" si="116"/>
        <v>0.78589700000000007</v>
      </c>
      <c r="G3743" s="3">
        <f t="shared" si="117"/>
        <v>3.8958969999999997</v>
      </c>
    </row>
    <row r="3744" spans="1:7" x14ac:dyDescent="0.3">
      <c r="A3744" t="s">
        <v>13039</v>
      </c>
      <c r="B3744" t="s">
        <v>7516</v>
      </c>
      <c r="C3744" t="s">
        <v>7517</v>
      </c>
      <c r="D3744" s="1" t="s">
        <v>2904</v>
      </c>
      <c r="E3744" s="3">
        <v>13.07</v>
      </c>
      <c r="F3744" s="3">
        <f t="shared" si="116"/>
        <v>3.3027890000000006</v>
      </c>
      <c r="G3744" s="3">
        <f t="shared" si="117"/>
        <v>16.372789000000001</v>
      </c>
    </row>
    <row r="3745" spans="1:7" x14ac:dyDescent="0.3">
      <c r="A3745" t="s">
        <v>13039</v>
      </c>
      <c r="B3745" t="s">
        <v>7518</v>
      </c>
      <c r="C3745" t="s">
        <v>7519</v>
      </c>
      <c r="D3745" s="1" t="s">
        <v>2904</v>
      </c>
      <c r="E3745" s="3">
        <v>13.12</v>
      </c>
      <c r="F3745" s="3">
        <f t="shared" si="116"/>
        <v>3.3154240000000001</v>
      </c>
      <c r="G3745" s="3">
        <f t="shared" si="117"/>
        <v>16.435423999999998</v>
      </c>
    </row>
    <row r="3746" spans="1:7" x14ac:dyDescent="0.3">
      <c r="A3746" t="s">
        <v>13039</v>
      </c>
      <c r="B3746" t="s">
        <v>7520</v>
      </c>
      <c r="C3746" t="s">
        <v>7521</v>
      </c>
      <c r="D3746" s="1" t="s">
        <v>2904</v>
      </c>
      <c r="E3746" s="3">
        <v>5.96</v>
      </c>
      <c r="F3746" s="3">
        <f t="shared" si="116"/>
        <v>1.5060920000000002</v>
      </c>
      <c r="G3746" s="3">
        <f t="shared" si="117"/>
        <v>7.4660919999999997</v>
      </c>
    </row>
    <row r="3747" spans="1:7" x14ac:dyDescent="0.3">
      <c r="A3747" t="s">
        <v>13039</v>
      </c>
      <c r="B3747" t="s">
        <v>7522</v>
      </c>
      <c r="C3747" t="s">
        <v>7523</v>
      </c>
      <c r="D3747" s="1" t="s">
        <v>2904</v>
      </c>
      <c r="E3747" s="3">
        <v>8.48</v>
      </c>
      <c r="F3747" s="3">
        <f t="shared" si="116"/>
        <v>2.1428960000000004</v>
      </c>
      <c r="G3747" s="3">
        <f t="shared" si="117"/>
        <v>10.622896000000001</v>
      </c>
    </row>
    <row r="3748" spans="1:7" x14ac:dyDescent="0.3">
      <c r="A3748" t="s">
        <v>13039</v>
      </c>
      <c r="B3748" t="s">
        <v>7524</v>
      </c>
      <c r="C3748" t="s">
        <v>7525</v>
      </c>
      <c r="D3748" s="1" t="s">
        <v>2904</v>
      </c>
      <c r="E3748" s="3">
        <v>16.45</v>
      </c>
      <c r="F3748" s="3">
        <f t="shared" si="116"/>
        <v>4.1569150000000006</v>
      </c>
      <c r="G3748" s="3">
        <f t="shared" si="117"/>
        <v>20.606915000000001</v>
      </c>
    </row>
    <row r="3749" spans="1:7" x14ac:dyDescent="0.3">
      <c r="A3749" t="s">
        <v>13039</v>
      </c>
      <c r="B3749" t="s">
        <v>7526</v>
      </c>
      <c r="C3749" t="s">
        <v>7527</v>
      </c>
      <c r="D3749" s="1" t="s">
        <v>2904</v>
      </c>
      <c r="E3749" s="3">
        <v>16.5</v>
      </c>
      <c r="F3749" s="3">
        <f t="shared" si="116"/>
        <v>4.169550000000001</v>
      </c>
      <c r="G3749" s="3">
        <f t="shared" si="117"/>
        <v>20.669550000000001</v>
      </c>
    </row>
    <row r="3750" spans="1:7" x14ac:dyDescent="0.3">
      <c r="A3750" t="s">
        <v>13039</v>
      </c>
      <c r="B3750" t="s">
        <v>7528</v>
      </c>
      <c r="C3750" t="s">
        <v>7529</v>
      </c>
      <c r="D3750" s="1" t="s">
        <v>2904</v>
      </c>
      <c r="E3750" s="3">
        <v>49.06</v>
      </c>
      <c r="F3750" s="3">
        <f t="shared" si="116"/>
        <v>12.397462000000003</v>
      </c>
      <c r="G3750" s="3">
        <f t="shared" si="117"/>
        <v>61.457462000000007</v>
      </c>
    </row>
    <row r="3751" spans="1:7" x14ac:dyDescent="0.3">
      <c r="A3751" t="s">
        <v>13039</v>
      </c>
      <c r="B3751" t="s">
        <v>7530</v>
      </c>
      <c r="C3751" t="s">
        <v>7531</v>
      </c>
      <c r="D3751" s="1" t="s">
        <v>2904</v>
      </c>
      <c r="E3751" s="3">
        <v>19.25</v>
      </c>
      <c r="F3751" s="3">
        <f t="shared" si="116"/>
        <v>4.8644750000000005</v>
      </c>
      <c r="G3751" s="3">
        <f t="shared" si="117"/>
        <v>24.114474999999999</v>
      </c>
    </row>
    <row r="3752" spans="1:7" x14ac:dyDescent="0.3">
      <c r="A3752" t="s">
        <v>13039</v>
      </c>
      <c r="B3752" t="s">
        <v>7532</v>
      </c>
      <c r="C3752" t="s">
        <v>7533</v>
      </c>
      <c r="D3752" s="1" t="s">
        <v>210</v>
      </c>
      <c r="E3752" s="3">
        <v>108.42</v>
      </c>
      <c r="F3752" s="3">
        <f t="shared" si="116"/>
        <v>27.397734000000003</v>
      </c>
      <c r="G3752" s="3">
        <f t="shared" si="117"/>
        <v>135.817734</v>
      </c>
    </row>
    <row r="3753" spans="1:7" x14ac:dyDescent="0.3">
      <c r="A3753" t="s">
        <v>13039</v>
      </c>
      <c r="B3753" t="s">
        <v>7534</v>
      </c>
      <c r="C3753" t="s">
        <v>7535</v>
      </c>
      <c r="D3753" s="1" t="s">
        <v>210</v>
      </c>
      <c r="E3753" s="3">
        <v>69.2</v>
      </c>
      <c r="F3753" s="3">
        <f t="shared" si="116"/>
        <v>17.486840000000004</v>
      </c>
      <c r="G3753" s="3">
        <f t="shared" si="117"/>
        <v>86.686840000000004</v>
      </c>
    </row>
    <row r="3754" spans="1:7" x14ac:dyDescent="0.3">
      <c r="A3754" t="s">
        <v>13039</v>
      </c>
      <c r="B3754" t="s">
        <v>7536</v>
      </c>
      <c r="C3754" t="s">
        <v>7537</v>
      </c>
      <c r="D3754" s="1" t="s">
        <v>2904</v>
      </c>
      <c r="E3754" s="3">
        <v>369.68</v>
      </c>
      <c r="F3754" s="3">
        <f t="shared" si="116"/>
        <v>93.418136000000018</v>
      </c>
      <c r="G3754" s="3">
        <f t="shared" si="117"/>
        <v>463.09813600000001</v>
      </c>
    </row>
    <row r="3755" spans="1:7" x14ac:dyDescent="0.3">
      <c r="A3755" t="s">
        <v>13039</v>
      </c>
      <c r="B3755" t="s">
        <v>7538</v>
      </c>
      <c r="C3755" t="s">
        <v>7539</v>
      </c>
      <c r="D3755" s="1" t="s">
        <v>2904</v>
      </c>
      <c r="E3755" s="3">
        <v>376.92</v>
      </c>
      <c r="F3755" s="3">
        <f t="shared" si="116"/>
        <v>95.247684000000021</v>
      </c>
      <c r="G3755" s="3">
        <f t="shared" si="117"/>
        <v>472.16768400000001</v>
      </c>
    </row>
    <row r="3756" spans="1:7" x14ac:dyDescent="0.3">
      <c r="A3756" t="s">
        <v>13039</v>
      </c>
      <c r="B3756" t="s">
        <v>7540</v>
      </c>
      <c r="C3756" t="s">
        <v>7541</v>
      </c>
      <c r="D3756" s="1" t="s">
        <v>2904</v>
      </c>
      <c r="E3756" s="3">
        <v>21.19</v>
      </c>
      <c r="F3756" s="3">
        <f t="shared" si="116"/>
        <v>5.3547130000000012</v>
      </c>
      <c r="G3756" s="3">
        <f t="shared" si="117"/>
        <v>26.544713000000002</v>
      </c>
    </row>
    <row r="3757" spans="1:7" x14ac:dyDescent="0.3">
      <c r="A3757" t="s">
        <v>13039</v>
      </c>
      <c r="B3757" t="s">
        <v>7542</v>
      </c>
      <c r="C3757" t="s">
        <v>7543</v>
      </c>
      <c r="D3757" s="1" t="s">
        <v>38</v>
      </c>
      <c r="E3757" s="3">
        <v>324.86</v>
      </c>
      <c r="F3757" s="3">
        <f t="shared" si="116"/>
        <v>82.092122000000018</v>
      </c>
      <c r="G3757" s="3">
        <f t="shared" si="117"/>
        <v>406.95212200000003</v>
      </c>
    </row>
    <row r="3758" spans="1:7" x14ac:dyDescent="0.3">
      <c r="A3758" t="s">
        <v>13039</v>
      </c>
      <c r="B3758" t="s">
        <v>7544</v>
      </c>
      <c r="C3758" t="s">
        <v>7545</v>
      </c>
      <c r="D3758" s="1" t="s">
        <v>38</v>
      </c>
      <c r="E3758" s="3">
        <v>553277.72</v>
      </c>
      <c r="F3758" s="3">
        <f t="shared" si="116"/>
        <v>139813.279844</v>
      </c>
      <c r="G3758" s="3">
        <f t="shared" si="117"/>
        <v>693090.99984399998</v>
      </c>
    </row>
    <row r="3759" spans="1:7" x14ac:dyDescent="0.3">
      <c r="A3759" t="s">
        <v>13039</v>
      </c>
      <c r="B3759" t="s">
        <v>7546</v>
      </c>
      <c r="C3759" t="s">
        <v>7547</v>
      </c>
      <c r="D3759" s="1" t="s">
        <v>38</v>
      </c>
      <c r="E3759" s="3">
        <v>481411.67</v>
      </c>
      <c r="F3759" s="3">
        <f t="shared" si="116"/>
        <v>121652.72900900002</v>
      </c>
      <c r="G3759" s="3">
        <f t="shared" si="117"/>
        <v>603064.39900900004</v>
      </c>
    </row>
    <row r="3760" spans="1:7" x14ac:dyDescent="0.3">
      <c r="A3760" t="s">
        <v>13039</v>
      </c>
      <c r="B3760" t="s">
        <v>7548</v>
      </c>
      <c r="C3760" t="s">
        <v>7549</v>
      </c>
      <c r="D3760" s="1" t="s">
        <v>38</v>
      </c>
      <c r="E3760" s="3">
        <v>664632.18000000005</v>
      </c>
      <c r="F3760" s="3">
        <f t="shared" si="116"/>
        <v>167952.55188600003</v>
      </c>
      <c r="G3760" s="3">
        <f t="shared" si="117"/>
        <v>832584.73188600014</v>
      </c>
    </row>
    <row r="3761" spans="1:7" x14ac:dyDescent="0.3">
      <c r="A3761" t="s">
        <v>13039</v>
      </c>
      <c r="B3761" t="s">
        <v>7550</v>
      </c>
      <c r="C3761" t="s">
        <v>7551</v>
      </c>
      <c r="D3761" s="1" t="s">
        <v>38</v>
      </c>
      <c r="E3761" s="3">
        <v>701039.74</v>
      </c>
      <c r="F3761" s="3">
        <f t="shared" si="116"/>
        <v>177152.74229800003</v>
      </c>
      <c r="G3761" s="3">
        <f t="shared" si="117"/>
        <v>878192.48229800002</v>
      </c>
    </row>
    <row r="3762" spans="1:7" x14ac:dyDescent="0.3">
      <c r="A3762" t="s">
        <v>13039</v>
      </c>
      <c r="B3762" t="s">
        <v>7552</v>
      </c>
      <c r="C3762" t="s">
        <v>7553</v>
      </c>
      <c r="D3762" s="1" t="s">
        <v>38</v>
      </c>
      <c r="E3762" s="3">
        <v>609906.42000000004</v>
      </c>
      <c r="F3762" s="3">
        <f t="shared" si="116"/>
        <v>154123.35233400002</v>
      </c>
      <c r="G3762" s="3">
        <f t="shared" si="117"/>
        <v>764029.7723340001</v>
      </c>
    </row>
    <row r="3763" spans="1:7" x14ac:dyDescent="0.3">
      <c r="A3763" t="s">
        <v>13039</v>
      </c>
      <c r="B3763" t="s">
        <v>7554</v>
      </c>
      <c r="C3763" t="s">
        <v>7555</v>
      </c>
      <c r="D3763" s="1" t="s">
        <v>38</v>
      </c>
      <c r="E3763" s="3">
        <v>842942.9</v>
      </c>
      <c r="F3763" s="3">
        <f t="shared" si="116"/>
        <v>213011.67083000005</v>
      </c>
      <c r="G3763" s="3">
        <f t="shared" si="117"/>
        <v>1055954.5708300001</v>
      </c>
    </row>
    <row r="3764" spans="1:7" x14ac:dyDescent="0.3">
      <c r="A3764" t="s">
        <v>13039</v>
      </c>
      <c r="B3764" t="s">
        <v>7556</v>
      </c>
      <c r="C3764" t="s">
        <v>7557</v>
      </c>
      <c r="D3764" s="1" t="s">
        <v>38</v>
      </c>
      <c r="E3764" s="3">
        <v>836743.32</v>
      </c>
      <c r="F3764" s="3">
        <f t="shared" si="116"/>
        <v>211445.03696400003</v>
      </c>
      <c r="G3764" s="3">
        <f t="shared" si="117"/>
        <v>1048188.356964</v>
      </c>
    </row>
    <row r="3765" spans="1:7" x14ac:dyDescent="0.3">
      <c r="A3765" t="s">
        <v>13039</v>
      </c>
      <c r="B3765" t="s">
        <v>7558</v>
      </c>
      <c r="C3765" t="s">
        <v>7559</v>
      </c>
      <c r="D3765" s="1" t="s">
        <v>38</v>
      </c>
      <c r="E3765" s="3">
        <v>726011.62</v>
      </c>
      <c r="F3765" s="3">
        <f t="shared" si="116"/>
        <v>183463.13637400002</v>
      </c>
      <c r="G3765" s="3">
        <f t="shared" si="117"/>
        <v>909474.75637399999</v>
      </c>
    </row>
    <row r="3766" spans="1:7" x14ac:dyDescent="0.3">
      <c r="A3766" t="s">
        <v>13039</v>
      </c>
      <c r="B3766" t="s">
        <v>7560</v>
      </c>
      <c r="C3766" t="s">
        <v>7561</v>
      </c>
      <c r="D3766" s="1" t="s">
        <v>38</v>
      </c>
      <c r="E3766" s="3">
        <v>1004447.47</v>
      </c>
      <c r="F3766" s="3">
        <f t="shared" si="116"/>
        <v>253823.87566900003</v>
      </c>
      <c r="G3766" s="3">
        <f t="shared" si="117"/>
        <v>1258271.3456689999</v>
      </c>
    </row>
    <row r="3767" spans="1:7" x14ac:dyDescent="0.3">
      <c r="A3767" t="s">
        <v>13039</v>
      </c>
      <c r="B3767" t="s">
        <v>7562</v>
      </c>
      <c r="C3767" t="s">
        <v>7563</v>
      </c>
      <c r="D3767" s="1" t="s">
        <v>38</v>
      </c>
      <c r="E3767" s="3">
        <v>737003.55</v>
      </c>
      <c r="F3767" s="3">
        <f t="shared" si="116"/>
        <v>186240.79708500003</v>
      </c>
      <c r="G3767" s="3">
        <f t="shared" si="117"/>
        <v>923244.34708500002</v>
      </c>
    </row>
    <row r="3768" spans="1:7" x14ac:dyDescent="0.3">
      <c r="A3768" t="s">
        <v>13039</v>
      </c>
      <c r="B3768" t="s">
        <v>7564</v>
      </c>
      <c r="C3768" t="s">
        <v>7565</v>
      </c>
      <c r="D3768" s="1" t="s">
        <v>38</v>
      </c>
      <c r="E3768" s="3">
        <v>640998.87</v>
      </c>
      <c r="F3768" s="3">
        <f t="shared" si="116"/>
        <v>161980.41444900003</v>
      </c>
      <c r="G3768" s="3">
        <f t="shared" si="117"/>
        <v>802979.28444900003</v>
      </c>
    </row>
    <row r="3769" spans="1:7" x14ac:dyDescent="0.3">
      <c r="A3769" t="s">
        <v>13039</v>
      </c>
      <c r="B3769" t="s">
        <v>7566</v>
      </c>
      <c r="C3769" t="s">
        <v>7567</v>
      </c>
      <c r="D3769" s="1" t="s">
        <v>38</v>
      </c>
      <c r="E3769" s="3">
        <v>885754.18</v>
      </c>
      <c r="F3769" s="3">
        <f t="shared" si="116"/>
        <v>223830.08128600006</v>
      </c>
      <c r="G3769" s="3">
        <f t="shared" si="117"/>
        <v>1109584.261286</v>
      </c>
    </row>
    <row r="3770" spans="1:7" x14ac:dyDescent="0.3">
      <c r="A3770" t="s">
        <v>13039</v>
      </c>
      <c r="B3770" t="s">
        <v>7568</v>
      </c>
      <c r="C3770" t="s">
        <v>7569</v>
      </c>
      <c r="D3770" s="1" t="s">
        <v>38</v>
      </c>
      <c r="E3770" s="3">
        <v>608506.06999999995</v>
      </c>
      <c r="F3770" s="3">
        <f t="shared" si="116"/>
        <v>153769.483889</v>
      </c>
      <c r="G3770" s="3">
        <f t="shared" si="117"/>
        <v>762275.55388899997</v>
      </c>
    </row>
    <row r="3771" spans="1:7" x14ac:dyDescent="0.3">
      <c r="A3771" t="s">
        <v>13039</v>
      </c>
      <c r="B3771" t="s">
        <v>7570</v>
      </c>
      <c r="C3771" t="s">
        <v>7571</v>
      </c>
      <c r="D3771" s="1" t="s">
        <v>38</v>
      </c>
      <c r="E3771" s="3">
        <v>529418.06999999995</v>
      </c>
      <c r="F3771" s="3">
        <f t="shared" si="116"/>
        <v>133783.94628900001</v>
      </c>
      <c r="G3771" s="3">
        <f t="shared" si="117"/>
        <v>663202.01628899993</v>
      </c>
    </row>
    <row r="3772" spans="1:7" x14ac:dyDescent="0.3">
      <c r="A3772" t="s">
        <v>13039</v>
      </c>
      <c r="B3772" t="s">
        <v>7572</v>
      </c>
      <c r="C3772" t="s">
        <v>7573</v>
      </c>
      <c r="D3772" s="1" t="s">
        <v>38</v>
      </c>
      <c r="E3772" s="3">
        <v>730994.58</v>
      </c>
      <c r="F3772" s="3">
        <f t="shared" si="116"/>
        <v>184722.33036600001</v>
      </c>
      <c r="G3772" s="3">
        <f t="shared" si="117"/>
        <v>915716.91036599991</v>
      </c>
    </row>
    <row r="3773" spans="1:7" x14ac:dyDescent="0.3">
      <c r="A3773" t="s">
        <v>13039</v>
      </c>
      <c r="B3773" t="s">
        <v>7574</v>
      </c>
      <c r="C3773" t="s">
        <v>7575</v>
      </c>
      <c r="D3773" s="1" t="s">
        <v>38</v>
      </c>
      <c r="E3773" s="3">
        <v>770993.14</v>
      </c>
      <c r="F3773" s="3">
        <f t="shared" si="116"/>
        <v>194829.96647800002</v>
      </c>
      <c r="G3773" s="3">
        <f t="shared" si="117"/>
        <v>965823.10647800006</v>
      </c>
    </row>
    <row r="3774" spans="1:7" x14ac:dyDescent="0.3">
      <c r="A3774" t="s">
        <v>13039</v>
      </c>
      <c r="B3774" t="s">
        <v>7576</v>
      </c>
      <c r="C3774" t="s">
        <v>7577</v>
      </c>
      <c r="D3774" s="1" t="s">
        <v>38</v>
      </c>
      <c r="E3774" s="3">
        <v>669669.57999999996</v>
      </c>
      <c r="F3774" s="3">
        <f t="shared" si="116"/>
        <v>169225.50286600002</v>
      </c>
      <c r="G3774" s="3">
        <f t="shared" si="117"/>
        <v>838895.08286600001</v>
      </c>
    </row>
    <row r="3775" spans="1:7" x14ac:dyDescent="0.3">
      <c r="A3775" t="s">
        <v>13039</v>
      </c>
      <c r="B3775" t="s">
        <v>7578</v>
      </c>
      <c r="C3775" t="s">
        <v>7579</v>
      </c>
      <c r="D3775" s="1" t="s">
        <v>38</v>
      </c>
      <c r="E3775" s="3">
        <v>927032.92</v>
      </c>
      <c r="F3775" s="3">
        <f t="shared" si="116"/>
        <v>234261.21888400003</v>
      </c>
      <c r="G3775" s="3">
        <f t="shared" si="117"/>
        <v>1161294.138884</v>
      </c>
    </row>
    <row r="3776" spans="1:7" x14ac:dyDescent="0.3">
      <c r="A3776" t="s">
        <v>13039</v>
      </c>
      <c r="B3776" t="s">
        <v>7580</v>
      </c>
      <c r="C3776" t="s">
        <v>7581</v>
      </c>
      <c r="D3776" s="1" t="s">
        <v>38</v>
      </c>
      <c r="E3776" s="3">
        <v>918750.29</v>
      </c>
      <c r="F3776" s="3">
        <f t="shared" si="116"/>
        <v>232168.19828300003</v>
      </c>
      <c r="G3776" s="3">
        <f t="shared" si="117"/>
        <v>1150918.488283</v>
      </c>
    </row>
    <row r="3777" spans="1:7" x14ac:dyDescent="0.3">
      <c r="A3777" t="s">
        <v>13039</v>
      </c>
      <c r="B3777" t="s">
        <v>7582</v>
      </c>
      <c r="C3777" t="s">
        <v>7583</v>
      </c>
      <c r="D3777" s="1" t="s">
        <v>38</v>
      </c>
      <c r="E3777" s="3">
        <v>799721.21</v>
      </c>
      <c r="F3777" s="3">
        <f t="shared" si="116"/>
        <v>202089.54976700002</v>
      </c>
      <c r="G3777" s="3">
        <f t="shared" si="117"/>
        <v>1001810.759767</v>
      </c>
    </row>
    <row r="3778" spans="1:7" x14ac:dyDescent="0.3">
      <c r="A3778" t="s">
        <v>13039</v>
      </c>
      <c r="B3778" t="s">
        <v>7584</v>
      </c>
      <c r="C3778" t="s">
        <v>7585</v>
      </c>
      <c r="D3778" s="1" t="s">
        <v>38</v>
      </c>
      <c r="E3778" s="3">
        <v>1103396.6599999999</v>
      </c>
      <c r="F3778" s="3">
        <f t="shared" si="116"/>
        <v>278828.33598199999</v>
      </c>
      <c r="G3778" s="3">
        <f t="shared" si="117"/>
        <v>1382224.9959819999</v>
      </c>
    </row>
    <row r="3779" spans="1:7" x14ac:dyDescent="0.3">
      <c r="A3779" t="s">
        <v>13039</v>
      </c>
      <c r="B3779" t="s">
        <v>7586</v>
      </c>
      <c r="C3779" t="s">
        <v>7587</v>
      </c>
      <c r="D3779" s="1" t="s">
        <v>38</v>
      </c>
      <c r="E3779" s="3">
        <v>811860.67</v>
      </c>
      <c r="F3779" s="3">
        <f t="shared" si="116"/>
        <v>205157.19130900005</v>
      </c>
      <c r="G3779" s="3">
        <f t="shared" si="117"/>
        <v>1017017.8613090001</v>
      </c>
    </row>
    <row r="3780" spans="1:7" x14ac:dyDescent="0.3">
      <c r="A3780" t="s">
        <v>13039</v>
      </c>
      <c r="B3780" t="s">
        <v>7588</v>
      </c>
      <c r="C3780" t="s">
        <v>7589</v>
      </c>
      <c r="D3780" s="1" t="s">
        <v>38</v>
      </c>
      <c r="E3780" s="3">
        <v>704998.88</v>
      </c>
      <c r="F3780" s="3">
        <f t="shared" si="116"/>
        <v>178153.21697600003</v>
      </c>
      <c r="G3780" s="3">
        <f t="shared" si="117"/>
        <v>883152.096976</v>
      </c>
    </row>
    <row r="3781" spans="1:7" x14ac:dyDescent="0.3">
      <c r="A3781" t="s">
        <v>13039</v>
      </c>
      <c r="B3781" t="s">
        <v>7590</v>
      </c>
      <c r="C3781" t="s">
        <v>7591</v>
      </c>
      <c r="D3781" s="1" t="s">
        <v>38</v>
      </c>
      <c r="E3781" s="3">
        <v>974272.53</v>
      </c>
      <c r="F3781" s="3">
        <f t="shared" si="116"/>
        <v>246198.66833100005</v>
      </c>
      <c r="G3781" s="3">
        <f t="shared" si="117"/>
        <v>1220471.1983310001</v>
      </c>
    </row>
    <row r="3782" spans="1:7" x14ac:dyDescent="0.3">
      <c r="A3782" t="s">
        <v>13039</v>
      </c>
      <c r="B3782" t="s">
        <v>7592</v>
      </c>
      <c r="C3782" t="s">
        <v>7593</v>
      </c>
      <c r="D3782" s="1" t="s">
        <v>38</v>
      </c>
      <c r="E3782" s="3">
        <v>669228.76</v>
      </c>
      <c r="F3782" s="3">
        <f t="shared" si="116"/>
        <v>169114.10765200004</v>
      </c>
      <c r="G3782" s="3">
        <f t="shared" si="117"/>
        <v>838342.86765200004</v>
      </c>
    </row>
    <row r="3783" spans="1:7" x14ac:dyDescent="0.3">
      <c r="A3783" t="s">
        <v>13039</v>
      </c>
      <c r="B3783" t="s">
        <v>7594</v>
      </c>
      <c r="C3783" t="s">
        <v>7595</v>
      </c>
      <c r="D3783" s="1" t="s">
        <v>38</v>
      </c>
      <c r="E3783" s="3">
        <v>583085.73</v>
      </c>
      <c r="F3783" s="3">
        <f t="shared" ref="F3783:F3846" si="118">+E3783*$F$4</f>
        <v>147345.76397100001</v>
      </c>
      <c r="G3783" s="3">
        <f t="shared" ref="G3783:G3846" si="119">+E3783+F3783</f>
        <v>730431.49397099996</v>
      </c>
    </row>
    <row r="3784" spans="1:7" x14ac:dyDescent="0.3">
      <c r="A3784" t="s">
        <v>13039</v>
      </c>
      <c r="B3784" t="s">
        <v>7596</v>
      </c>
      <c r="C3784" t="s">
        <v>7597</v>
      </c>
      <c r="D3784" s="1" t="s">
        <v>38</v>
      </c>
      <c r="E3784" s="3">
        <v>805588.33</v>
      </c>
      <c r="F3784" s="3">
        <f t="shared" si="118"/>
        <v>203572.17099100002</v>
      </c>
      <c r="G3784" s="3">
        <f t="shared" si="119"/>
        <v>1009160.500991</v>
      </c>
    </row>
    <row r="3785" spans="1:7" x14ac:dyDescent="0.3">
      <c r="A3785" t="s">
        <v>13039</v>
      </c>
      <c r="B3785" t="s">
        <v>7598</v>
      </c>
      <c r="C3785" t="s">
        <v>7599</v>
      </c>
      <c r="D3785" s="1" t="s">
        <v>38</v>
      </c>
      <c r="E3785" s="3">
        <v>849615.67</v>
      </c>
      <c r="F3785" s="3">
        <f t="shared" si="118"/>
        <v>214697.87980900003</v>
      </c>
      <c r="G3785" s="3">
        <f t="shared" si="119"/>
        <v>1064313.549809</v>
      </c>
    </row>
    <row r="3786" spans="1:7" x14ac:dyDescent="0.3">
      <c r="A3786" t="s">
        <v>13039</v>
      </c>
      <c r="B3786" t="s">
        <v>7600</v>
      </c>
      <c r="C3786" t="s">
        <v>7601</v>
      </c>
      <c r="D3786" s="1" t="s">
        <v>38</v>
      </c>
      <c r="E3786" s="3">
        <v>736517.79</v>
      </c>
      <c r="F3786" s="3">
        <f t="shared" si="118"/>
        <v>186118.04553300003</v>
      </c>
      <c r="G3786" s="3">
        <f t="shared" si="119"/>
        <v>922635.83553300006</v>
      </c>
    </row>
    <row r="3787" spans="1:7" x14ac:dyDescent="0.3">
      <c r="A3787" t="s">
        <v>13039</v>
      </c>
      <c r="B3787" t="s">
        <v>7602</v>
      </c>
      <c r="C3787" t="s">
        <v>7603</v>
      </c>
      <c r="D3787" s="1" t="s">
        <v>38</v>
      </c>
      <c r="E3787" s="3">
        <v>1018150.86</v>
      </c>
      <c r="F3787" s="3">
        <f t="shared" si="118"/>
        <v>257286.72232200005</v>
      </c>
      <c r="G3787" s="3">
        <f t="shared" si="119"/>
        <v>1275437.5823220001</v>
      </c>
    </row>
    <row r="3788" spans="1:7" x14ac:dyDescent="0.3">
      <c r="A3788" t="s">
        <v>13039</v>
      </c>
      <c r="B3788" t="s">
        <v>7604</v>
      </c>
      <c r="C3788" t="s">
        <v>7605</v>
      </c>
      <c r="D3788" s="1" t="s">
        <v>38</v>
      </c>
      <c r="E3788" s="3">
        <v>1011707.15</v>
      </c>
      <c r="F3788" s="3">
        <f t="shared" si="118"/>
        <v>255658.39680500005</v>
      </c>
      <c r="G3788" s="3">
        <f t="shared" si="119"/>
        <v>1267365.5468050002</v>
      </c>
    </row>
    <row r="3789" spans="1:7" x14ac:dyDescent="0.3">
      <c r="A3789" t="s">
        <v>13039</v>
      </c>
      <c r="B3789" t="s">
        <v>7606</v>
      </c>
      <c r="C3789" t="s">
        <v>7607</v>
      </c>
      <c r="D3789" s="1" t="s">
        <v>38</v>
      </c>
      <c r="E3789" s="3">
        <v>879451.78</v>
      </c>
      <c r="F3789" s="3">
        <f t="shared" si="118"/>
        <v>222237.46480600003</v>
      </c>
      <c r="G3789" s="3">
        <f t="shared" si="119"/>
        <v>1101689.244806</v>
      </c>
    </row>
    <row r="3790" spans="1:7" x14ac:dyDescent="0.3">
      <c r="A3790" t="s">
        <v>13039</v>
      </c>
      <c r="B3790" t="s">
        <v>7608</v>
      </c>
      <c r="C3790" t="s">
        <v>7609</v>
      </c>
      <c r="D3790" s="1" t="s">
        <v>38</v>
      </c>
      <c r="E3790" s="3">
        <v>1217231.95</v>
      </c>
      <c r="F3790" s="3">
        <f t="shared" si="118"/>
        <v>307594.51376500004</v>
      </c>
      <c r="G3790" s="3">
        <f t="shared" si="119"/>
        <v>1524826.463765</v>
      </c>
    </row>
    <row r="3791" spans="1:7" x14ac:dyDescent="0.3">
      <c r="A3791" t="s">
        <v>13039</v>
      </c>
      <c r="B3791" t="s">
        <v>7610</v>
      </c>
      <c r="C3791" t="s">
        <v>7611</v>
      </c>
      <c r="D3791" s="1" t="s">
        <v>38</v>
      </c>
      <c r="E3791" s="3">
        <v>892844.52</v>
      </c>
      <c r="F3791" s="3">
        <f t="shared" si="118"/>
        <v>225621.81020400004</v>
      </c>
      <c r="G3791" s="3">
        <f t="shared" si="119"/>
        <v>1118466.330204</v>
      </c>
    </row>
    <row r="3792" spans="1:7" x14ac:dyDescent="0.3">
      <c r="A3792" t="s">
        <v>13039</v>
      </c>
      <c r="B3792" t="s">
        <v>7612</v>
      </c>
      <c r="C3792" t="s">
        <v>7613</v>
      </c>
      <c r="D3792" s="1" t="s">
        <v>38</v>
      </c>
      <c r="E3792" s="3">
        <v>775370.92</v>
      </c>
      <c r="F3792" s="3">
        <f t="shared" si="118"/>
        <v>195936.23148400005</v>
      </c>
      <c r="G3792" s="3">
        <f t="shared" si="119"/>
        <v>971307.15148400003</v>
      </c>
    </row>
    <row r="3793" spans="1:7" x14ac:dyDescent="0.3">
      <c r="A3793" t="s">
        <v>13039</v>
      </c>
      <c r="B3793" t="s">
        <v>7614</v>
      </c>
      <c r="C3793" t="s">
        <v>7615</v>
      </c>
      <c r="D3793" s="1" t="s">
        <v>38</v>
      </c>
      <c r="E3793" s="3">
        <v>1071582.3700000001</v>
      </c>
      <c r="F3793" s="3">
        <f t="shared" si="118"/>
        <v>270788.86489900009</v>
      </c>
      <c r="G3793" s="3">
        <f t="shared" si="119"/>
        <v>1342371.2348990003</v>
      </c>
    </row>
    <row r="3794" spans="1:7" x14ac:dyDescent="0.3">
      <c r="A3794" t="s">
        <v>13039</v>
      </c>
      <c r="B3794" t="s">
        <v>7616</v>
      </c>
      <c r="C3794" t="s">
        <v>7617</v>
      </c>
      <c r="D3794" s="1" t="s">
        <v>38</v>
      </c>
      <c r="E3794" s="3">
        <v>1019040.65</v>
      </c>
      <c r="F3794" s="3">
        <f t="shared" si="118"/>
        <v>257511.57225500004</v>
      </c>
      <c r="G3794" s="3">
        <f t="shared" si="119"/>
        <v>1276552.2222550001</v>
      </c>
    </row>
    <row r="3795" spans="1:7" x14ac:dyDescent="0.3">
      <c r="A3795" t="s">
        <v>13039</v>
      </c>
      <c r="B3795" t="s">
        <v>7618</v>
      </c>
      <c r="C3795" t="s">
        <v>7619</v>
      </c>
      <c r="D3795" s="1" t="s">
        <v>38</v>
      </c>
      <c r="E3795" s="3">
        <v>886469.5</v>
      </c>
      <c r="F3795" s="3">
        <f t="shared" si="118"/>
        <v>224010.84265000004</v>
      </c>
      <c r="G3795" s="3">
        <f t="shared" si="119"/>
        <v>1110480.34265</v>
      </c>
    </row>
    <row r="3796" spans="1:7" x14ac:dyDescent="0.3">
      <c r="A3796" t="s">
        <v>13039</v>
      </c>
      <c r="B3796" t="s">
        <v>7620</v>
      </c>
      <c r="C3796" t="s">
        <v>7621</v>
      </c>
      <c r="D3796" s="1" t="s">
        <v>38</v>
      </c>
      <c r="E3796" s="3">
        <v>1228228.44</v>
      </c>
      <c r="F3796" s="3">
        <f t="shared" si="118"/>
        <v>310373.32678800001</v>
      </c>
      <c r="G3796" s="3">
        <f t="shared" si="119"/>
        <v>1538601.766788</v>
      </c>
    </row>
    <row r="3797" spans="1:7" x14ac:dyDescent="0.3">
      <c r="A3797" t="s">
        <v>13039</v>
      </c>
      <c r="B3797" t="s">
        <v>7622</v>
      </c>
      <c r="C3797" t="s">
        <v>7623</v>
      </c>
      <c r="D3797" s="1" t="s">
        <v>38</v>
      </c>
      <c r="E3797" s="3">
        <v>1215814.3899999999</v>
      </c>
      <c r="F3797" s="3">
        <f t="shared" si="118"/>
        <v>307236.29635300004</v>
      </c>
      <c r="G3797" s="3">
        <f t="shared" si="119"/>
        <v>1523050.6863529999</v>
      </c>
    </row>
    <row r="3798" spans="1:7" x14ac:dyDescent="0.3">
      <c r="A3798" t="s">
        <v>13039</v>
      </c>
      <c r="B3798" t="s">
        <v>7624</v>
      </c>
      <c r="C3798" t="s">
        <v>7625</v>
      </c>
      <c r="D3798" s="1" t="s">
        <v>38</v>
      </c>
      <c r="E3798" s="3">
        <v>1055096.5</v>
      </c>
      <c r="F3798" s="3">
        <f t="shared" si="118"/>
        <v>266622.88555000006</v>
      </c>
      <c r="G3798" s="3">
        <f t="shared" si="119"/>
        <v>1321719.38555</v>
      </c>
    </row>
    <row r="3799" spans="1:7" x14ac:dyDescent="0.3">
      <c r="A3799" t="s">
        <v>13039</v>
      </c>
      <c r="B3799" t="s">
        <v>7626</v>
      </c>
      <c r="C3799" t="s">
        <v>7627</v>
      </c>
      <c r="D3799" s="1" t="s">
        <v>38</v>
      </c>
      <c r="E3799" s="3">
        <v>1460262.72</v>
      </c>
      <c r="F3799" s="3">
        <f t="shared" si="118"/>
        <v>369008.38934400002</v>
      </c>
      <c r="G3799" s="3">
        <f t="shared" si="119"/>
        <v>1829271.109344</v>
      </c>
    </row>
    <row r="3800" spans="1:7" x14ac:dyDescent="0.3">
      <c r="A3800" t="s">
        <v>13039</v>
      </c>
      <c r="B3800" t="s">
        <v>7628</v>
      </c>
      <c r="C3800" t="s">
        <v>7629</v>
      </c>
      <c r="D3800" s="1" t="s">
        <v>38</v>
      </c>
      <c r="E3800" s="3">
        <v>1071323.7</v>
      </c>
      <c r="F3800" s="3">
        <f t="shared" si="118"/>
        <v>270723.49899000005</v>
      </c>
      <c r="G3800" s="3">
        <f t="shared" si="119"/>
        <v>1342047.1989899999</v>
      </c>
    </row>
    <row r="3801" spans="1:7" x14ac:dyDescent="0.3">
      <c r="A3801" t="s">
        <v>13039</v>
      </c>
      <c r="B3801" t="s">
        <v>7630</v>
      </c>
      <c r="C3801" t="s">
        <v>7631</v>
      </c>
      <c r="D3801" s="1" t="s">
        <v>38</v>
      </c>
      <c r="E3801" s="3">
        <v>931613.78</v>
      </c>
      <c r="F3801" s="3">
        <f t="shared" si="118"/>
        <v>235418.80220600005</v>
      </c>
      <c r="G3801" s="3">
        <f t="shared" si="119"/>
        <v>1167032.5822060001</v>
      </c>
    </row>
    <row r="3802" spans="1:7" x14ac:dyDescent="0.3">
      <c r="A3802" t="s">
        <v>13039</v>
      </c>
      <c r="B3802" t="s">
        <v>7632</v>
      </c>
      <c r="C3802" t="s">
        <v>7633</v>
      </c>
      <c r="D3802" s="1" t="s">
        <v>38</v>
      </c>
      <c r="E3802" s="3">
        <v>1289747.8500000001</v>
      </c>
      <c r="F3802" s="3">
        <f t="shared" si="118"/>
        <v>325919.28169500007</v>
      </c>
      <c r="G3802" s="3">
        <f t="shared" si="119"/>
        <v>1615667.1316950002</v>
      </c>
    </row>
    <row r="3803" spans="1:7" x14ac:dyDescent="0.3">
      <c r="A3803" t="s">
        <v>13039</v>
      </c>
      <c r="B3803" t="s">
        <v>7634</v>
      </c>
      <c r="C3803" t="s">
        <v>7635</v>
      </c>
      <c r="D3803" s="1" t="s">
        <v>38</v>
      </c>
      <c r="E3803" s="3">
        <v>503045.01</v>
      </c>
      <c r="F3803" s="3">
        <f t="shared" si="118"/>
        <v>127119.47402700002</v>
      </c>
      <c r="G3803" s="3">
        <f t="shared" si="119"/>
        <v>630164.48402700003</v>
      </c>
    </row>
    <row r="3804" spans="1:7" x14ac:dyDescent="0.3">
      <c r="A3804" t="s">
        <v>13039</v>
      </c>
      <c r="B3804" t="s">
        <v>7636</v>
      </c>
      <c r="C3804" t="s">
        <v>7637</v>
      </c>
      <c r="D3804" s="1" t="s">
        <v>38</v>
      </c>
      <c r="E3804" s="3">
        <v>437750.97</v>
      </c>
      <c r="F3804" s="3">
        <f t="shared" si="118"/>
        <v>110619.670119</v>
      </c>
      <c r="G3804" s="3">
        <f t="shared" si="119"/>
        <v>548370.64011899999</v>
      </c>
    </row>
    <row r="3805" spans="1:7" x14ac:dyDescent="0.3">
      <c r="A3805" t="s">
        <v>13039</v>
      </c>
      <c r="B3805" t="s">
        <v>7638</v>
      </c>
      <c r="C3805" t="s">
        <v>7639</v>
      </c>
      <c r="D3805" s="1" t="s">
        <v>38</v>
      </c>
      <c r="E3805" s="3">
        <v>604261.54</v>
      </c>
      <c r="F3805" s="3">
        <f t="shared" si="118"/>
        <v>152696.89115800004</v>
      </c>
      <c r="G3805" s="3">
        <f t="shared" si="119"/>
        <v>756958.43115800014</v>
      </c>
    </row>
    <row r="3806" spans="1:7" x14ac:dyDescent="0.3">
      <c r="A3806" t="s">
        <v>13039</v>
      </c>
      <c r="B3806" t="s">
        <v>7640</v>
      </c>
      <c r="C3806" t="s">
        <v>7641</v>
      </c>
      <c r="D3806" s="1" t="s">
        <v>38</v>
      </c>
      <c r="E3806" s="3">
        <v>637368.31000000006</v>
      </c>
      <c r="F3806" s="3">
        <f t="shared" si="118"/>
        <v>161062.97193700002</v>
      </c>
      <c r="G3806" s="3">
        <f t="shared" si="119"/>
        <v>798431.28193700011</v>
      </c>
    </row>
    <row r="3807" spans="1:7" x14ac:dyDescent="0.3">
      <c r="A3807" t="s">
        <v>13039</v>
      </c>
      <c r="B3807" t="s">
        <v>7642</v>
      </c>
      <c r="C3807" t="s">
        <v>7643</v>
      </c>
      <c r="D3807" s="1" t="s">
        <v>38</v>
      </c>
      <c r="E3807" s="3">
        <v>554614.06999999995</v>
      </c>
      <c r="F3807" s="3">
        <f t="shared" si="118"/>
        <v>140150.975489</v>
      </c>
      <c r="G3807" s="3">
        <f t="shared" si="119"/>
        <v>694765.04548899992</v>
      </c>
    </row>
    <row r="3808" spans="1:7" x14ac:dyDescent="0.3">
      <c r="A3808" t="s">
        <v>13039</v>
      </c>
      <c r="B3808" t="s">
        <v>7644</v>
      </c>
      <c r="C3808" t="s">
        <v>7645</v>
      </c>
      <c r="D3808" s="1" t="s">
        <v>38</v>
      </c>
      <c r="E3808" s="3">
        <v>764804.54</v>
      </c>
      <c r="F3808" s="3">
        <f t="shared" si="118"/>
        <v>193266.10725800003</v>
      </c>
      <c r="G3808" s="3">
        <f t="shared" si="119"/>
        <v>958070.6472580001</v>
      </c>
    </row>
    <row r="3809" spans="1:7" x14ac:dyDescent="0.3">
      <c r="A3809" t="s">
        <v>13039</v>
      </c>
      <c r="B3809" t="s">
        <v>7646</v>
      </c>
      <c r="C3809" t="s">
        <v>7647</v>
      </c>
      <c r="D3809" s="1" t="s">
        <v>427</v>
      </c>
      <c r="E3809" s="3">
        <v>202.14</v>
      </c>
      <c r="F3809" s="3">
        <f t="shared" si="118"/>
        <v>51.080778000000002</v>
      </c>
      <c r="G3809" s="3">
        <f t="shared" si="119"/>
        <v>253.220778</v>
      </c>
    </row>
    <row r="3810" spans="1:7" x14ac:dyDescent="0.3">
      <c r="A3810" t="s">
        <v>13039</v>
      </c>
      <c r="B3810" t="s">
        <v>7648</v>
      </c>
      <c r="C3810" t="s">
        <v>7649</v>
      </c>
      <c r="D3810" s="1" t="s">
        <v>427</v>
      </c>
      <c r="E3810" s="3">
        <v>198.13</v>
      </c>
      <c r="F3810" s="3">
        <f t="shared" si="118"/>
        <v>50.067451000000005</v>
      </c>
      <c r="G3810" s="3">
        <f t="shared" si="119"/>
        <v>248.197451</v>
      </c>
    </row>
    <row r="3811" spans="1:7" x14ac:dyDescent="0.3">
      <c r="A3811" t="s">
        <v>13039</v>
      </c>
      <c r="B3811" t="s">
        <v>7650</v>
      </c>
      <c r="C3811" t="s">
        <v>7651</v>
      </c>
      <c r="D3811" s="1" t="s">
        <v>38</v>
      </c>
      <c r="E3811" s="3">
        <v>268.75</v>
      </c>
      <c r="F3811" s="3">
        <f t="shared" si="118"/>
        <v>67.913125000000008</v>
      </c>
      <c r="G3811" s="3">
        <f t="shared" si="119"/>
        <v>336.66312500000004</v>
      </c>
    </row>
    <row r="3812" spans="1:7" x14ac:dyDescent="0.3">
      <c r="A3812" t="s">
        <v>13039</v>
      </c>
      <c r="B3812" t="s">
        <v>7652</v>
      </c>
      <c r="C3812" t="s">
        <v>7653</v>
      </c>
      <c r="D3812" s="1" t="s">
        <v>38</v>
      </c>
      <c r="E3812" s="3">
        <v>184.64</v>
      </c>
      <c r="F3812" s="3">
        <f t="shared" si="118"/>
        <v>46.658528000000004</v>
      </c>
      <c r="G3812" s="3">
        <f t="shared" si="119"/>
        <v>231.29852799999998</v>
      </c>
    </row>
    <row r="3813" spans="1:7" x14ac:dyDescent="0.3">
      <c r="A3813" t="s">
        <v>13039</v>
      </c>
      <c r="B3813" t="s">
        <v>7654</v>
      </c>
      <c r="C3813" t="s">
        <v>7655</v>
      </c>
      <c r="D3813" s="1" t="s">
        <v>38</v>
      </c>
      <c r="E3813" s="3">
        <v>409.99</v>
      </c>
      <c r="F3813" s="3">
        <f t="shared" si="118"/>
        <v>103.60447300000001</v>
      </c>
      <c r="G3813" s="3">
        <f t="shared" si="119"/>
        <v>513.59447299999999</v>
      </c>
    </row>
    <row r="3814" spans="1:7" x14ac:dyDescent="0.3">
      <c r="A3814" t="s">
        <v>13039</v>
      </c>
      <c r="B3814" t="s">
        <v>7656</v>
      </c>
      <c r="C3814" t="s">
        <v>7657</v>
      </c>
      <c r="D3814" s="1" t="s">
        <v>38</v>
      </c>
      <c r="E3814" s="3">
        <v>306.67</v>
      </c>
      <c r="F3814" s="3">
        <f t="shared" si="118"/>
        <v>77.495509000000013</v>
      </c>
      <c r="G3814" s="3">
        <f t="shared" si="119"/>
        <v>384.16550900000004</v>
      </c>
    </row>
    <row r="3815" spans="1:7" x14ac:dyDescent="0.3">
      <c r="A3815" t="s">
        <v>13039</v>
      </c>
      <c r="B3815" t="s">
        <v>7658</v>
      </c>
      <c r="C3815" t="s">
        <v>7659</v>
      </c>
      <c r="D3815" s="1" t="s">
        <v>38</v>
      </c>
      <c r="E3815" s="3">
        <v>210.72</v>
      </c>
      <c r="F3815" s="3">
        <f t="shared" si="118"/>
        <v>53.248944000000009</v>
      </c>
      <c r="G3815" s="3">
        <f t="shared" si="119"/>
        <v>263.96894400000002</v>
      </c>
    </row>
    <row r="3816" spans="1:7" x14ac:dyDescent="0.3">
      <c r="A3816" t="s">
        <v>13039</v>
      </c>
      <c r="B3816" t="s">
        <v>7660</v>
      </c>
      <c r="C3816" t="s">
        <v>7661</v>
      </c>
      <c r="D3816" s="1" t="s">
        <v>38</v>
      </c>
      <c r="E3816" s="3">
        <v>468.31</v>
      </c>
      <c r="F3816" s="3">
        <f t="shared" si="118"/>
        <v>118.34193700000002</v>
      </c>
      <c r="G3816" s="3">
        <f t="shared" si="119"/>
        <v>586.65193699999998</v>
      </c>
    </row>
    <row r="3817" spans="1:7" x14ac:dyDescent="0.3">
      <c r="A3817" t="s">
        <v>13039</v>
      </c>
      <c r="B3817" t="s">
        <v>7662</v>
      </c>
      <c r="C3817" t="s">
        <v>7663</v>
      </c>
      <c r="D3817" s="1" t="s">
        <v>38</v>
      </c>
      <c r="E3817" s="3">
        <v>356.19</v>
      </c>
      <c r="F3817" s="3">
        <f t="shared" si="118"/>
        <v>90.009213000000017</v>
      </c>
      <c r="G3817" s="3">
        <f t="shared" si="119"/>
        <v>446.19921299999999</v>
      </c>
    </row>
    <row r="3818" spans="1:7" x14ac:dyDescent="0.3">
      <c r="A3818" t="s">
        <v>13039</v>
      </c>
      <c r="B3818" t="s">
        <v>7664</v>
      </c>
      <c r="C3818" t="s">
        <v>7665</v>
      </c>
      <c r="D3818" s="1" t="s">
        <v>38</v>
      </c>
      <c r="E3818" s="3">
        <v>248.59</v>
      </c>
      <c r="F3818" s="3">
        <f t="shared" si="118"/>
        <v>62.81869300000001</v>
      </c>
      <c r="G3818" s="3">
        <f t="shared" si="119"/>
        <v>311.40869300000003</v>
      </c>
    </row>
    <row r="3819" spans="1:7" x14ac:dyDescent="0.3">
      <c r="A3819" t="s">
        <v>13039</v>
      </c>
      <c r="B3819" t="s">
        <v>7666</v>
      </c>
      <c r="C3819" t="s">
        <v>7667</v>
      </c>
      <c r="D3819" s="1" t="s">
        <v>38</v>
      </c>
      <c r="E3819" s="3">
        <v>544</v>
      </c>
      <c r="F3819" s="3">
        <f t="shared" si="118"/>
        <v>137.46880000000002</v>
      </c>
      <c r="G3819" s="3">
        <f t="shared" si="119"/>
        <v>681.46879999999999</v>
      </c>
    </row>
    <row r="3820" spans="1:7" x14ac:dyDescent="0.3">
      <c r="A3820" t="s">
        <v>13039</v>
      </c>
      <c r="B3820" t="s">
        <v>7668</v>
      </c>
      <c r="C3820" t="s">
        <v>7669</v>
      </c>
      <c r="D3820" s="1" t="s">
        <v>38</v>
      </c>
      <c r="E3820" s="3">
        <v>469.96</v>
      </c>
      <c r="F3820" s="3">
        <f t="shared" si="118"/>
        <v>118.75889200000002</v>
      </c>
      <c r="G3820" s="3">
        <f t="shared" si="119"/>
        <v>588.71889199999998</v>
      </c>
    </row>
    <row r="3821" spans="1:7" x14ac:dyDescent="0.3">
      <c r="A3821" t="s">
        <v>13039</v>
      </c>
      <c r="B3821" t="s">
        <v>7670</v>
      </c>
      <c r="C3821" t="s">
        <v>7671</v>
      </c>
      <c r="D3821" s="1" t="s">
        <v>38</v>
      </c>
      <c r="E3821" s="3">
        <v>306.67</v>
      </c>
      <c r="F3821" s="3">
        <f t="shared" si="118"/>
        <v>77.495509000000013</v>
      </c>
      <c r="G3821" s="3">
        <f t="shared" si="119"/>
        <v>384.16550900000004</v>
      </c>
    </row>
    <row r="3822" spans="1:7" x14ac:dyDescent="0.3">
      <c r="A3822" t="s">
        <v>13039</v>
      </c>
      <c r="B3822" t="s">
        <v>7672</v>
      </c>
      <c r="C3822" t="s">
        <v>7673</v>
      </c>
      <c r="D3822" s="1" t="s">
        <v>38</v>
      </c>
      <c r="E3822" s="3">
        <v>715.76</v>
      </c>
      <c r="F3822" s="3">
        <f t="shared" si="118"/>
        <v>180.87255200000001</v>
      </c>
      <c r="G3822" s="3">
        <f t="shared" si="119"/>
        <v>896.63255200000003</v>
      </c>
    </row>
    <row r="3823" spans="1:7" x14ac:dyDescent="0.3">
      <c r="A3823" t="s">
        <v>13039</v>
      </c>
      <c r="B3823" t="s">
        <v>7674</v>
      </c>
      <c r="C3823" t="s">
        <v>7675</v>
      </c>
      <c r="D3823" s="1" t="s">
        <v>38</v>
      </c>
      <c r="E3823" s="3">
        <v>215.68</v>
      </c>
      <c r="F3823" s="3">
        <f t="shared" si="118"/>
        <v>54.502336000000007</v>
      </c>
      <c r="G3823" s="3">
        <f t="shared" si="119"/>
        <v>270.18233600000002</v>
      </c>
    </row>
    <row r="3824" spans="1:7" x14ac:dyDescent="0.3">
      <c r="A3824" t="s">
        <v>13039</v>
      </c>
      <c r="B3824" t="s">
        <v>7676</v>
      </c>
      <c r="C3824" t="s">
        <v>7677</v>
      </c>
      <c r="D3824" s="1" t="s">
        <v>38</v>
      </c>
      <c r="E3824" s="3">
        <v>157.75</v>
      </c>
      <c r="F3824" s="3">
        <f t="shared" si="118"/>
        <v>39.863425000000007</v>
      </c>
      <c r="G3824" s="3">
        <f t="shared" si="119"/>
        <v>197.61342500000001</v>
      </c>
    </row>
    <row r="3825" spans="1:7" x14ac:dyDescent="0.3">
      <c r="A3825" t="s">
        <v>13039</v>
      </c>
      <c r="B3825" t="s">
        <v>7678</v>
      </c>
      <c r="C3825" t="s">
        <v>7679</v>
      </c>
      <c r="D3825" s="1" t="s">
        <v>38</v>
      </c>
      <c r="E3825" s="3">
        <v>329.38</v>
      </c>
      <c r="F3825" s="3">
        <f t="shared" si="118"/>
        <v>83.23432600000001</v>
      </c>
      <c r="G3825" s="3">
        <f t="shared" si="119"/>
        <v>412.61432600000001</v>
      </c>
    </row>
    <row r="3826" spans="1:7" x14ac:dyDescent="0.3">
      <c r="A3826" t="s">
        <v>13039</v>
      </c>
      <c r="B3826" t="s">
        <v>7680</v>
      </c>
      <c r="C3826" t="s">
        <v>7681</v>
      </c>
      <c r="D3826" s="1" t="s">
        <v>38</v>
      </c>
      <c r="E3826" s="3">
        <v>540.12</v>
      </c>
      <c r="F3826" s="3">
        <f t="shared" si="118"/>
        <v>136.48832400000003</v>
      </c>
      <c r="G3826" s="3">
        <f t="shared" si="119"/>
        <v>676.60832400000004</v>
      </c>
    </row>
    <row r="3827" spans="1:7" x14ac:dyDescent="0.3">
      <c r="A3827" t="s">
        <v>13039</v>
      </c>
      <c r="B3827" t="s">
        <v>7682</v>
      </c>
      <c r="C3827" t="s">
        <v>7683</v>
      </c>
      <c r="D3827" s="1" t="s">
        <v>38</v>
      </c>
      <c r="E3827" s="3">
        <v>368.76</v>
      </c>
      <c r="F3827" s="3">
        <f t="shared" si="118"/>
        <v>93.185652000000005</v>
      </c>
      <c r="G3827" s="3">
        <f t="shared" si="119"/>
        <v>461.945652</v>
      </c>
    </row>
    <row r="3828" spans="1:7" x14ac:dyDescent="0.3">
      <c r="A3828" t="s">
        <v>13039</v>
      </c>
      <c r="B3828" t="s">
        <v>7684</v>
      </c>
      <c r="C3828" t="s">
        <v>7685</v>
      </c>
      <c r="D3828" s="1" t="s">
        <v>38</v>
      </c>
      <c r="E3828" s="3">
        <v>783.11</v>
      </c>
      <c r="F3828" s="3">
        <f t="shared" si="118"/>
        <v>197.89189700000003</v>
      </c>
      <c r="G3828" s="3">
        <f t="shared" si="119"/>
        <v>981.0018970000001</v>
      </c>
    </row>
    <row r="3829" spans="1:7" x14ac:dyDescent="0.3">
      <c r="A3829" t="s">
        <v>13039</v>
      </c>
      <c r="B3829" t="s">
        <v>7686</v>
      </c>
      <c r="C3829" t="s">
        <v>7687</v>
      </c>
      <c r="D3829" s="1" t="s">
        <v>38</v>
      </c>
      <c r="E3829" s="3">
        <v>617.62</v>
      </c>
      <c r="F3829" s="3">
        <f t="shared" si="118"/>
        <v>156.07257400000003</v>
      </c>
      <c r="G3829" s="3">
        <f t="shared" si="119"/>
        <v>773.69257400000004</v>
      </c>
    </row>
    <row r="3830" spans="1:7" x14ac:dyDescent="0.3">
      <c r="A3830" t="s">
        <v>13039</v>
      </c>
      <c r="B3830" t="s">
        <v>7688</v>
      </c>
      <c r="C3830" t="s">
        <v>7689</v>
      </c>
      <c r="D3830" s="1" t="s">
        <v>38</v>
      </c>
      <c r="E3830" s="3">
        <v>423.49</v>
      </c>
      <c r="F3830" s="3">
        <f t="shared" si="118"/>
        <v>107.01592300000002</v>
      </c>
      <c r="G3830" s="3">
        <f t="shared" si="119"/>
        <v>530.50592300000005</v>
      </c>
    </row>
    <row r="3831" spans="1:7" x14ac:dyDescent="0.3">
      <c r="A3831" t="s">
        <v>13039</v>
      </c>
      <c r="B3831" t="s">
        <v>7690</v>
      </c>
      <c r="C3831" t="s">
        <v>7691</v>
      </c>
      <c r="D3831" s="1" t="s">
        <v>38</v>
      </c>
      <c r="E3831" s="3">
        <v>894.85</v>
      </c>
      <c r="F3831" s="3">
        <f t="shared" si="118"/>
        <v>226.12859500000005</v>
      </c>
      <c r="G3831" s="3">
        <f t="shared" si="119"/>
        <v>1120.978595</v>
      </c>
    </row>
    <row r="3832" spans="1:7" x14ac:dyDescent="0.3">
      <c r="A3832" t="s">
        <v>13039</v>
      </c>
      <c r="B3832" t="s">
        <v>7692</v>
      </c>
      <c r="C3832" t="s">
        <v>7693</v>
      </c>
      <c r="D3832" s="1" t="s">
        <v>38</v>
      </c>
      <c r="E3832" s="3">
        <v>718.01</v>
      </c>
      <c r="F3832" s="3">
        <f t="shared" si="118"/>
        <v>181.44112700000002</v>
      </c>
      <c r="G3832" s="3">
        <f t="shared" si="119"/>
        <v>899.45112700000004</v>
      </c>
    </row>
    <row r="3833" spans="1:7" x14ac:dyDescent="0.3">
      <c r="A3833" t="s">
        <v>13039</v>
      </c>
      <c r="B3833" t="s">
        <v>7694</v>
      </c>
      <c r="C3833" t="s">
        <v>7695</v>
      </c>
      <c r="D3833" s="1" t="s">
        <v>38</v>
      </c>
      <c r="E3833" s="3">
        <v>500.98</v>
      </c>
      <c r="F3833" s="3">
        <f t="shared" si="118"/>
        <v>126.59764600000003</v>
      </c>
      <c r="G3833" s="3">
        <f t="shared" si="119"/>
        <v>627.57764600000007</v>
      </c>
    </row>
    <row r="3834" spans="1:7" x14ac:dyDescent="0.3">
      <c r="A3834" t="s">
        <v>13039</v>
      </c>
      <c r="B3834" t="s">
        <v>7696</v>
      </c>
      <c r="C3834" t="s">
        <v>7697</v>
      </c>
      <c r="D3834" s="1" t="s">
        <v>38</v>
      </c>
      <c r="E3834" s="3">
        <v>1040.9100000000001</v>
      </c>
      <c r="F3834" s="3">
        <f t="shared" si="118"/>
        <v>263.03795700000006</v>
      </c>
      <c r="G3834" s="3">
        <f t="shared" si="119"/>
        <v>1303.9479570000001</v>
      </c>
    </row>
    <row r="3835" spans="1:7" x14ac:dyDescent="0.3">
      <c r="A3835" t="s">
        <v>13039</v>
      </c>
      <c r="B3835" t="s">
        <v>7698</v>
      </c>
      <c r="C3835" t="s">
        <v>7699</v>
      </c>
      <c r="D3835" s="1" t="s">
        <v>38</v>
      </c>
      <c r="E3835" s="3">
        <v>950.57</v>
      </c>
      <c r="F3835" s="3">
        <f t="shared" si="118"/>
        <v>240.20903900000005</v>
      </c>
      <c r="G3835" s="3">
        <f t="shared" si="119"/>
        <v>1190.779039</v>
      </c>
    </row>
    <row r="3836" spans="1:7" x14ac:dyDescent="0.3">
      <c r="A3836" t="s">
        <v>13039</v>
      </c>
      <c r="B3836" t="s">
        <v>7700</v>
      </c>
      <c r="C3836" t="s">
        <v>7701</v>
      </c>
      <c r="D3836" s="1" t="s">
        <v>38</v>
      </c>
      <c r="E3836" s="3">
        <v>617.62</v>
      </c>
      <c r="F3836" s="3">
        <f t="shared" si="118"/>
        <v>156.07257400000003</v>
      </c>
      <c r="G3836" s="3">
        <f t="shared" si="119"/>
        <v>773.69257400000004</v>
      </c>
    </row>
    <row r="3837" spans="1:7" x14ac:dyDescent="0.3">
      <c r="A3837" t="s">
        <v>13039</v>
      </c>
      <c r="B3837" t="s">
        <v>7702</v>
      </c>
      <c r="C3837" t="s">
        <v>7703</v>
      </c>
      <c r="D3837" s="1" t="s">
        <v>38</v>
      </c>
      <c r="E3837" s="3">
        <v>1376.22</v>
      </c>
      <c r="F3837" s="3">
        <f t="shared" si="118"/>
        <v>347.77079400000008</v>
      </c>
      <c r="G3837" s="3">
        <f t="shared" si="119"/>
        <v>1723.9907940000001</v>
      </c>
    </row>
    <row r="3838" spans="1:7" x14ac:dyDescent="0.3">
      <c r="A3838" t="s">
        <v>13039</v>
      </c>
      <c r="B3838" t="s">
        <v>7704</v>
      </c>
      <c r="C3838" t="s">
        <v>7705</v>
      </c>
      <c r="D3838" s="1" t="s">
        <v>38</v>
      </c>
      <c r="E3838" s="3">
        <v>433.27</v>
      </c>
      <c r="F3838" s="3">
        <f t="shared" si="118"/>
        <v>109.48732900000002</v>
      </c>
      <c r="G3838" s="3">
        <f t="shared" si="119"/>
        <v>542.75732900000003</v>
      </c>
    </row>
    <row r="3839" spans="1:7" x14ac:dyDescent="0.3">
      <c r="A3839" t="s">
        <v>13039</v>
      </c>
      <c r="B3839" t="s">
        <v>7706</v>
      </c>
      <c r="C3839" t="s">
        <v>7707</v>
      </c>
      <c r="D3839" s="1" t="s">
        <v>38</v>
      </c>
      <c r="E3839" s="3">
        <v>316.57</v>
      </c>
      <c r="F3839" s="3">
        <f t="shared" si="118"/>
        <v>79.997239000000008</v>
      </c>
      <c r="G3839" s="3">
        <f t="shared" si="119"/>
        <v>396.56723899999997</v>
      </c>
    </row>
    <row r="3840" spans="1:7" x14ac:dyDescent="0.3">
      <c r="A3840" t="s">
        <v>13039</v>
      </c>
      <c r="B3840" t="s">
        <v>7708</v>
      </c>
      <c r="C3840" t="s">
        <v>7709</v>
      </c>
      <c r="D3840" s="1" t="s">
        <v>38</v>
      </c>
      <c r="E3840" s="3">
        <v>627.34</v>
      </c>
      <c r="F3840" s="3">
        <f t="shared" si="118"/>
        <v>158.52881800000003</v>
      </c>
      <c r="G3840" s="3">
        <f t="shared" si="119"/>
        <v>785.86881800000003</v>
      </c>
    </row>
    <row r="3841" spans="1:7" x14ac:dyDescent="0.3">
      <c r="A3841" t="s">
        <v>13039</v>
      </c>
      <c r="B3841" t="s">
        <v>7710</v>
      </c>
      <c r="C3841" t="s">
        <v>7711</v>
      </c>
      <c r="D3841" s="1" t="s">
        <v>7712</v>
      </c>
      <c r="E3841" s="3">
        <v>99208.99</v>
      </c>
      <c r="F3841" s="3">
        <f t="shared" si="118"/>
        <v>25070.111773000004</v>
      </c>
      <c r="G3841" s="3">
        <f t="shared" si="119"/>
        <v>124279.101773</v>
      </c>
    </row>
    <row r="3842" spans="1:7" x14ac:dyDescent="0.3">
      <c r="A3842" t="s">
        <v>13039</v>
      </c>
      <c r="B3842" t="s">
        <v>7713</v>
      </c>
      <c r="C3842" t="s">
        <v>7714</v>
      </c>
      <c r="D3842" s="1" t="s">
        <v>7712</v>
      </c>
      <c r="E3842" s="3">
        <v>48807.12</v>
      </c>
      <c r="F3842" s="3">
        <f t="shared" si="118"/>
        <v>12333.559224000002</v>
      </c>
      <c r="G3842" s="3">
        <f t="shared" si="119"/>
        <v>61140.679224000007</v>
      </c>
    </row>
    <row r="3843" spans="1:7" x14ac:dyDescent="0.3">
      <c r="A3843" t="s">
        <v>13039</v>
      </c>
      <c r="B3843" t="s">
        <v>7715</v>
      </c>
      <c r="C3843" t="s">
        <v>7716</v>
      </c>
      <c r="D3843" s="1" t="s">
        <v>7712</v>
      </c>
      <c r="E3843" s="3">
        <v>99208.99</v>
      </c>
      <c r="F3843" s="3">
        <f t="shared" si="118"/>
        <v>25070.111773000004</v>
      </c>
      <c r="G3843" s="3">
        <f t="shared" si="119"/>
        <v>124279.101773</v>
      </c>
    </row>
    <row r="3844" spans="1:7" x14ac:dyDescent="0.3">
      <c r="A3844" t="s">
        <v>13039</v>
      </c>
      <c r="B3844" t="s">
        <v>7717</v>
      </c>
      <c r="C3844" t="s">
        <v>7718</v>
      </c>
      <c r="D3844" s="1" t="s">
        <v>7712</v>
      </c>
      <c r="E3844" s="3">
        <v>113229.7</v>
      </c>
      <c r="F3844" s="3">
        <f t="shared" si="118"/>
        <v>28613.145190000003</v>
      </c>
      <c r="G3844" s="3">
        <f t="shared" si="119"/>
        <v>141842.84518999999</v>
      </c>
    </row>
    <row r="3845" spans="1:7" x14ac:dyDescent="0.3">
      <c r="A3845" t="s">
        <v>13039</v>
      </c>
      <c r="B3845" t="s">
        <v>7719</v>
      </c>
      <c r="C3845" t="s">
        <v>7720</v>
      </c>
      <c r="D3845" s="1" t="s">
        <v>7712</v>
      </c>
      <c r="E3845" s="3">
        <v>55547.64</v>
      </c>
      <c r="F3845" s="3">
        <f t="shared" si="118"/>
        <v>14036.888628000002</v>
      </c>
      <c r="G3845" s="3">
        <f t="shared" si="119"/>
        <v>69584.528628</v>
      </c>
    </row>
    <row r="3846" spans="1:7" x14ac:dyDescent="0.3">
      <c r="A3846" t="s">
        <v>13039</v>
      </c>
      <c r="B3846" t="s">
        <v>7721</v>
      </c>
      <c r="C3846" t="s">
        <v>7722</v>
      </c>
      <c r="D3846" s="1" t="s">
        <v>7712</v>
      </c>
      <c r="E3846" s="3">
        <v>113229.7</v>
      </c>
      <c r="F3846" s="3">
        <f t="shared" si="118"/>
        <v>28613.145190000003</v>
      </c>
      <c r="G3846" s="3">
        <f t="shared" si="119"/>
        <v>141842.84518999999</v>
      </c>
    </row>
    <row r="3847" spans="1:7" x14ac:dyDescent="0.3">
      <c r="A3847" t="s">
        <v>13039</v>
      </c>
      <c r="B3847" t="s">
        <v>7723</v>
      </c>
      <c r="C3847" t="s">
        <v>7724</v>
      </c>
      <c r="D3847" s="1" t="s">
        <v>7712</v>
      </c>
      <c r="E3847" s="3">
        <v>131899.42000000001</v>
      </c>
      <c r="F3847" s="3">
        <f t="shared" ref="F3847:F3910" si="120">+E3847*$F$4</f>
        <v>33330.983434000009</v>
      </c>
      <c r="G3847" s="3">
        <f t="shared" ref="G3847:G3910" si="121">+E3847+F3847</f>
        <v>165230.40343400004</v>
      </c>
    </row>
    <row r="3848" spans="1:7" x14ac:dyDescent="0.3">
      <c r="A3848" t="s">
        <v>13039</v>
      </c>
      <c r="B3848" t="s">
        <v>7725</v>
      </c>
      <c r="C3848" t="s">
        <v>7726</v>
      </c>
      <c r="D3848" s="1" t="s">
        <v>7712</v>
      </c>
      <c r="E3848" s="3">
        <v>65633.710000000006</v>
      </c>
      <c r="F3848" s="3">
        <f t="shared" si="120"/>
        <v>16585.638517000003</v>
      </c>
      <c r="G3848" s="3">
        <f t="shared" si="121"/>
        <v>82219.348517000006</v>
      </c>
    </row>
    <row r="3849" spans="1:7" x14ac:dyDescent="0.3">
      <c r="A3849" t="s">
        <v>13039</v>
      </c>
      <c r="B3849" t="s">
        <v>7727</v>
      </c>
      <c r="C3849" t="s">
        <v>7728</v>
      </c>
      <c r="D3849" s="1" t="s">
        <v>7712</v>
      </c>
      <c r="E3849" s="3">
        <v>131899.42000000001</v>
      </c>
      <c r="F3849" s="3">
        <f t="shared" si="120"/>
        <v>33330.983434000009</v>
      </c>
      <c r="G3849" s="3">
        <f t="shared" si="121"/>
        <v>165230.40343400004</v>
      </c>
    </row>
    <row r="3850" spans="1:7" x14ac:dyDescent="0.3">
      <c r="A3850" t="s">
        <v>13039</v>
      </c>
      <c r="B3850" t="s">
        <v>7729</v>
      </c>
      <c r="C3850" t="s">
        <v>7730</v>
      </c>
      <c r="D3850" s="1" t="s">
        <v>7712</v>
      </c>
      <c r="E3850" s="3">
        <v>173912.39</v>
      </c>
      <c r="F3850" s="3">
        <f t="shared" si="120"/>
        <v>43947.660953000013</v>
      </c>
      <c r="G3850" s="3">
        <f t="shared" si="121"/>
        <v>217860.05095300003</v>
      </c>
    </row>
    <row r="3851" spans="1:7" x14ac:dyDescent="0.3">
      <c r="A3851" t="s">
        <v>13039</v>
      </c>
      <c r="B3851" t="s">
        <v>7731</v>
      </c>
      <c r="C3851" t="s">
        <v>7732</v>
      </c>
      <c r="D3851" s="1" t="s">
        <v>7712</v>
      </c>
      <c r="E3851" s="3">
        <v>81623.92</v>
      </c>
      <c r="F3851" s="3">
        <f t="shared" si="120"/>
        <v>20626.364584000003</v>
      </c>
      <c r="G3851" s="3">
        <f t="shared" si="121"/>
        <v>102250.28458400001</v>
      </c>
    </row>
    <row r="3852" spans="1:7" x14ac:dyDescent="0.3">
      <c r="A3852" t="s">
        <v>13039</v>
      </c>
      <c r="B3852" t="s">
        <v>7733</v>
      </c>
      <c r="C3852" t="s">
        <v>7734</v>
      </c>
      <c r="D3852" s="1" t="s">
        <v>7712</v>
      </c>
      <c r="E3852" s="3">
        <v>173912.39</v>
      </c>
      <c r="F3852" s="3">
        <f t="shared" si="120"/>
        <v>43947.660953000013</v>
      </c>
      <c r="G3852" s="3">
        <f t="shared" si="121"/>
        <v>217860.05095300003</v>
      </c>
    </row>
    <row r="3853" spans="1:7" x14ac:dyDescent="0.3">
      <c r="A3853" t="s">
        <v>13039</v>
      </c>
      <c r="B3853" t="s">
        <v>7735</v>
      </c>
      <c r="C3853" t="s">
        <v>7736</v>
      </c>
      <c r="D3853" s="1" t="s">
        <v>7712</v>
      </c>
      <c r="E3853" s="3">
        <v>51843.4</v>
      </c>
      <c r="F3853" s="3">
        <f t="shared" si="120"/>
        <v>13100.827180000002</v>
      </c>
      <c r="G3853" s="3">
        <f t="shared" si="121"/>
        <v>64944.227180000002</v>
      </c>
    </row>
    <row r="3854" spans="1:7" x14ac:dyDescent="0.3">
      <c r="A3854" t="s">
        <v>13039</v>
      </c>
      <c r="B3854" t="s">
        <v>7737</v>
      </c>
      <c r="C3854" t="s">
        <v>7738</v>
      </c>
      <c r="D3854" s="1" t="s">
        <v>7712</v>
      </c>
      <c r="E3854" s="3">
        <v>21366.39</v>
      </c>
      <c r="F3854" s="3">
        <f t="shared" si="120"/>
        <v>5399.2867530000003</v>
      </c>
      <c r="G3854" s="3">
        <f t="shared" si="121"/>
        <v>26765.676753</v>
      </c>
    </row>
    <row r="3855" spans="1:7" x14ac:dyDescent="0.3">
      <c r="A3855" t="s">
        <v>13039</v>
      </c>
      <c r="B3855" t="s">
        <v>7739</v>
      </c>
      <c r="C3855" t="s">
        <v>7740</v>
      </c>
      <c r="D3855" s="1" t="s">
        <v>7712</v>
      </c>
      <c r="E3855" s="3">
        <v>52187.51</v>
      </c>
      <c r="F3855" s="3">
        <f t="shared" si="120"/>
        <v>13187.783777000002</v>
      </c>
      <c r="G3855" s="3">
        <f t="shared" si="121"/>
        <v>65375.293777000006</v>
      </c>
    </row>
    <row r="3856" spans="1:7" x14ac:dyDescent="0.3">
      <c r="A3856" t="s">
        <v>13039</v>
      </c>
      <c r="B3856" t="s">
        <v>7741</v>
      </c>
      <c r="C3856" t="s">
        <v>7742</v>
      </c>
      <c r="D3856" s="1" t="s">
        <v>7712</v>
      </c>
      <c r="E3856" s="3">
        <v>58434.74</v>
      </c>
      <c r="F3856" s="3">
        <f t="shared" si="120"/>
        <v>14766.458798000001</v>
      </c>
      <c r="G3856" s="3">
        <f t="shared" si="121"/>
        <v>73201.198797999998</v>
      </c>
    </row>
    <row r="3857" spans="1:7" x14ac:dyDescent="0.3">
      <c r="A3857" t="s">
        <v>13039</v>
      </c>
      <c r="B3857" t="s">
        <v>7743</v>
      </c>
      <c r="C3857" t="s">
        <v>7744</v>
      </c>
      <c r="D3857" s="1" t="s">
        <v>7712</v>
      </c>
      <c r="E3857" s="3">
        <v>24462.240000000002</v>
      </c>
      <c r="F3857" s="3">
        <f t="shared" si="120"/>
        <v>6181.608048000001</v>
      </c>
      <c r="G3857" s="3">
        <f t="shared" si="121"/>
        <v>30643.848048000003</v>
      </c>
    </row>
    <row r="3858" spans="1:7" x14ac:dyDescent="0.3">
      <c r="A3858" t="s">
        <v>13039</v>
      </c>
      <c r="B3858" t="s">
        <v>7745</v>
      </c>
      <c r="C3858" t="s">
        <v>7746</v>
      </c>
      <c r="D3858" s="1" t="s">
        <v>7712</v>
      </c>
      <c r="E3858" s="3">
        <v>58826.76</v>
      </c>
      <c r="F3858" s="3">
        <f t="shared" si="120"/>
        <v>14865.522252000002</v>
      </c>
      <c r="G3858" s="3">
        <f t="shared" si="121"/>
        <v>73692.282252000005</v>
      </c>
    </row>
    <row r="3859" spans="1:7" x14ac:dyDescent="0.3">
      <c r="A3859" t="s">
        <v>13039</v>
      </c>
      <c r="B3859" t="s">
        <v>7747</v>
      </c>
      <c r="C3859" t="s">
        <v>7748</v>
      </c>
      <c r="D3859" s="1" t="s">
        <v>7712</v>
      </c>
      <c r="E3859" s="3">
        <v>68643.95</v>
      </c>
      <c r="F3859" s="3">
        <f t="shared" si="120"/>
        <v>17346.326165000002</v>
      </c>
      <c r="G3859" s="3">
        <f t="shared" si="121"/>
        <v>85990.276165000003</v>
      </c>
    </row>
    <row r="3860" spans="1:7" x14ac:dyDescent="0.3">
      <c r="A3860" t="s">
        <v>13039</v>
      </c>
      <c r="B3860" t="s">
        <v>7749</v>
      </c>
      <c r="C3860" t="s">
        <v>7750</v>
      </c>
      <c r="D3860" s="1" t="s">
        <v>7712</v>
      </c>
      <c r="E3860" s="3">
        <v>29789.119999999999</v>
      </c>
      <c r="F3860" s="3">
        <f t="shared" si="120"/>
        <v>7527.7106240000012</v>
      </c>
      <c r="G3860" s="3">
        <f t="shared" si="121"/>
        <v>37316.830624000002</v>
      </c>
    </row>
    <row r="3861" spans="1:7" x14ac:dyDescent="0.3">
      <c r="A3861" t="s">
        <v>13039</v>
      </c>
      <c r="B3861" t="s">
        <v>7751</v>
      </c>
      <c r="C3861" t="s">
        <v>7752</v>
      </c>
      <c r="D3861" s="1" t="s">
        <v>7712</v>
      </c>
      <c r="E3861" s="3">
        <v>69099.25</v>
      </c>
      <c r="F3861" s="3">
        <f t="shared" si="120"/>
        <v>17461.380475000002</v>
      </c>
      <c r="G3861" s="3">
        <f t="shared" si="121"/>
        <v>86560.630474999998</v>
      </c>
    </row>
    <row r="3862" spans="1:7" x14ac:dyDescent="0.3">
      <c r="A3862" t="s">
        <v>13039</v>
      </c>
      <c r="B3862" t="s">
        <v>7753</v>
      </c>
      <c r="C3862" t="s">
        <v>7754</v>
      </c>
      <c r="D3862" s="1" t="s">
        <v>7712</v>
      </c>
      <c r="E3862" s="3">
        <v>90490.87</v>
      </c>
      <c r="F3862" s="3">
        <f t="shared" si="120"/>
        <v>22867.042849000001</v>
      </c>
      <c r="G3862" s="3">
        <f t="shared" si="121"/>
        <v>113357.912849</v>
      </c>
    </row>
    <row r="3863" spans="1:7" x14ac:dyDescent="0.3">
      <c r="A3863" t="s">
        <v>13039</v>
      </c>
      <c r="B3863" t="s">
        <v>7755</v>
      </c>
      <c r="C3863" t="s">
        <v>7756</v>
      </c>
      <c r="D3863" s="1" t="s">
        <v>7712</v>
      </c>
      <c r="E3863" s="3">
        <v>37426.15</v>
      </c>
      <c r="F3863" s="3">
        <f t="shared" si="120"/>
        <v>9457.5881050000025</v>
      </c>
      <c r="G3863" s="3">
        <f t="shared" si="121"/>
        <v>46883.738105000004</v>
      </c>
    </row>
    <row r="3864" spans="1:7" x14ac:dyDescent="0.3">
      <c r="A3864" t="s">
        <v>13039</v>
      </c>
      <c r="B3864" t="s">
        <v>7757</v>
      </c>
      <c r="C3864" t="s">
        <v>7758</v>
      </c>
      <c r="D3864" s="1" t="s">
        <v>7712</v>
      </c>
      <c r="E3864" s="3">
        <v>91090.95</v>
      </c>
      <c r="F3864" s="3">
        <f t="shared" si="120"/>
        <v>23018.683065000001</v>
      </c>
      <c r="G3864" s="3">
        <f t="shared" si="121"/>
        <v>114109.633065</v>
      </c>
    </row>
    <row r="3865" spans="1:7" x14ac:dyDescent="0.3">
      <c r="A3865" t="s">
        <v>13039</v>
      </c>
      <c r="B3865" t="s">
        <v>7759</v>
      </c>
      <c r="C3865" t="s">
        <v>7760</v>
      </c>
      <c r="D3865" s="1" t="s">
        <v>7712</v>
      </c>
      <c r="E3865" s="3">
        <v>41252.99</v>
      </c>
      <c r="F3865" s="3">
        <f t="shared" si="120"/>
        <v>10424.630573</v>
      </c>
      <c r="G3865" s="3">
        <f t="shared" si="121"/>
        <v>51677.620573</v>
      </c>
    </row>
    <row r="3866" spans="1:7" x14ac:dyDescent="0.3">
      <c r="A3866" t="s">
        <v>13039</v>
      </c>
      <c r="B3866" t="s">
        <v>7761</v>
      </c>
      <c r="C3866" t="s">
        <v>7762</v>
      </c>
      <c r="D3866" s="1" t="s">
        <v>7712</v>
      </c>
      <c r="E3866" s="3">
        <v>17833.740000000002</v>
      </c>
      <c r="F3866" s="3">
        <f t="shared" si="120"/>
        <v>4506.5860980000007</v>
      </c>
      <c r="G3866" s="3">
        <f t="shared" si="121"/>
        <v>22340.326098000001</v>
      </c>
    </row>
    <row r="3867" spans="1:7" x14ac:dyDescent="0.3">
      <c r="A3867" t="s">
        <v>13039</v>
      </c>
      <c r="B3867" t="s">
        <v>7763</v>
      </c>
      <c r="C3867" t="s">
        <v>7764</v>
      </c>
      <c r="D3867" s="1" t="s">
        <v>7712</v>
      </c>
      <c r="E3867" s="3">
        <v>41528.49</v>
      </c>
      <c r="F3867" s="3">
        <f t="shared" si="120"/>
        <v>10494.249423000001</v>
      </c>
      <c r="G3867" s="3">
        <f t="shared" si="121"/>
        <v>52022.739422999999</v>
      </c>
    </row>
    <row r="3868" spans="1:7" x14ac:dyDescent="0.3">
      <c r="A3868" t="s">
        <v>13039</v>
      </c>
      <c r="B3868" t="s">
        <v>7765</v>
      </c>
      <c r="C3868" t="s">
        <v>7766</v>
      </c>
      <c r="D3868" s="1" t="s">
        <v>38</v>
      </c>
      <c r="E3868" s="3">
        <v>327.07</v>
      </c>
      <c r="F3868" s="3">
        <f t="shared" si="120"/>
        <v>82.650589000000011</v>
      </c>
      <c r="G3868" s="3">
        <f t="shared" si="121"/>
        <v>409.72058900000002</v>
      </c>
    </row>
    <row r="3869" spans="1:7" x14ac:dyDescent="0.3">
      <c r="A3869" t="s">
        <v>13039</v>
      </c>
      <c r="B3869" t="s">
        <v>7767</v>
      </c>
      <c r="C3869" t="s">
        <v>7768</v>
      </c>
      <c r="D3869" s="1" t="s">
        <v>38</v>
      </c>
      <c r="E3869" s="3">
        <v>2001.71</v>
      </c>
      <c r="F3869" s="3">
        <f t="shared" si="120"/>
        <v>505.8321170000001</v>
      </c>
      <c r="G3869" s="3">
        <f t="shared" si="121"/>
        <v>2507.542117</v>
      </c>
    </row>
    <row r="3870" spans="1:7" x14ac:dyDescent="0.3">
      <c r="A3870" t="s">
        <v>13039</v>
      </c>
      <c r="B3870" t="s">
        <v>7769</v>
      </c>
      <c r="C3870" t="s">
        <v>7770</v>
      </c>
      <c r="D3870" s="1" t="s">
        <v>38</v>
      </c>
      <c r="E3870" s="3">
        <v>2911.44</v>
      </c>
      <c r="F3870" s="3">
        <f t="shared" si="120"/>
        <v>735.72088800000017</v>
      </c>
      <c r="G3870" s="3">
        <f t="shared" si="121"/>
        <v>3647.1608880000003</v>
      </c>
    </row>
    <row r="3871" spans="1:7" x14ac:dyDescent="0.3">
      <c r="A3871" t="s">
        <v>13039</v>
      </c>
      <c r="B3871" t="s">
        <v>7771</v>
      </c>
      <c r="C3871" t="s">
        <v>7772</v>
      </c>
      <c r="D3871" s="1" t="s">
        <v>38</v>
      </c>
      <c r="E3871" s="3">
        <v>2101.04</v>
      </c>
      <c r="F3871" s="3">
        <f t="shared" si="120"/>
        <v>530.93280800000002</v>
      </c>
      <c r="G3871" s="3">
        <f t="shared" si="121"/>
        <v>2631.972808</v>
      </c>
    </row>
    <row r="3872" spans="1:7" x14ac:dyDescent="0.3">
      <c r="A3872" t="s">
        <v>13039</v>
      </c>
      <c r="B3872" t="s">
        <v>7773</v>
      </c>
      <c r="C3872" t="s">
        <v>7774</v>
      </c>
      <c r="D3872" s="1" t="s">
        <v>38</v>
      </c>
      <c r="E3872" s="3">
        <v>3060.37</v>
      </c>
      <c r="F3872" s="3">
        <f t="shared" si="120"/>
        <v>773.35549900000012</v>
      </c>
      <c r="G3872" s="3">
        <f t="shared" si="121"/>
        <v>3833.7254990000001</v>
      </c>
    </row>
    <row r="3873" spans="1:7" x14ac:dyDescent="0.3">
      <c r="A3873" t="s">
        <v>13039</v>
      </c>
      <c r="B3873" t="s">
        <v>7775</v>
      </c>
      <c r="C3873" t="s">
        <v>7776</v>
      </c>
      <c r="D3873" s="1" t="s">
        <v>38</v>
      </c>
      <c r="E3873" s="3">
        <v>3062.23</v>
      </c>
      <c r="F3873" s="3">
        <f t="shared" si="120"/>
        <v>773.82552100000009</v>
      </c>
      <c r="G3873" s="3">
        <f t="shared" si="121"/>
        <v>3836.0555210000002</v>
      </c>
    </row>
    <row r="3874" spans="1:7" x14ac:dyDescent="0.3">
      <c r="A3874" t="s">
        <v>13039</v>
      </c>
      <c r="B3874" t="s">
        <v>7777</v>
      </c>
      <c r="C3874" t="s">
        <v>7778</v>
      </c>
      <c r="D3874" s="1" t="s">
        <v>38</v>
      </c>
      <c r="E3874" s="3">
        <v>2249.89</v>
      </c>
      <c r="F3874" s="3">
        <f t="shared" si="120"/>
        <v>568.54720300000008</v>
      </c>
      <c r="G3874" s="3">
        <f t="shared" si="121"/>
        <v>2818.437203</v>
      </c>
    </row>
    <row r="3875" spans="1:7" x14ac:dyDescent="0.3">
      <c r="A3875" t="s">
        <v>13039</v>
      </c>
      <c r="B3875" t="s">
        <v>7779</v>
      </c>
      <c r="C3875" t="s">
        <v>7780</v>
      </c>
      <c r="D3875" s="1" t="s">
        <v>38</v>
      </c>
      <c r="E3875" s="3">
        <v>3217.4</v>
      </c>
      <c r="F3875" s="3">
        <f t="shared" si="120"/>
        <v>813.03698000000009</v>
      </c>
      <c r="G3875" s="3">
        <f t="shared" si="121"/>
        <v>4030.4369800000004</v>
      </c>
    </row>
    <row r="3876" spans="1:7" x14ac:dyDescent="0.3">
      <c r="A3876" t="s">
        <v>13039</v>
      </c>
      <c r="B3876" t="s">
        <v>7781</v>
      </c>
      <c r="C3876" t="s">
        <v>7782</v>
      </c>
      <c r="D3876" s="1" t="s">
        <v>38</v>
      </c>
      <c r="E3876" s="3">
        <v>3200.51</v>
      </c>
      <c r="F3876" s="3">
        <f t="shared" si="120"/>
        <v>808.7688770000002</v>
      </c>
      <c r="G3876" s="3">
        <f t="shared" si="121"/>
        <v>4009.2788770000006</v>
      </c>
    </row>
    <row r="3877" spans="1:7" x14ac:dyDescent="0.3">
      <c r="A3877" t="s">
        <v>13039</v>
      </c>
      <c r="B3877" t="s">
        <v>7783</v>
      </c>
      <c r="C3877" t="s">
        <v>7784</v>
      </c>
      <c r="D3877" s="1" t="s">
        <v>38</v>
      </c>
      <c r="E3877" s="3">
        <v>3361.16</v>
      </c>
      <c r="F3877" s="3">
        <f t="shared" si="120"/>
        <v>849.36513200000013</v>
      </c>
      <c r="G3877" s="3">
        <f t="shared" si="121"/>
        <v>4210.5251319999998</v>
      </c>
    </row>
    <row r="3878" spans="1:7" x14ac:dyDescent="0.3">
      <c r="A3878" t="s">
        <v>13039</v>
      </c>
      <c r="B3878" t="s">
        <v>7785</v>
      </c>
      <c r="C3878" t="s">
        <v>7786</v>
      </c>
      <c r="D3878" s="1" t="s">
        <v>38</v>
      </c>
      <c r="E3878" s="3">
        <v>2259.33</v>
      </c>
      <c r="F3878" s="3">
        <f t="shared" si="120"/>
        <v>570.93269100000009</v>
      </c>
      <c r="G3878" s="3">
        <f t="shared" si="121"/>
        <v>2830.2626909999999</v>
      </c>
    </row>
    <row r="3879" spans="1:7" x14ac:dyDescent="0.3">
      <c r="A3879" t="s">
        <v>13039</v>
      </c>
      <c r="B3879" t="s">
        <v>7787</v>
      </c>
      <c r="C3879" t="s">
        <v>7788</v>
      </c>
      <c r="D3879" s="1" t="s">
        <v>38</v>
      </c>
      <c r="E3879" s="3">
        <v>3283.91</v>
      </c>
      <c r="F3879" s="3">
        <f t="shared" si="120"/>
        <v>829.84405700000013</v>
      </c>
      <c r="G3879" s="3">
        <f t="shared" si="121"/>
        <v>4113.7540570000001</v>
      </c>
    </row>
    <row r="3880" spans="1:7" x14ac:dyDescent="0.3">
      <c r="A3880" t="s">
        <v>13039</v>
      </c>
      <c r="B3880" t="s">
        <v>7789</v>
      </c>
      <c r="C3880" t="s">
        <v>7790</v>
      </c>
      <c r="D3880" s="1" t="s">
        <v>38</v>
      </c>
      <c r="E3880" s="3">
        <v>2368.59</v>
      </c>
      <c r="F3880" s="3">
        <f t="shared" si="120"/>
        <v>598.5426930000001</v>
      </c>
      <c r="G3880" s="3">
        <f t="shared" si="121"/>
        <v>2967.1326930000005</v>
      </c>
    </row>
    <row r="3881" spans="1:7" x14ac:dyDescent="0.3">
      <c r="A3881" t="s">
        <v>13039</v>
      </c>
      <c r="B3881" t="s">
        <v>7791</v>
      </c>
      <c r="C3881" t="s">
        <v>7792</v>
      </c>
      <c r="D3881" s="1" t="s">
        <v>38</v>
      </c>
      <c r="E3881" s="3">
        <v>3448.22</v>
      </c>
      <c r="F3881" s="3">
        <f t="shared" si="120"/>
        <v>871.36519400000009</v>
      </c>
      <c r="G3881" s="3">
        <f t="shared" si="121"/>
        <v>4319.5851940000002</v>
      </c>
    </row>
    <row r="3882" spans="1:7" x14ac:dyDescent="0.3">
      <c r="A3882" t="s">
        <v>13039</v>
      </c>
      <c r="B3882" t="s">
        <v>7793</v>
      </c>
      <c r="C3882" t="s">
        <v>7794</v>
      </c>
      <c r="D3882" s="1" t="s">
        <v>38</v>
      </c>
      <c r="E3882" s="3">
        <v>3449.78</v>
      </c>
      <c r="F3882" s="3">
        <f t="shared" si="120"/>
        <v>871.75940600000013</v>
      </c>
      <c r="G3882" s="3">
        <f t="shared" si="121"/>
        <v>4321.5394059999999</v>
      </c>
    </row>
    <row r="3883" spans="1:7" x14ac:dyDescent="0.3">
      <c r="A3883" t="s">
        <v>13039</v>
      </c>
      <c r="B3883" t="s">
        <v>7795</v>
      </c>
      <c r="C3883" t="s">
        <v>7796</v>
      </c>
      <c r="D3883" s="1" t="s">
        <v>38</v>
      </c>
      <c r="E3883" s="3">
        <v>2532.3200000000002</v>
      </c>
      <c r="F3883" s="3">
        <f t="shared" si="120"/>
        <v>639.91726400000016</v>
      </c>
      <c r="G3883" s="3">
        <f t="shared" si="121"/>
        <v>3172.2372640000003</v>
      </c>
    </row>
    <row r="3884" spans="1:7" x14ac:dyDescent="0.3">
      <c r="A3884" t="s">
        <v>13039</v>
      </c>
      <c r="B3884" t="s">
        <v>7797</v>
      </c>
      <c r="C3884" t="s">
        <v>7798</v>
      </c>
      <c r="D3884" s="1" t="s">
        <v>38</v>
      </c>
      <c r="E3884" s="3">
        <v>3620.95</v>
      </c>
      <c r="F3884" s="3">
        <f t="shared" si="120"/>
        <v>915.01406500000007</v>
      </c>
      <c r="G3884" s="3">
        <f t="shared" si="121"/>
        <v>4535.9640650000001</v>
      </c>
    </row>
    <row r="3885" spans="1:7" x14ac:dyDescent="0.3">
      <c r="A3885" t="s">
        <v>13039</v>
      </c>
      <c r="B3885" t="s">
        <v>7799</v>
      </c>
      <c r="C3885" t="s">
        <v>7800</v>
      </c>
      <c r="D3885" s="1" t="s">
        <v>38</v>
      </c>
      <c r="E3885" s="3">
        <v>3601.89</v>
      </c>
      <c r="F3885" s="3">
        <f t="shared" si="120"/>
        <v>910.19760300000007</v>
      </c>
      <c r="G3885" s="3">
        <f t="shared" si="121"/>
        <v>4512.0876029999999</v>
      </c>
    </row>
    <row r="3886" spans="1:7" x14ac:dyDescent="0.3">
      <c r="A3886" t="s">
        <v>13039</v>
      </c>
      <c r="B3886" t="s">
        <v>7801</v>
      </c>
      <c r="C3886" t="s">
        <v>7802</v>
      </c>
      <c r="D3886" s="1" t="s">
        <v>38</v>
      </c>
      <c r="E3886" s="3">
        <v>3779.08</v>
      </c>
      <c r="F3886" s="3">
        <f t="shared" si="120"/>
        <v>954.97351600000013</v>
      </c>
      <c r="G3886" s="3">
        <f t="shared" si="121"/>
        <v>4734.0535159999999</v>
      </c>
    </row>
    <row r="3887" spans="1:7" x14ac:dyDescent="0.3">
      <c r="A3887" t="s">
        <v>13039</v>
      </c>
      <c r="B3887" t="s">
        <v>7803</v>
      </c>
      <c r="C3887" t="s">
        <v>7804</v>
      </c>
      <c r="D3887" s="1" t="s">
        <v>38</v>
      </c>
      <c r="E3887" s="3">
        <v>2640.94</v>
      </c>
      <c r="F3887" s="3">
        <f t="shared" si="120"/>
        <v>667.36553800000013</v>
      </c>
      <c r="G3887" s="3">
        <f t="shared" si="121"/>
        <v>3308.3055380000001</v>
      </c>
    </row>
    <row r="3888" spans="1:7" x14ac:dyDescent="0.3">
      <c r="A3888" t="s">
        <v>13039</v>
      </c>
      <c r="B3888" t="s">
        <v>7805</v>
      </c>
      <c r="C3888" t="s">
        <v>7806</v>
      </c>
      <c r="D3888" s="1" t="s">
        <v>38</v>
      </c>
      <c r="E3888" s="3">
        <v>3780.19</v>
      </c>
      <c r="F3888" s="3">
        <f t="shared" si="120"/>
        <v>955.2540130000001</v>
      </c>
      <c r="G3888" s="3">
        <f t="shared" si="121"/>
        <v>4735.4440130000003</v>
      </c>
    </row>
    <row r="3889" spans="1:7" x14ac:dyDescent="0.3">
      <c r="A3889" t="s">
        <v>13039</v>
      </c>
      <c r="B3889" t="s">
        <v>7807</v>
      </c>
      <c r="C3889" t="s">
        <v>7808</v>
      </c>
      <c r="D3889" s="1" t="s">
        <v>38</v>
      </c>
      <c r="E3889" s="3">
        <v>2761.13</v>
      </c>
      <c r="F3889" s="3">
        <f t="shared" si="120"/>
        <v>697.73755100000017</v>
      </c>
      <c r="G3889" s="3">
        <f t="shared" si="121"/>
        <v>3458.8675510000003</v>
      </c>
    </row>
    <row r="3890" spans="1:7" x14ac:dyDescent="0.3">
      <c r="A3890" t="s">
        <v>13039</v>
      </c>
      <c r="B3890" t="s">
        <v>7809</v>
      </c>
      <c r="C3890" t="s">
        <v>7810</v>
      </c>
      <c r="D3890" s="1" t="s">
        <v>38</v>
      </c>
      <c r="E3890" s="3">
        <v>3964.06</v>
      </c>
      <c r="F3890" s="3">
        <f t="shared" si="120"/>
        <v>1001.7179620000002</v>
      </c>
      <c r="G3890" s="3">
        <f t="shared" si="121"/>
        <v>4965.7779620000001</v>
      </c>
    </row>
    <row r="3891" spans="1:7" x14ac:dyDescent="0.3">
      <c r="A3891" t="s">
        <v>13039</v>
      </c>
      <c r="B3891" t="s">
        <v>7811</v>
      </c>
      <c r="C3891" t="s">
        <v>7812</v>
      </c>
      <c r="D3891" s="1" t="s">
        <v>38</v>
      </c>
      <c r="E3891" s="3">
        <v>3962.64</v>
      </c>
      <c r="F3891" s="3">
        <f t="shared" si="120"/>
        <v>1001.3591280000001</v>
      </c>
      <c r="G3891" s="3">
        <f t="shared" si="121"/>
        <v>4963.9991279999995</v>
      </c>
    </row>
    <row r="3892" spans="1:7" x14ac:dyDescent="0.3">
      <c r="A3892" t="s">
        <v>13039</v>
      </c>
      <c r="B3892" t="s">
        <v>7813</v>
      </c>
      <c r="C3892" t="s">
        <v>7814</v>
      </c>
      <c r="D3892" s="1" t="s">
        <v>38</v>
      </c>
      <c r="E3892" s="3">
        <v>2941.23</v>
      </c>
      <c r="F3892" s="3">
        <f t="shared" si="120"/>
        <v>743.24882100000013</v>
      </c>
      <c r="G3892" s="3">
        <f t="shared" si="121"/>
        <v>3684.4788210000002</v>
      </c>
    </row>
    <row r="3893" spans="1:7" x14ac:dyDescent="0.3">
      <c r="A3893" t="s">
        <v>13039</v>
      </c>
      <c r="B3893" t="s">
        <v>7815</v>
      </c>
      <c r="C3893" t="s">
        <v>7816</v>
      </c>
      <c r="D3893" s="1" t="s">
        <v>38</v>
      </c>
      <c r="E3893" s="3">
        <v>4154.07</v>
      </c>
      <c r="F3893" s="3">
        <f t="shared" si="120"/>
        <v>1049.733489</v>
      </c>
      <c r="G3893" s="3">
        <f t="shared" si="121"/>
        <v>5203.8034889999999</v>
      </c>
    </row>
    <row r="3894" spans="1:7" x14ac:dyDescent="0.3">
      <c r="A3894" t="s">
        <v>13039</v>
      </c>
      <c r="B3894" t="s">
        <v>7817</v>
      </c>
      <c r="C3894" t="s">
        <v>7818</v>
      </c>
      <c r="D3894" s="1" t="s">
        <v>38</v>
      </c>
      <c r="E3894" s="3">
        <v>4129.96</v>
      </c>
      <c r="F3894" s="3">
        <f t="shared" si="120"/>
        <v>1043.6408920000001</v>
      </c>
      <c r="G3894" s="3">
        <f t="shared" si="121"/>
        <v>5173.6008920000004</v>
      </c>
    </row>
    <row r="3895" spans="1:7" x14ac:dyDescent="0.3">
      <c r="A3895" t="s">
        <v>13039</v>
      </c>
      <c r="B3895" t="s">
        <v>7819</v>
      </c>
      <c r="C3895" t="s">
        <v>7820</v>
      </c>
      <c r="D3895" s="1" t="s">
        <v>38</v>
      </c>
      <c r="E3895" s="3">
        <v>4328.01</v>
      </c>
      <c r="F3895" s="3">
        <f t="shared" si="120"/>
        <v>1093.6881270000001</v>
      </c>
      <c r="G3895" s="3">
        <f t="shared" si="121"/>
        <v>5421.6981270000006</v>
      </c>
    </row>
    <row r="3896" spans="1:7" x14ac:dyDescent="0.3">
      <c r="A3896" t="s">
        <v>13039</v>
      </c>
      <c r="B3896" t="s">
        <v>7821</v>
      </c>
      <c r="C3896" t="s">
        <v>7822</v>
      </c>
      <c r="D3896" s="1" t="s">
        <v>38</v>
      </c>
      <c r="E3896" s="3">
        <v>5130.6000000000004</v>
      </c>
      <c r="F3896" s="3">
        <f t="shared" si="120"/>
        <v>1296.5026200000002</v>
      </c>
      <c r="G3896" s="3">
        <f t="shared" si="121"/>
        <v>6427.1026200000006</v>
      </c>
    </row>
    <row r="3897" spans="1:7" x14ac:dyDescent="0.3">
      <c r="A3897" t="s">
        <v>13039</v>
      </c>
      <c r="B3897" t="s">
        <v>7823</v>
      </c>
      <c r="C3897" t="s">
        <v>7824</v>
      </c>
      <c r="D3897" s="1" t="s">
        <v>38</v>
      </c>
      <c r="E3897" s="3">
        <v>3615.1</v>
      </c>
      <c r="F3897" s="3">
        <f t="shared" si="120"/>
        <v>913.53577000000007</v>
      </c>
      <c r="G3897" s="3">
        <f t="shared" si="121"/>
        <v>4528.6357699999999</v>
      </c>
    </row>
    <row r="3898" spans="1:7" x14ac:dyDescent="0.3">
      <c r="A3898" t="s">
        <v>13039</v>
      </c>
      <c r="B3898" t="s">
        <v>7825</v>
      </c>
      <c r="C3898" t="s">
        <v>7826</v>
      </c>
      <c r="D3898" s="1" t="s">
        <v>38</v>
      </c>
      <c r="E3898" s="3">
        <v>5362.32</v>
      </c>
      <c r="F3898" s="3">
        <f t="shared" si="120"/>
        <v>1355.058264</v>
      </c>
      <c r="G3898" s="3">
        <f t="shared" si="121"/>
        <v>6717.3782639999999</v>
      </c>
    </row>
    <row r="3899" spans="1:7" x14ac:dyDescent="0.3">
      <c r="A3899" t="s">
        <v>13039</v>
      </c>
      <c r="B3899" t="s">
        <v>7827</v>
      </c>
      <c r="C3899" t="s">
        <v>7828</v>
      </c>
      <c r="D3899" s="1" t="s">
        <v>38</v>
      </c>
      <c r="E3899" s="3">
        <v>5331.39</v>
      </c>
      <c r="F3899" s="3">
        <f t="shared" si="120"/>
        <v>1347.2422530000003</v>
      </c>
      <c r="G3899" s="3">
        <f t="shared" si="121"/>
        <v>6678.6322530000007</v>
      </c>
    </row>
    <row r="3900" spans="1:7" x14ac:dyDescent="0.3">
      <c r="A3900" t="s">
        <v>13039</v>
      </c>
      <c r="B3900" t="s">
        <v>7829</v>
      </c>
      <c r="C3900" t="s">
        <v>7830</v>
      </c>
      <c r="D3900" s="1" t="s">
        <v>38</v>
      </c>
      <c r="E3900" s="3">
        <v>5571.05</v>
      </c>
      <c r="F3900" s="3">
        <f t="shared" si="120"/>
        <v>1407.8043350000003</v>
      </c>
      <c r="G3900" s="3">
        <f t="shared" si="121"/>
        <v>6978.854335</v>
      </c>
    </row>
    <row r="3901" spans="1:7" x14ac:dyDescent="0.3">
      <c r="A3901" t="s">
        <v>13039</v>
      </c>
      <c r="B3901" t="s">
        <v>7831</v>
      </c>
      <c r="C3901" t="s">
        <v>7832</v>
      </c>
      <c r="D3901" s="1" t="s">
        <v>38</v>
      </c>
      <c r="E3901" s="3">
        <v>1721.59</v>
      </c>
      <c r="F3901" s="3">
        <f t="shared" si="120"/>
        <v>435.04579300000006</v>
      </c>
      <c r="G3901" s="3">
        <f t="shared" si="121"/>
        <v>2156.6357929999999</v>
      </c>
    </row>
    <row r="3902" spans="1:7" x14ac:dyDescent="0.3">
      <c r="A3902" t="s">
        <v>13039</v>
      </c>
      <c r="B3902" t="s">
        <v>7833</v>
      </c>
      <c r="C3902" t="s">
        <v>7834</v>
      </c>
      <c r="D3902" s="1" t="s">
        <v>38</v>
      </c>
      <c r="E3902" s="3">
        <v>2398.69</v>
      </c>
      <c r="F3902" s="3">
        <f t="shared" si="120"/>
        <v>606.14896300000009</v>
      </c>
      <c r="G3902" s="3">
        <f t="shared" si="121"/>
        <v>3004.8389630000001</v>
      </c>
    </row>
    <row r="3903" spans="1:7" x14ac:dyDescent="0.3">
      <c r="A3903" t="s">
        <v>13039</v>
      </c>
      <c r="B3903" t="s">
        <v>7835</v>
      </c>
      <c r="C3903" t="s">
        <v>7836</v>
      </c>
      <c r="D3903" s="1" t="s">
        <v>38</v>
      </c>
      <c r="E3903" s="3">
        <v>1811.89</v>
      </c>
      <c r="F3903" s="3">
        <f t="shared" si="120"/>
        <v>457.8646030000001</v>
      </c>
      <c r="G3903" s="3">
        <f t="shared" si="121"/>
        <v>2269.7546030000003</v>
      </c>
    </row>
    <row r="3904" spans="1:7" x14ac:dyDescent="0.3">
      <c r="A3904" t="s">
        <v>13039</v>
      </c>
      <c r="B3904" t="s">
        <v>7837</v>
      </c>
      <c r="C3904" t="s">
        <v>7838</v>
      </c>
      <c r="D3904" s="1" t="s">
        <v>38</v>
      </c>
      <c r="E3904" s="3">
        <v>2510.2399999999998</v>
      </c>
      <c r="F3904" s="3">
        <f t="shared" si="120"/>
        <v>634.33764800000006</v>
      </c>
      <c r="G3904" s="3">
        <f t="shared" si="121"/>
        <v>3144.577648</v>
      </c>
    </row>
    <row r="3905" spans="1:7" x14ac:dyDescent="0.3">
      <c r="A3905" t="s">
        <v>13039</v>
      </c>
      <c r="B3905" t="s">
        <v>7839</v>
      </c>
      <c r="C3905" t="s">
        <v>7840</v>
      </c>
      <c r="D3905" s="1" t="s">
        <v>38</v>
      </c>
      <c r="E3905" s="3">
        <v>2535.77</v>
      </c>
      <c r="F3905" s="3">
        <f t="shared" si="120"/>
        <v>640.78907900000013</v>
      </c>
      <c r="G3905" s="3">
        <f t="shared" si="121"/>
        <v>3176.5590790000001</v>
      </c>
    </row>
    <row r="3906" spans="1:7" x14ac:dyDescent="0.3">
      <c r="A3906" t="s">
        <v>13039</v>
      </c>
      <c r="B3906" t="s">
        <v>7841</v>
      </c>
      <c r="C3906" t="s">
        <v>7842</v>
      </c>
      <c r="D3906" s="1" t="s">
        <v>38</v>
      </c>
      <c r="E3906" s="3">
        <v>1947.2</v>
      </c>
      <c r="F3906" s="3">
        <f t="shared" si="120"/>
        <v>492.0574400000001</v>
      </c>
      <c r="G3906" s="3">
        <f t="shared" si="121"/>
        <v>2439.2574400000003</v>
      </c>
    </row>
    <row r="3907" spans="1:7" x14ac:dyDescent="0.3">
      <c r="A3907" t="s">
        <v>13039</v>
      </c>
      <c r="B3907" t="s">
        <v>7843</v>
      </c>
      <c r="C3907" t="s">
        <v>7844</v>
      </c>
      <c r="D3907" s="1" t="s">
        <v>38</v>
      </c>
      <c r="E3907" s="3">
        <v>2653</v>
      </c>
      <c r="F3907" s="3">
        <f t="shared" si="120"/>
        <v>670.4131000000001</v>
      </c>
      <c r="G3907" s="3">
        <f t="shared" si="121"/>
        <v>3323.4131000000002</v>
      </c>
    </row>
    <row r="3908" spans="1:7" x14ac:dyDescent="0.3">
      <c r="A3908" t="s">
        <v>13039</v>
      </c>
      <c r="B3908" t="s">
        <v>7845</v>
      </c>
      <c r="C3908" t="s">
        <v>7846</v>
      </c>
      <c r="D3908" s="1" t="s">
        <v>3650</v>
      </c>
      <c r="E3908" s="3">
        <v>24200.9</v>
      </c>
      <c r="F3908" s="3">
        <f t="shared" si="120"/>
        <v>6115.567430000001</v>
      </c>
      <c r="G3908" s="3">
        <f t="shared" si="121"/>
        <v>30316.467430000004</v>
      </c>
    </row>
    <row r="3909" spans="1:7" x14ac:dyDescent="0.3">
      <c r="A3909" t="s">
        <v>13039</v>
      </c>
      <c r="B3909" t="s">
        <v>7847</v>
      </c>
      <c r="C3909" t="s">
        <v>7848</v>
      </c>
      <c r="D3909" s="1" t="s">
        <v>3650</v>
      </c>
      <c r="E3909" s="3">
        <v>25779.38</v>
      </c>
      <c r="F3909" s="3">
        <f t="shared" si="120"/>
        <v>6514.4493260000008</v>
      </c>
      <c r="G3909" s="3">
        <f t="shared" si="121"/>
        <v>32293.829326000003</v>
      </c>
    </row>
    <row r="3910" spans="1:7" x14ac:dyDescent="0.3">
      <c r="A3910" t="s">
        <v>13039</v>
      </c>
      <c r="B3910" t="s">
        <v>7849</v>
      </c>
      <c r="C3910" t="s">
        <v>7850</v>
      </c>
      <c r="D3910" s="1" t="s">
        <v>3650</v>
      </c>
      <c r="E3910" s="3">
        <v>26548.97</v>
      </c>
      <c r="F3910" s="3">
        <f t="shared" si="120"/>
        <v>6708.9247190000015</v>
      </c>
      <c r="G3910" s="3">
        <f t="shared" si="121"/>
        <v>33257.894719000004</v>
      </c>
    </row>
    <row r="3911" spans="1:7" x14ac:dyDescent="0.3">
      <c r="A3911" t="s">
        <v>13039</v>
      </c>
      <c r="B3911" t="s">
        <v>7851</v>
      </c>
      <c r="C3911" t="s">
        <v>7852</v>
      </c>
      <c r="D3911" s="1" t="s">
        <v>3650</v>
      </c>
      <c r="E3911" s="3">
        <v>25268.44</v>
      </c>
      <c r="F3911" s="3">
        <f t="shared" ref="F3911:F3974" si="122">+E3911*$F$4</f>
        <v>6385.3347880000001</v>
      </c>
      <c r="G3911" s="3">
        <f t="shared" ref="G3911:G3974" si="123">+E3911+F3911</f>
        <v>31653.774787999999</v>
      </c>
    </row>
    <row r="3912" spans="1:7" x14ac:dyDescent="0.3">
      <c r="A3912" t="s">
        <v>13039</v>
      </c>
      <c r="B3912" t="s">
        <v>7853</v>
      </c>
      <c r="C3912" t="s">
        <v>7854</v>
      </c>
      <c r="D3912" s="1" t="s">
        <v>3650</v>
      </c>
      <c r="E3912" s="3">
        <v>26904.85</v>
      </c>
      <c r="F3912" s="3">
        <f t="shared" si="122"/>
        <v>6798.8555950000009</v>
      </c>
      <c r="G3912" s="3">
        <f t="shared" si="123"/>
        <v>33703.705594999999</v>
      </c>
    </row>
    <row r="3913" spans="1:7" x14ac:dyDescent="0.3">
      <c r="A3913" t="s">
        <v>13039</v>
      </c>
      <c r="B3913" t="s">
        <v>7855</v>
      </c>
      <c r="C3913" t="s">
        <v>7856</v>
      </c>
      <c r="D3913" s="1" t="s">
        <v>3650</v>
      </c>
      <c r="E3913" s="3">
        <v>27696</v>
      </c>
      <c r="F3913" s="3">
        <f t="shared" si="122"/>
        <v>6998.7792000000009</v>
      </c>
      <c r="G3913" s="3">
        <f t="shared" si="123"/>
        <v>34694.779200000004</v>
      </c>
    </row>
    <row r="3914" spans="1:7" x14ac:dyDescent="0.3">
      <c r="A3914" t="s">
        <v>13039</v>
      </c>
      <c r="B3914" t="s">
        <v>7857</v>
      </c>
      <c r="C3914" t="s">
        <v>7858</v>
      </c>
      <c r="D3914" s="1" t="s">
        <v>3650</v>
      </c>
      <c r="E3914" s="3">
        <v>22381.22</v>
      </c>
      <c r="F3914" s="3">
        <f t="shared" si="122"/>
        <v>5655.7342940000008</v>
      </c>
      <c r="G3914" s="3">
        <f t="shared" si="123"/>
        <v>28036.954294000003</v>
      </c>
    </row>
    <row r="3915" spans="1:7" x14ac:dyDescent="0.3">
      <c r="A3915" t="s">
        <v>13039</v>
      </c>
      <c r="B3915" t="s">
        <v>7859</v>
      </c>
      <c r="C3915" t="s">
        <v>7860</v>
      </c>
      <c r="D3915" s="1" t="s">
        <v>3650</v>
      </c>
      <c r="E3915" s="3">
        <v>22781.58</v>
      </c>
      <c r="F3915" s="3">
        <f t="shared" si="122"/>
        <v>5756.9052660000016</v>
      </c>
      <c r="G3915" s="3">
        <f t="shared" si="123"/>
        <v>28538.485266000003</v>
      </c>
    </row>
    <row r="3916" spans="1:7" x14ac:dyDescent="0.3">
      <c r="A3916" t="s">
        <v>13039</v>
      </c>
      <c r="B3916" t="s">
        <v>7861</v>
      </c>
      <c r="C3916" t="s">
        <v>7862</v>
      </c>
      <c r="D3916" s="1" t="s">
        <v>3650</v>
      </c>
      <c r="E3916" s="3">
        <v>24336.84</v>
      </c>
      <c r="F3916" s="3">
        <f t="shared" si="122"/>
        <v>6149.919468000001</v>
      </c>
      <c r="G3916" s="3">
        <f t="shared" si="123"/>
        <v>30486.759468</v>
      </c>
    </row>
    <row r="3917" spans="1:7" x14ac:dyDescent="0.3">
      <c r="A3917" t="s">
        <v>13039</v>
      </c>
      <c r="B3917" t="s">
        <v>7863</v>
      </c>
      <c r="C3917" t="s">
        <v>7864</v>
      </c>
      <c r="D3917" s="1" t="s">
        <v>3650</v>
      </c>
      <c r="E3917" s="3">
        <v>23377.85</v>
      </c>
      <c r="F3917" s="3">
        <f t="shared" si="122"/>
        <v>5907.5826950000001</v>
      </c>
      <c r="G3917" s="3">
        <f t="shared" si="123"/>
        <v>29285.432695</v>
      </c>
    </row>
    <row r="3918" spans="1:7" x14ac:dyDescent="0.3">
      <c r="A3918" t="s">
        <v>13039</v>
      </c>
      <c r="B3918" t="s">
        <v>7865</v>
      </c>
      <c r="C3918" t="s">
        <v>7866</v>
      </c>
      <c r="D3918" s="1" t="s">
        <v>3650</v>
      </c>
      <c r="E3918" s="3">
        <v>23781.1</v>
      </c>
      <c r="F3918" s="3">
        <f t="shared" si="122"/>
        <v>6009.4839700000002</v>
      </c>
      <c r="G3918" s="3">
        <f t="shared" si="123"/>
        <v>29790.58397</v>
      </c>
    </row>
    <row r="3919" spans="1:7" x14ac:dyDescent="0.3">
      <c r="A3919" t="s">
        <v>13039</v>
      </c>
      <c r="B3919" t="s">
        <v>7867</v>
      </c>
      <c r="C3919" t="s">
        <v>7868</v>
      </c>
      <c r="D3919" s="1" t="s">
        <v>3650</v>
      </c>
      <c r="E3919" s="3">
        <v>25393.83</v>
      </c>
      <c r="F3919" s="3">
        <f t="shared" si="122"/>
        <v>6417.0208410000014</v>
      </c>
      <c r="G3919" s="3">
        <f t="shared" si="123"/>
        <v>31810.850841000003</v>
      </c>
    </row>
    <row r="3920" spans="1:7" x14ac:dyDescent="0.3">
      <c r="A3920" t="s">
        <v>13039</v>
      </c>
      <c r="B3920" t="s">
        <v>7869</v>
      </c>
      <c r="C3920" t="s">
        <v>7870</v>
      </c>
      <c r="D3920" s="1" t="s">
        <v>3650</v>
      </c>
      <c r="E3920" s="3">
        <v>22105.53</v>
      </c>
      <c r="F3920" s="3">
        <f t="shared" si="122"/>
        <v>5586.0674310000004</v>
      </c>
      <c r="G3920" s="3">
        <f t="shared" si="123"/>
        <v>27691.597430999998</v>
      </c>
    </row>
    <row r="3921" spans="1:7" x14ac:dyDescent="0.3">
      <c r="A3921" t="s">
        <v>13039</v>
      </c>
      <c r="B3921" t="s">
        <v>7871</v>
      </c>
      <c r="C3921" t="s">
        <v>7872</v>
      </c>
      <c r="D3921" s="1" t="s">
        <v>3650</v>
      </c>
      <c r="E3921" s="3">
        <v>28308.01</v>
      </c>
      <c r="F3921" s="3">
        <f t="shared" si="122"/>
        <v>7153.4341270000004</v>
      </c>
      <c r="G3921" s="3">
        <f t="shared" si="123"/>
        <v>35461.444126999995</v>
      </c>
    </row>
    <row r="3922" spans="1:7" x14ac:dyDescent="0.3">
      <c r="A3922" t="s">
        <v>13039</v>
      </c>
      <c r="B3922" t="s">
        <v>7873</v>
      </c>
      <c r="C3922" t="s">
        <v>7874</v>
      </c>
      <c r="D3922" s="1" t="s">
        <v>3650</v>
      </c>
      <c r="E3922" s="3">
        <v>29462.39</v>
      </c>
      <c r="F3922" s="3">
        <f t="shared" si="122"/>
        <v>7445.1459530000011</v>
      </c>
      <c r="G3922" s="3">
        <f t="shared" si="123"/>
        <v>36907.535952999999</v>
      </c>
    </row>
    <row r="3923" spans="1:7" x14ac:dyDescent="0.3">
      <c r="A3923" t="s">
        <v>13039</v>
      </c>
      <c r="B3923" t="s">
        <v>7875</v>
      </c>
      <c r="C3923" t="s">
        <v>7876</v>
      </c>
      <c r="D3923" s="1" t="s">
        <v>3650</v>
      </c>
      <c r="E3923" s="3">
        <v>23002.639999999999</v>
      </c>
      <c r="F3923" s="3">
        <f t="shared" si="122"/>
        <v>5812.7671280000004</v>
      </c>
      <c r="G3923" s="3">
        <f t="shared" si="123"/>
        <v>28815.407127999999</v>
      </c>
    </row>
    <row r="3924" spans="1:7" x14ac:dyDescent="0.3">
      <c r="A3924" t="s">
        <v>13039</v>
      </c>
      <c r="B3924" t="s">
        <v>7877</v>
      </c>
      <c r="C3924" t="s">
        <v>7878</v>
      </c>
      <c r="D3924" s="1" t="s">
        <v>3650</v>
      </c>
      <c r="E3924" s="3">
        <v>29508.33</v>
      </c>
      <c r="F3924" s="3">
        <f t="shared" si="122"/>
        <v>7456.7549910000016</v>
      </c>
      <c r="G3924" s="3">
        <f t="shared" si="123"/>
        <v>36965.084991000003</v>
      </c>
    </row>
    <row r="3925" spans="1:7" x14ac:dyDescent="0.3">
      <c r="A3925" t="s">
        <v>13039</v>
      </c>
      <c r="B3925" t="s">
        <v>7879</v>
      </c>
      <c r="C3925" t="s">
        <v>7880</v>
      </c>
      <c r="D3925" s="1" t="s">
        <v>3650</v>
      </c>
      <c r="E3925" s="3">
        <v>30695.06</v>
      </c>
      <c r="F3925" s="3">
        <f t="shared" si="122"/>
        <v>7756.6416620000018</v>
      </c>
      <c r="G3925" s="3">
        <f t="shared" si="123"/>
        <v>38451.701662000007</v>
      </c>
    </row>
    <row r="3926" spans="1:7" x14ac:dyDescent="0.3">
      <c r="A3926" t="s">
        <v>13039</v>
      </c>
      <c r="B3926" t="s">
        <v>7881</v>
      </c>
      <c r="C3926" t="s">
        <v>7882</v>
      </c>
      <c r="D3926" s="1" t="s">
        <v>38</v>
      </c>
      <c r="E3926" s="3">
        <v>10.75</v>
      </c>
      <c r="F3926" s="3">
        <f t="shared" si="122"/>
        <v>2.7165250000000003</v>
      </c>
      <c r="G3926" s="3">
        <f t="shared" si="123"/>
        <v>13.466525000000001</v>
      </c>
    </row>
    <row r="3927" spans="1:7" x14ac:dyDescent="0.3">
      <c r="A3927" t="s">
        <v>13039</v>
      </c>
      <c r="B3927" t="s">
        <v>7883</v>
      </c>
      <c r="C3927" t="s">
        <v>7884</v>
      </c>
      <c r="D3927" s="1" t="s">
        <v>38</v>
      </c>
      <c r="E3927" s="3">
        <v>8.1199999999999992</v>
      </c>
      <c r="F3927" s="3">
        <f t="shared" si="122"/>
        <v>2.0519240000000001</v>
      </c>
      <c r="G3927" s="3">
        <f t="shared" si="123"/>
        <v>10.171923999999999</v>
      </c>
    </row>
    <row r="3928" spans="1:7" x14ac:dyDescent="0.3">
      <c r="A3928" t="s">
        <v>13039</v>
      </c>
      <c r="B3928" t="s">
        <v>7885</v>
      </c>
      <c r="C3928" t="s">
        <v>7886</v>
      </c>
      <c r="D3928" s="1" t="s">
        <v>3650</v>
      </c>
      <c r="E3928" s="3">
        <v>129.87</v>
      </c>
      <c r="F3928" s="3">
        <f t="shared" si="122"/>
        <v>32.818149000000005</v>
      </c>
      <c r="G3928" s="3">
        <f t="shared" si="123"/>
        <v>162.68814900000001</v>
      </c>
    </row>
    <row r="3929" spans="1:7" x14ac:dyDescent="0.3">
      <c r="A3929" t="s">
        <v>13039</v>
      </c>
      <c r="B3929" t="s">
        <v>7887</v>
      </c>
      <c r="C3929" t="s">
        <v>7888</v>
      </c>
      <c r="D3929" s="1" t="s">
        <v>3650</v>
      </c>
      <c r="E3929" s="3">
        <v>151.30000000000001</v>
      </c>
      <c r="F3929" s="3">
        <f t="shared" si="122"/>
        <v>38.23351000000001</v>
      </c>
      <c r="G3929" s="3">
        <f t="shared" si="123"/>
        <v>189.53351000000004</v>
      </c>
    </row>
    <row r="3930" spans="1:7" x14ac:dyDescent="0.3">
      <c r="A3930" t="s">
        <v>13039</v>
      </c>
      <c r="B3930" t="s">
        <v>7889</v>
      </c>
      <c r="C3930" t="s">
        <v>7890</v>
      </c>
      <c r="D3930" s="1" t="s">
        <v>3650</v>
      </c>
      <c r="E3930" s="3">
        <v>76.040000000000006</v>
      </c>
      <c r="F3930" s="3">
        <f t="shared" si="122"/>
        <v>19.215308000000004</v>
      </c>
      <c r="G3930" s="3">
        <f t="shared" si="123"/>
        <v>95.255308000000014</v>
      </c>
    </row>
    <row r="3931" spans="1:7" x14ac:dyDescent="0.3">
      <c r="A3931" t="s">
        <v>13039</v>
      </c>
      <c r="B3931" t="s">
        <v>7891</v>
      </c>
      <c r="C3931" t="s">
        <v>7892</v>
      </c>
      <c r="D3931" s="1" t="s">
        <v>38</v>
      </c>
      <c r="E3931" s="3">
        <v>10.83</v>
      </c>
      <c r="F3931" s="3">
        <f t="shared" si="122"/>
        <v>2.7367410000000003</v>
      </c>
      <c r="G3931" s="3">
        <f t="shared" si="123"/>
        <v>13.566741</v>
      </c>
    </row>
    <row r="3932" spans="1:7" x14ac:dyDescent="0.3">
      <c r="A3932" t="s">
        <v>13039</v>
      </c>
      <c r="B3932" t="s">
        <v>7893</v>
      </c>
      <c r="C3932" t="s">
        <v>7894</v>
      </c>
      <c r="D3932" s="1" t="s">
        <v>3650</v>
      </c>
      <c r="E3932" s="3">
        <v>6404.12</v>
      </c>
      <c r="F3932" s="3">
        <f t="shared" si="122"/>
        <v>1618.3211240000003</v>
      </c>
      <c r="G3932" s="3">
        <f t="shared" si="123"/>
        <v>8022.4411239999999</v>
      </c>
    </row>
    <row r="3933" spans="1:7" x14ac:dyDescent="0.3">
      <c r="A3933" t="s">
        <v>13039</v>
      </c>
      <c r="B3933" t="s">
        <v>7895</v>
      </c>
      <c r="C3933" t="s">
        <v>7896</v>
      </c>
      <c r="D3933" s="1" t="s">
        <v>3650</v>
      </c>
      <c r="E3933" s="3">
        <v>6701.33</v>
      </c>
      <c r="F3933" s="3">
        <f t="shared" si="122"/>
        <v>1693.4260910000003</v>
      </c>
      <c r="G3933" s="3">
        <f t="shared" si="123"/>
        <v>8394.7560909999993</v>
      </c>
    </row>
    <row r="3934" spans="1:7" x14ac:dyDescent="0.3">
      <c r="A3934" t="s">
        <v>13039</v>
      </c>
      <c r="B3934" t="s">
        <v>7897</v>
      </c>
      <c r="C3934" t="s">
        <v>7898</v>
      </c>
      <c r="D3934" s="1" t="s">
        <v>3650</v>
      </c>
      <c r="E3934" s="3">
        <v>7061.89</v>
      </c>
      <c r="F3934" s="3">
        <f t="shared" si="122"/>
        <v>1784.5396030000004</v>
      </c>
      <c r="G3934" s="3">
        <f t="shared" si="123"/>
        <v>8846.4296030000005</v>
      </c>
    </row>
    <row r="3935" spans="1:7" x14ac:dyDescent="0.3">
      <c r="A3935" t="s">
        <v>13039</v>
      </c>
      <c r="B3935" t="s">
        <v>7899</v>
      </c>
      <c r="C3935" t="s">
        <v>7900</v>
      </c>
      <c r="D3935" s="1" t="s">
        <v>3650</v>
      </c>
      <c r="E3935" s="3">
        <v>9390.7900000000009</v>
      </c>
      <c r="F3935" s="3">
        <f t="shared" si="122"/>
        <v>2373.0526330000007</v>
      </c>
      <c r="G3935" s="3">
        <f t="shared" si="123"/>
        <v>11763.842633000002</v>
      </c>
    </row>
    <row r="3936" spans="1:7" x14ac:dyDescent="0.3">
      <c r="A3936" t="s">
        <v>13039</v>
      </c>
      <c r="B3936" t="s">
        <v>7901</v>
      </c>
      <c r="C3936" t="s">
        <v>7902</v>
      </c>
      <c r="D3936" s="1" t="s">
        <v>3650</v>
      </c>
      <c r="E3936" s="3">
        <v>9835.7999999999993</v>
      </c>
      <c r="F3936" s="3">
        <f t="shared" si="122"/>
        <v>2485.50666</v>
      </c>
      <c r="G3936" s="3">
        <f t="shared" si="123"/>
        <v>12321.306659999998</v>
      </c>
    </row>
    <row r="3937" spans="1:7" x14ac:dyDescent="0.3">
      <c r="A3937" t="s">
        <v>13039</v>
      </c>
      <c r="B3937" t="s">
        <v>7903</v>
      </c>
      <c r="C3937" t="s">
        <v>7904</v>
      </c>
      <c r="D3937" s="1" t="s">
        <v>3650</v>
      </c>
      <c r="E3937" s="3">
        <v>10379.09</v>
      </c>
      <c r="F3937" s="3">
        <f t="shared" si="122"/>
        <v>2622.7960430000003</v>
      </c>
      <c r="G3937" s="3">
        <f t="shared" si="123"/>
        <v>13001.886043</v>
      </c>
    </row>
    <row r="3938" spans="1:7" x14ac:dyDescent="0.3">
      <c r="A3938" t="s">
        <v>13039</v>
      </c>
      <c r="B3938" t="s">
        <v>7905</v>
      </c>
      <c r="C3938" t="s">
        <v>7906</v>
      </c>
      <c r="D3938" s="1" t="s">
        <v>3650</v>
      </c>
      <c r="E3938" s="3">
        <v>9662.6</v>
      </c>
      <c r="F3938" s="3">
        <f t="shared" si="122"/>
        <v>2441.7390200000004</v>
      </c>
      <c r="G3938" s="3">
        <f t="shared" si="123"/>
        <v>12104.339020000001</v>
      </c>
    </row>
    <row r="3939" spans="1:7" x14ac:dyDescent="0.3">
      <c r="A3939" t="s">
        <v>13039</v>
      </c>
      <c r="B3939" t="s">
        <v>7907</v>
      </c>
      <c r="C3939" t="s">
        <v>7908</v>
      </c>
      <c r="D3939" s="1" t="s">
        <v>3650</v>
      </c>
      <c r="E3939" s="3">
        <v>10113.84</v>
      </c>
      <c r="F3939" s="3">
        <f t="shared" si="122"/>
        <v>2555.7673680000003</v>
      </c>
      <c r="G3939" s="3">
        <f t="shared" si="123"/>
        <v>12669.607368000001</v>
      </c>
    </row>
    <row r="3940" spans="1:7" x14ac:dyDescent="0.3">
      <c r="A3940" t="s">
        <v>13039</v>
      </c>
      <c r="B3940" t="s">
        <v>7909</v>
      </c>
      <c r="C3940" t="s">
        <v>7910</v>
      </c>
      <c r="D3940" s="1" t="s">
        <v>3650</v>
      </c>
      <c r="E3940" s="3">
        <v>10658.02</v>
      </c>
      <c r="F3940" s="3">
        <f t="shared" si="122"/>
        <v>2693.2816540000003</v>
      </c>
      <c r="G3940" s="3">
        <f t="shared" si="123"/>
        <v>13351.301654000001</v>
      </c>
    </row>
    <row r="3941" spans="1:7" x14ac:dyDescent="0.3">
      <c r="A3941" t="s">
        <v>13039</v>
      </c>
      <c r="B3941" t="s">
        <v>7911</v>
      </c>
      <c r="C3941" t="s">
        <v>7912</v>
      </c>
      <c r="D3941" s="1" t="s">
        <v>3650</v>
      </c>
      <c r="E3941" s="3">
        <v>14192.07</v>
      </c>
      <c r="F3941" s="3">
        <f t="shared" si="122"/>
        <v>3586.3360890000004</v>
      </c>
      <c r="G3941" s="3">
        <f t="shared" si="123"/>
        <v>17778.406089</v>
      </c>
    </row>
    <row r="3942" spans="1:7" x14ac:dyDescent="0.3">
      <c r="A3942" t="s">
        <v>13039</v>
      </c>
      <c r="B3942" t="s">
        <v>7913</v>
      </c>
      <c r="C3942" t="s">
        <v>7914</v>
      </c>
      <c r="D3942" s="1" t="s">
        <v>3650</v>
      </c>
      <c r="E3942" s="3">
        <v>14874.38</v>
      </c>
      <c r="F3942" s="3">
        <f t="shared" si="122"/>
        <v>3758.7558260000005</v>
      </c>
      <c r="G3942" s="3">
        <f t="shared" si="123"/>
        <v>18633.135825999998</v>
      </c>
    </row>
    <row r="3943" spans="1:7" x14ac:dyDescent="0.3">
      <c r="A3943" t="s">
        <v>13039</v>
      </c>
      <c r="B3943" t="s">
        <v>7915</v>
      </c>
      <c r="C3943" t="s">
        <v>7916</v>
      </c>
      <c r="D3943" s="1" t="s">
        <v>3650</v>
      </c>
      <c r="E3943" s="3">
        <v>15685.97</v>
      </c>
      <c r="F3943" s="3">
        <f t="shared" si="122"/>
        <v>3963.8446190000004</v>
      </c>
      <c r="G3943" s="3">
        <f t="shared" si="123"/>
        <v>19649.814619000001</v>
      </c>
    </row>
    <row r="3944" spans="1:7" x14ac:dyDescent="0.3">
      <c r="A3944" t="s">
        <v>13039</v>
      </c>
      <c r="B3944" t="s">
        <v>7917</v>
      </c>
      <c r="C3944" t="s">
        <v>7918</v>
      </c>
      <c r="D3944" s="1" t="s">
        <v>3650</v>
      </c>
      <c r="E3944" s="3">
        <v>6518.53</v>
      </c>
      <c r="F3944" s="3">
        <f t="shared" si="122"/>
        <v>1647.2325310000001</v>
      </c>
      <c r="G3944" s="3">
        <f t="shared" si="123"/>
        <v>8165.7625310000003</v>
      </c>
    </row>
    <row r="3945" spans="1:7" x14ac:dyDescent="0.3">
      <c r="A3945" t="s">
        <v>13039</v>
      </c>
      <c r="B3945" t="s">
        <v>7919</v>
      </c>
      <c r="C3945" t="s">
        <v>7920</v>
      </c>
      <c r="D3945" s="1" t="s">
        <v>3650</v>
      </c>
      <c r="E3945" s="3">
        <v>6843.11</v>
      </c>
      <c r="F3945" s="3">
        <f t="shared" si="122"/>
        <v>1729.2538970000001</v>
      </c>
      <c r="G3945" s="3">
        <f t="shared" si="123"/>
        <v>8572.3638969999993</v>
      </c>
    </row>
    <row r="3946" spans="1:7" x14ac:dyDescent="0.3">
      <c r="A3946" t="s">
        <v>13039</v>
      </c>
      <c r="B3946" t="s">
        <v>7921</v>
      </c>
      <c r="C3946" t="s">
        <v>7922</v>
      </c>
      <c r="D3946" s="1" t="s">
        <v>3650</v>
      </c>
      <c r="E3946" s="3">
        <v>459.46</v>
      </c>
      <c r="F3946" s="3">
        <f t="shared" si="122"/>
        <v>116.10554200000001</v>
      </c>
      <c r="G3946" s="3">
        <f t="shared" si="123"/>
        <v>575.56554200000005</v>
      </c>
    </row>
    <row r="3947" spans="1:7" x14ac:dyDescent="0.3">
      <c r="A3947" t="s">
        <v>13039</v>
      </c>
      <c r="B3947" t="s">
        <v>7923</v>
      </c>
      <c r="C3947" t="s">
        <v>7924</v>
      </c>
      <c r="D3947" s="1" t="s">
        <v>3650</v>
      </c>
      <c r="E3947" s="3">
        <v>3514.62</v>
      </c>
      <c r="F3947" s="3">
        <f t="shared" si="122"/>
        <v>888.14447400000006</v>
      </c>
      <c r="G3947" s="3">
        <f t="shared" si="123"/>
        <v>4402.7644739999996</v>
      </c>
    </row>
    <row r="3948" spans="1:7" x14ac:dyDescent="0.3">
      <c r="A3948" t="s">
        <v>13039</v>
      </c>
      <c r="B3948" t="s">
        <v>7925</v>
      </c>
      <c r="C3948" t="s">
        <v>7926</v>
      </c>
      <c r="D3948" s="1" t="s">
        <v>3650</v>
      </c>
      <c r="E3948" s="3">
        <v>2475.1</v>
      </c>
      <c r="F3948" s="3">
        <f t="shared" si="122"/>
        <v>625.4577700000001</v>
      </c>
      <c r="G3948" s="3">
        <f t="shared" si="123"/>
        <v>3100.5577699999999</v>
      </c>
    </row>
    <row r="3949" spans="1:7" x14ac:dyDescent="0.3">
      <c r="A3949" t="s">
        <v>13039</v>
      </c>
      <c r="B3949" t="s">
        <v>7927</v>
      </c>
      <c r="C3949" t="s">
        <v>7928</v>
      </c>
      <c r="D3949" s="1" t="s">
        <v>3650</v>
      </c>
      <c r="E3949" s="3">
        <v>4217.82</v>
      </c>
      <c r="F3949" s="3">
        <f t="shared" si="122"/>
        <v>1065.843114</v>
      </c>
      <c r="G3949" s="3">
        <f t="shared" si="123"/>
        <v>5283.663114</v>
      </c>
    </row>
    <row r="3950" spans="1:7" x14ac:dyDescent="0.3">
      <c r="A3950" t="s">
        <v>13039</v>
      </c>
      <c r="B3950" t="s">
        <v>7929</v>
      </c>
      <c r="C3950" t="s">
        <v>7930</v>
      </c>
      <c r="D3950" s="1" t="s">
        <v>38</v>
      </c>
      <c r="E3950" s="3">
        <v>98.26</v>
      </c>
      <c r="F3950" s="3">
        <f t="shared" si="122"/>
        <v>24.830302000000003</v>
      </c>
      <c r="G3950" s="3">
        <f t="shared" si="123"/>
        <v>123.09030200000001</v>
      </c>
    </row>
    <row r="3951" spans="1:7" x14ac:dyDescent="0.3">
      <c r="A3951" t="s">
        <v>13039</v>
      </c>
      <c r="B3951" t="s">
        <v>7931</v>
      </c>
      <c r="C3951" t="s">
        <v>7932</v>
      </c>
      <c r="D3951" s="1" t="s">
        <v>38</v>
      </c>
      <c r="E3951" s="3">
        <v>100.86</v>
      </c>
      <c r="F3951" s="3">
        <f t="shared" si="122"/>
        <v>25.487322000000002</v>
      </c>
      <c r="G3951" s="3">
        <f t="shared" si="123"/>
        <v>126.34732200000001</v>
      </c>
    </row>
    <row r="3952" spans="1:7" x14ac:dyDescent="0.3">
      <c r="A3952" t="s">
        <v>13039</v>
      </c>
      <c r="B3952" t="s">
        <v>7933</v>
      </c>
      <c r="C3952" t="s">
        <v>7934</v>
      </c>
      <c r="D3952" s="1" t="s">
        <v>38</v>
      </c>
      <c r="E3952" s="3">
        <v>187.68</v>
      </c>
      <c r="F3952" s="3">
        <f t="shared" si="122"/>
        <v>47.426736000000005</v>
      </c>
      <c r="G3952" s="3">
        <f t="shared" si="123"/>
        <v>235.10673600000001</v>
      </c>
    </row>
    <row r="3953" spans="1:7" x14ac:dyDescent="0.3">
      <c r="A3953" t="s">
        <v>13039</v>
      </c>
      <c r="B3953" t="s">
        <v>7935</v>
      </c>
      <c r="C3953" t="s">
        <v>7936</v>
      </c>
      <c r="D3953" s="1" t="s">
        <v>38</v>
      </c>
      <c r="E3953" s="3">
        <v>192.87</v>
      </c>
      <c r="F3953" s="3">
        <f t="shared" si="122"/>
        <v>48.73824900000001</v>
      </c>
      <c r="G3953" s="3">
        <f t="shared" si="123"/>
        <v>241.608249</v>
      </c>
    </row>
    <row r="3954" spans="1:7" x14ac:dyDescent="0.3">
      <c r="A3954" t="s">
        <v>13039</v>
      </c>
      <c r="B3954" t="s">
        <v>7937</v>
      </c>
      <c r="C3954" t="s">
        <v>7938</v>
      </c>
      <c r="D3954" s="1" t="s">
        <v>38</v>
      </c>
      <c r="E3954" s="3">
        <v>98.71</v>
      </c>
      <c r="F3954" s="3">
        <f t="shared" si="122"/>
        <v>24.944017000000002</v>
      </c>
      <c r="G3954" s="3">
        <f t="shared" si="123"/>
        <v>123.654017</v>
      </c>
    </row>
    <row r="3955" spans="1:7" x14ac:dyDescent="0.3">
      <c r="A3955" t="s">
        <v>13039</v>
      </c>
      <c r="B3955" t="s">
        <v>7939</v>
      </c>
      <c r="C3955" t="s">
        <v>7940</v>
      </c>
      <c r="D3955" s="1" t="s">
        <v>38</v>
      </c>
      <c r="E3955" s="3">
        <v>101.31</v>
      </c>
      <c r="F3955" s="3">
        <f t="shared" si="122"/>
        <v>25.601037000000005</v>
      </c>
      <c r="G3955" s="3">
        <f t="shared" si="123"/>
        <v>126.91103700000001</v>
      </c>
    </row>
    <row r="3956" spans="1:7" x14ac:dyDescent="0.3">
      <c r="A3956" t="s">
        <v>13039</v>
      </c>
      <c r="B3956" t="s">
        <v>7941</v>
      </c>
      <c r="C3956" t="s">
        <v>7942</v>
      </c>
      <c r="D3956" s="1" t="s">
        <v>38</v>
      </c>
      <c r="E3956" s="3">
        <v>187.74</v>
      </c>
      <c r="F3956" s="3">
        <f t="shared" si="122"/>
        <v>47.441898000000009</v>
      </c>
      <c r="G3956" s="3">
        <f t="shared" si="123"/>
        <v>235.18189800000002</v>
      </c>
    </row>
    <row r="3957" spans="1:7" x14ac:dyDescent="0.3">
      <c r="A3957" t="s">
        <v>13039</v>
      </c>
      <c r="B3957" t="s">
        <v>7943</v>
      </c>
      <c r="C3957" t="s">
        <v>7944</v>
      </c>
      <c r="D3957" s="1" t="s">
        <v>38</v>
      </c>
      <c r="E3957" s="3">
        <v>192.93</v>
      </c>
      <c r="F3957" s="3">
        <f t="shared" si="122"/>
        <v>48.753411000000007</v>
      </c>
      <c r="G3957" s="3">
        <f t="shared" si="123"/>
        <v>241.68341100000001</v>
      </c>
    </row>
    <row r="3958" spans="1:7" x14ac:dyDescent="0.3">
      <c r="A3958" t="s">
        <v>13039</v>
      </c>
      <c r="B3958" t="s">
        <v>7945</v>
      </c>
      <c r="C3958" t="s">
        <v>7946</v>
      </c>
      <c r="D3958" s="1" t="s">
        <v>38</v>
      </c>
      <c r="E3958" s="3">
        <v>98.26</v>
      </c>
      <c r="F3958" s="3">
        <f t="shared" si="122"/>
        <v>24.830302000000003</v>
      </c>
      <c r="G3958" s="3">
        <f t="shared" si="123"/>
        <v>123.09030200000001</v>
      </c>
    </row>
    <row r="3959" spans="1:7" x14ac:dyDescent="0.3">
      <c r="A3959" t="s">
        <v>13039</v>
      </c>
      <c r="B3959" t="s">
        <v>7947</v>
      </c>
      <c r="C3959" t="s">
        <v>7948</v>
      </c>
      <c r="D3959" s="1" t="s">
        <v>38</v>
      </c>
      <c r="E3959" s="3">
        <v>100.86</v>
      </c>
      <c r="F3959" s="3">
        <f t="shared" si="122"/>
        <v>25.487322000000002</v>
      </c>
      <c r="G3959" s="3">
        <f t="shared" si="123"/>
        <v>126.34732200000001</v>
      </c>
    </row>
    <row r="3960" spans="1:7" x14ac:dyDescent="0.3">
      <c r="A3960" t="s">
        <v>13039</v>
      </c>
      <c r="B3960" t="s">
        <v>7949</v>
      </c>
      <c r="C3960" t="s">
        <v>7950</v>
      </c>
      <c r="D3960" s="1" t="s">
        <v>38</v>
      </c>
      <c r="E3960" s="3">
        <v>187.68</v>
      </c>
      <c r="F3960" s="3">
        <f t="shared" si="122"/>
        <v>47.426736000000005</v>
      </c>
      <c r="G3960" s="3">
        <f t="shared" si="123"/>
        <v>235.10673600000001</v>
      </c>
    </row>
    <row r="3961" spans="1:7" x14ac:dyDescent="0.3">
      <c r="A3961" t="s">
        <v>13039</v>
      </c>
      <c r="B3961" t="s">
        <v>7951</v>
      </c>
      <c r="C3961" t="s">
        <v>7952</v>
      </c>
      <c r="D3961" s="1" t="s">
        <v>38</v>
      </c>
      <c r="E3961" s="3">
        <v>192.87</v>
      </c>
      <c r="F3961" s="3">
        <f t="shared" si="122"/>
        <v>48.73824900000001</v>
      </c>
      <c r="G3961" s="3">
        <f t="shared" si="123"/>
        <v>241.608249</v>
      </c>
    </row>
    <row r="3962" spans="1:7" x14ac:dyDescent="0.3">
      <c r="A3962" t="s">
        <v>13039</v>
      </c>
      <c r="B3962" t="s">
        <v>7953</v>
      </c>
      <c r="C3962" t="s">
        <v>7954</v>
      </c>
      <c r="D3962" s="1" t="s">
        <v>38</v>
      </c>
      <c r="E3962" s="3">
        <v>98.71</v>
      </c>
      <c r="F3962" s="3">
        <f t="shared" si="122"/>
        <v>24.944017000000002</v>
      </c>
      <c r="G3962" s="3">
        <f t="shared" si="123"/>
        <v>123.654017</v>
      </c>
    </row>
    <row r="3963" spans="1:7" x14ac:dyDescent="0.3">
      <c r="A3963" t="s">
        <v>13039</v>
      </c>
      <c r="B3963" t="s">
        <v>7955</v>
      </c>
      <c r="C3963" t="s">
        <v>7956</v>
      </c>
      <c r="D3963" s="1" t="s">
        <v>38</v>
      </c>
      <c r="E3963" s="3">
        <v>101.31</v>
      </c>
      <c r="F3963" s="3">
        <f t="shared" si="122"/>
        <v>25.601037000000005</v>
      </c>
      <c r="G3963" s="3">
        <f t="shared" si="123"/>
        <v>126.91103700000001</v>
      </c>
    </row>
    <row r="3964" spans="1:7" x14ac:dyDescent="0.3">
      <c r="A3964" t="s">
        <v>13039</v>
      </c>
      <c r="B3964" t="s">
        <v>7957</v>
      </c>
      <c r="C3964" t="s">
        <v>7958</v>
      </c>
      <c r="D3964" s="1" t="s">
        <v>38</v>
      </c>
      <c r="E3964" s="3">
        <v>187.74</v>
      </c>
      <c r="F3964" s="3">
        <f t="shared" si="122"/>
        <v>47.441898000000009</v>
      </c>
      <c r="G3964" s="3">
        <f t="shared" si="123"/>
        <v>235.18189800000002</v>
      </c>
    </row>
    <row r="3965" spans="1:7" x14ac:dyDescent="0.3">
      <c r="A3965" t="s">
        <v>13039</v>
      </c>
      <c r="B3965" t="s">
        <v>7959</v>
      </c>
      <c r="C3965" t="s">
        <v>7960</v>
      </c>
      <c r="D3965" s="1" t="s">
        <v>38</v>
      </c>
      <c r="E3965" s="3">
        <v>192.93</v>
      </c>
      <c r="F3965" s="3">
        <f t="shared" si="122"/>
        <v>48.753411000000007</v>
      </c>
      <c r="G3965" s="3">
        <f t="shared" si="123"/>
        <v>241.68341100000001</v>
      </c>
    </row>
    <row r="3966" spans="1:7" x14ac:dyDescent="0.3">
      <c r="A3966" t="s">
        <v>13039</v>
      </c>
      <c r="B3966" t="s">
        <v>7961</v>
      </c>
      <c r="C3966" t="s">
        <v>7962</v>
      </c>
      <c r="D3966" s="1" t="s">
        <v>38</v>
      </c>
      <c r="E3966" s="3">
        <v>0.15</v>
      </c>
      <c r="F3966" s="3">
        <f t="shared" si="122"/>
        <v>3.7905000000000001E-2</v>
      </c>
      <c r="G3966" s="3">
        <f t="shared" si="123"/>
        <v>0.18790499999999999</v>
      </c>
    </row>
    <row r="3967" spans="1:7" x14ac:dyDescent="0.3">
      <c r="A3967" t="s">
        <v>13039</v>
      </c>
      <c r="B3967" t="s">
        <v>7963</v>
      </c>
      <c r="C3967" t="s">
        <v>7964</v>
      </c>
      <c r="D3967" s="1" t="s">
        <v>38</v>
      </c>
      <c r="E3967" s="3">
        <v>48.93</v>
      </c>
      <c r="F3967" s="3">
        <f t="shared" si="122"/>
        <v>12.364611000000002</v>
      </c>
      <c r="G3967" s="3">
        <f t="shared" si="123"/>
        <v>61.294611000000003</v>
      </c>
    </row>
    <row r="3968" spans="1:7" x14ac:dyDescent="0.3">
      <c r="A3968" t="s">
        <v>13039</v>
      </c>
      <c r="B3968" t="s">
        <v>7965</v>
      </c>
      <c r="C3968" t="s">
        <v>7966</v>
      </c>
      <c r="D3968" s="1" t="s">
        <v>38</v>
      </c>
      <c r="E3968" s="3">
        <v>50.29</v>
      </c>
      <c r="F3968" s="3">
        <f t="shared" si="122"/>
        <v>12.708283000000002</v>
      </c>
      <c r="G3968" s="3">
        <f t="shared" si="123"/>
        <v>62.998283000000001</v>
      </c>
    </row>
    <row r="3969" spans="1:7" x14ac:dyDescent="0.3">
      <c r="A3969" t="s">
        <v>13039</v>
      </c>
      <c r="B3969" t="s">
        <v>7967</v>
      </c>
      <c r="C3969" t="s">
        <v>7968</v>
      </c>
      <c r="D3969" s="1" t="s">
        <v>38</v>
      </c>
      <c r="E3969" s="3">
        <v>52.66</v>
      </c>
      <c r="F3969" s="3">
        <f t="shared" si="122"/>
        <v>13.307182000000001</v>
      </c>
      <c r="G3969" s="3">
        <f t="shared" si="123"/>
        <v>65.967181999999994</v>
      </c>
    </row>
    <row r="3970" spans="1:7" x14ac:dyDescent="0.3">
      <c r="A3970" t="s">
        <v>13039</v>
      </c>
      <c r="B3970" t="s">
        <v>7969</v>
      </c>
      <c r="C3970" t="s">
        <v>7970</v>
      </c>
      <c r="D3970" s="1" t="s">
        <v>38</v>
      </c>
      <c r="E3970" s="3">
        <v>54.51</v>
      </c>
      <c r="F3970" s="3">
        <f t="shared" si="122"/>
        <v>13.774677000000002</v>
      </c>
      <c r="G3970" s="3">
        <f t="shared" si="123"/>
        <v>68.284677000000002</v>
      </c>
    </row>
    <row r="3971" spans="1:7" x14ac:dyDescent="0.3">
      <c r="A3971" t="s">
        <v>13039</v>
      </c>
      <c r="B3971" t="s">
        <v>7971</v>
      </c>
      <c r="C3971" t="s">
        <v>7972</v>
      </c>
      <c r="D3971" s="1" t="s">
        <v>38</v>
      </c>
      <c r="E3971" s="3">
        <v>0.1</v>
      </c>
      <c r="F3971" s="3">
        <f t="shared" si="122"/>
        <v>2.5270000000000004E-2</v>
      </c>
      <c r="G3971" s="3">
        <f t="shared" si="123"/>
        <v>0.12527000000000002</v>
      </c>
    </row>
    <row r="3972" spans="1:7" x14ac:dyDescent="0.3">
      <c r="A3972" t="s">
        <v>13039</v>
      </c>
      <c r="B3972" t="s">
        <v>7973</v>
      </c>
      <c r="C3972" t="s">
        <v>7974</v>
      </c>
      <c r="D3972" s="1" t="s">
        <v>195</v>
      </c>
      <c r="E3972" s="3">
        <v>1035.1199999999999</v>
      </c>
      <c r="F3972" s="3">
        <f t="shared" si="122"/>
        <v>261.57482400000004</v>
      </c>
      <c r="G3972" s="3">
        <f t="shared" si="123"/>
        <v>1296.6948239999999</v>
      </c>
    </row>
    <row r="3973" spans="1:7" x14ac:dyDescent="0.3">
      <c r="A3973" t="s">
        <v>13039</v>
      </c>
      <c r="B3973" t="s">
        <v>7975</v>
      </c>
      <c r="C3973" t="s">
        <v>7976</v>
      </c>
      <c r="D3973" s="1" t="s">
        <v>195</v>
      </c>
      <c r="E3973" s="3">
        <v>1382.09</v>
      </c>
      <c r="F3973" s="3">
        <f t="shared" si="122"/>
        <v>349.25414300000006</v>
      </c>
      <c r="G3973" s="3">
        <f t="shared" si="123"/>
        <v>1731.344143</v>
      </c>
    </row>
    <row r="3974" spans="1:7" x14ac:dyDescent="0.3">
      <c r="A3974" t="s">
        <v>13039</v>
      </c>
      <c r="B3974" t="s">
        <v>7977</v>
      </c>
      <c r="C3974" t="s">
        <v>7978</v>
      </c>
      <c r="D3974" s="1" t="s">
        <v>195</v>
      </c>
      <c r="E3974" s="3">
        <v>1690.27</v>
      </c>
      <c r="F3974" s="3">
        <f t="shared" si="122"/>
        <v>427.13122900000008</v>
      </c>
      <c r="G3974" s="3">
        <f t="shared" si="123"/>
        <v>2117.4012290000001</v>
      </c>
    </row>
    <row r="3975" spans="1:7" x14ac:dyDescent="0.3">
      <c r="A3975" t="s">
        <v>13039</v>
      </c>
      <c r="B3975" t="s">
        <v>7979</v>
      </c>
      <c r="C3975" t="s">
        <v>7980</v>
      </c>
      <c r="D3975" s="1" t="s">
        <v>195</v>
      </c>
      <c r="E3975" s="3">
        <v>1513.34</v>
      </c>
      <c r="F3975" s="3">
        <f t="shared" ref="F3975:F4038" si="124">+E3975*$F$4</f>
        <v>382.42101800000006</v>
      </c>
      <c r="G3975" s="3">
        <f t="shared" ref="G3975:G4038" si="125">+E3975+F3975</f>
        <v>1895.7610179999999</v>
      </c>
    </row>
    <row r="3976" spans="1:7" x14ac:dyDescent="0.3">
      <c r="A3976" t="s">
        <v>13039</v>
      </c>
      <c r="B3976" t="s">
        <v>7981</v>
      </c>
      <c r="C3976" t="s">
        <v>7982</v>
      </c>
      <c r="D3976" s="1" t="s">
        <v>38</v>
      </c>
      <c r="E3976" s="3">
        <v>436.27</v>
      </c>
      <c r="F3976" s="3">
        <f t="shared" si="124"/>
        <v>110.24542900000002</v>
      </c>
      <c r="G3976" s="3">
        <f t="shared" si="125"/>
        <v>546.51542900000004</v>
      </c>
    </row>
    <row r="3977" spans="1:7" x14ac:dyDescent="0.3">
      <c r="A3977" t="s">
        <v>13039</v>
      </c>
      <c r="B3977" t="s">
        <v>7983</v>
      </c>
      <c r="C3977" t="s">
        <v>7984</v>
      </c>
      <c r="D3977" s="1" t="s">
        <v>38</v>
      </c>
      <c r="E3977" s="3">
        <v>330.5</v>
      </c>
      <c r="F3977" s="3">
        <f t="shared" si="124"/>
        <v>83.517350000000008</v>
      </c>
      <c r="G3977" s="3">
        <f t="shared" si="125"/>
        <v>414.01735000000002</v>
      </c>
    </row>
    <row r="3978" spans="1:7" x14ac:dyDescent="0.3">
      <c r="A3978" t="s">
        <v>13039</v>
      </c>
      <c r="B3978" t="s">
        <v>7985</v>
      </c>
      <c r="C3978" t="s">
        <v>7986</v>
      </c>
      <c r="D3978" s="1" t="s">
        <v>38</v>
      </c>
      <c r="E3978" s="3">
        <v>597.99</v>
      </c>
      <c r="F3978" s="3">
        <f t="shared" si="124"/>
        <v>151.11207300000004</v>
      </c>
      <c r="G3978" s="3">
        <f t="shared" si="125"/>
        <v>749.10207300000002</v>
      </c>
    </row>
    <row r="3979" spans="1:7" x14ac:dyDescent="0.3">
      <c r="A3979" t="s">
        <v>13039</v>
      </c>
      <c r="B3979" t="s">
        <v>7987</v>
      </c>
      <c r="C3979" t="s">
        <v>7988</v>
      </c>
      <c r="D3979" s="1" t="s">
        <v>38</v>
      </c>
      <c r="E3979" s="3">
        <v>1141.6099999999999</v>
      </c>
      <c r="F3979" s="3">
        <f t="shared" si="124"/>
        <v>288.484847</v>
      </c>
      <c r="G3979" s="3">
        <f t="shared" si="125"/>
        <v>1430.0948469999998</v>
      </c>
    </row>
    <row r="3980" spans="1:7" x14ac:dyDescent="0.3">
      <c r="A3980" t="s">
        <v>13039</v>
      </c>
      <c r="B3980" t="s">
        <v>7989</v>
      </c>
      <c r="C3980" t="s">
        <v>7990</v>
      </c>
      <c r="D3980" s="1" t="s">
        <v>38</v>
      </c>
      <c r="E3980" s="3">
        <v>814.34</v>
      </c>
      <c r="F3980" s="3">
        <f t="shared" si="124"/>
        <v>205.78371800000005</v>
      </c>
      <c r="G3980" s="3">
        <f t="shared" si="125"/>
        <v>1020.1237180000001</v>
      </c>
    </row>
    <row r="3981" spans="1:7" x14ac:dyDescent="0.3">
      <c r="A3981" t="s">
        <v>13039</v>
      </c>
      <c r="B3981" t="s">
        <v>7991</v>
      </c>
      <c r="C3981" t="s">
        <v>7992</v>
      </c>
      <c r="D3981" s="1" t="s">
        <v>3650</v>
      </c>
      <c r="E3981" s="3">
        <v>752418.86</v>
      </c>
      <c r="F3981" s="3">
        <f t="shared" si="124"/>
        <v>190136.24592200003</v>
      </c>
      <c r="G3981" s="3">
        <f t="shared" si="125"/>
        <v>942555.10592200002</v>
      </c>
    </row>
    <row r="3982" spans="1:7" x14ac:dyDescent="0.3">
      <c r="A3982" t="s">
        <v>13039</v>
      </c>
      <c r="B3982" t="s">
        <v>7993</v>
      </c>
      <c r="C3982" t="s">
        <v>7994</v>
      </c>
      <c r="D3982" s="1" t="s">
        <v>3650</v>
      </c>
      <c r="E3982" s="3">
        <v>743061.13</v>
      </c>
      <c r="F3982" s="3">
        <f t="shared" si="124"/>
        <v>187771.54755100003</v>
      </c>
      <c r="G3982" s="3">
        <f t="shared" si="125"/>
        <v>930832.67755100003</v>
      </c>
    </row>
    <row r="3983" spans="1:7" x14ac:dyDescent="0.3">
      <c r="A3983" t="s">
        <v>13039</v>
      </c>
      <c r="B3983" t="s">
        <v>7995</v>
      </c>
      <c r="C3983" t="s">
        <v>7996</v>
      </c>
      <c r="D3983" s="1" t="s">
        <v>3650</v>
      </c>
      <c r="E3983" s="3">
        <v>789883</v>
      </c>
      <c r="F3983" s="3">
        <f t="shared" si="124"/>
        <v>199603.43410000004</v>
      </c>
      <c r="G3983" s="3">
        <f t="shared" si="125"/>
        <v>989486.43410000007</v>
      </c>
    </row>
    <row r="3984" spans="1:7" x14ac:dyDescent="0.3">
      <c r="A3984" t="s">
        <v>13039</v>
      </c>
      <c r="B3984" t="s">
        <v>7997</v>
      </c>
      <c r="C3984" t="s">
        <v>7998</v>
      </c>
      <c r="D3984" s="1" t="s">
        <v>3650</v>
      </c>
      <c r="E3984" s="3">
        <v>780058.11</v>
      </c>
      <c r="F3984" s="3">
        <f t="shared" si="124"/>
        <v>197120.68439700003</v>
      </c>
      <c r="G3984" s="3">
        <f t="shared" si="125"/>
        <v>977178.79439699999</v>
      </c>
    </row>
    <row r="3985" spans="1:7" x14ac:dyDescent="0.3">
      <c r="A3985" t="s">
        <v>13039</v>
      </c>
      <c r="B3985" t="s">
        <v>7999</v>
      </c>
      <c r="C3985" t="s">
        <v>8000</v>
      </c>
      <c r="D3985" s="1" t="s">
        <v>3650</v>
      </c>
      <c r="E3985" s="3">
        <v>570843.55000000005</v>
      </c>
      <c r="F3985" s="3">
        <f t="shared" si="124"/>
        <v>144252.16508500004</v>
      </c>
      <c r="G3985" s="3">
        <f t="shared" si="125"/>
        <v>715095.71508500003</v>
      </c>
    </row>
    <row r="3986" spans="1:7" x14ac:dyDescent="0.3">
      <c r="A3986" t="s">
        <v>13039</v>
      </c>
      <c r="B3986" t="s">
        <v>8001</v>
      </c>
      <c r="C3986" t="s">
        <v>8002</v>
      </c>
      <c r="D3986" s="1" t="s">
        <v>3650</v>
      </c>
      <c r="E3986" s="3">
        <v>563599.06000000006</v>
      </c>
      <c r="F3986" s="3">
        <f t="shared" si="124"/>
        <v>142421.48246200004</v>
      </c>
      <c r="G3986" s="3">
        <f t="shared" si="125"/>
        <v>706020.54246200016</v>
      </c>
    </row>
    <row r="3987" spans="1:7" x14ac:dyDescent="0.3">
      <c r="A3987" t="s">
        <v>13039</v>
      </c>
      <c r="B3987" t="s">
        <v>8003</v>
      </c>
      <c r="C3987" t="s">
        <v>8004</v>
      </c>
      <c r="D3987" s="1" t="s">
        <v>3650</v>
      </c>
      <c r="E3987" s="3">
        <v>599267.05000000005</v>
      </c>
      <c r="F3987" s="3">
        <f t="shared" si="124"/>
        <v>151434.78353500002</v>
      </c>
      <c r="G3987" s="3">
        <f t="shared" si="125"/>
        <v>750701.8335350001</v>
      </c>
    </row>
    <row r="3988" spans="1:7" x14ac:dyDescent="0.3">
      <c r="A3988" t="s">
        <v>13039</v>
      </c>
      <c r="B3988" t="s">
        <v>8005</v>
      </c>
      <c r="C3988" t="s">
        <v>8006</v>
      </c>
      <c r="D3988" s="1" t="s">
        <v>3650</v>
      </c>
      <c r="E3988" s="3">
        <v>591660.62</v>
      </c>
      <c r="F3988" s="3">
        <f t="shared" si="124"/>
        <v>149512.63867400002</v>
      </c>
      <c r="G3988" s="3">
        <f t="shared" si="125"/>
        <v>741173.25867400004</v>
      </c>
    </row>
    <row r="3989" spans="1:7" x14ac:dyDescent="0.3">
      <c r="A3989" t="s">
        <v>13039</v>
      </c>
      <c r="B3989" t="s">
        <v>8007</v>
      </c>
      <c r="C3989" t="s">
        <v>8008</v>
      </c>
      <c r="D3989" s="1" t="s">
        <v>3650</v>
      </c>
      <c r="E3989" s="3">
        <v>1022011.76</v>
      </c>
      <c r="F3989" s="3">
        <f t="shared" si="124"/>
        <v>258262.37175200004</v>
      </c>
      <c r="G3989" s="3">
        <f t="shared" si="125"/>
        <v>1280274.131752</v>
      </c>
    </row>
    <row r="3990" spans="1:7" x14ac:dyDescent="0.3">
      <c r="A3990" t="s">
        <v>13039</v>
      </c>
      <c r="B3990" t="s">
        <v>8009</v>
      </c>
      <c r="C3990" t="s">
        <v>8010</v>
      </c>
      <c r="D3990" s="1" t="s">
        <v>3650</v>
      </c>
      <c r="E3990" s="3">
        <v>1012651.2</v>
      </c>
      <c r="F3990" s="3">
        <f t="shared" si="124"/>
        <v>255896.95824000004</v>
      </c>
      <c r="G3990" s="3">
        <f t="shared" si="125"/>
        <v>1268548.15824</v>
      </c>
    </row>
    <row r="3991" spans="1:7" x14ac:dyDescent="0.3">
      <c r="A3991" t="s">
        <v>13039</v>
      </c>
      <c r="B3991" t="s">
        <v>8011</v>
      </c>
      <c r="C3991" t="s">
        <v>8012</v>
      </c>
      <c r="D3991" s="1" t="s">
        <v>3650</v>
      </c>
      <c r="E3991" s="3">
        <v>1072898.95</v>
      </c>
      <c r="F3991" s="3">
        <f t="shared" si="124"/>
        <v>271121.56466500001</v>
      </c>
      <c r="G3991" s="3">
        <f t="shared" si="125"/>
        <v>1344020.5146649999</v>
      </c>
    </row>
    <row r="3992" spans="1:7" x14ac:dyDescent="0.3">
      <c r="A3992" t="s">
        <v>13039</v>
      </c>
      <c r="B3992" t="s">
        <v>8013</v>
      </c>
      <c r="C3992" t="s">
        <v>8014</v>
      </c>
      <c r="D3992" s="1" t="s">
        <v>3650</v>
      </c>
      <c r="E3992" s="3">
        <v>1063071.0900000001</v>
      </c>
      <c r="F3992" s="3">
        <f t="shared" si="124"/>
        <v>268638.06444300007</v>
      </c>
      <c r="G3992" s="3">
        <f t="shared" si="125"/>
        <v>1331709.1544430002</v>
      </c>
    </row>
    <row r="3993" spans="1:7" x14ac:dyDescent="0.3">
      <c r="A3993" t="s">
        <v>13039</v>
      </c>
      <c r="B3993" t="s">
        <v>8015</v>
      </c>
      <c r="C3993" t="s">
        <v>8016</v>
      </c>
      <c r="D3993" s="1" t="s">
        <v>38</v>
      </c>
      <c r="E3993" s="3">
        <v>763.43</v>
      </c>
      <c r="F3993" s="3">
        <f t="shared" si="124"/>
        <v>192.91876100000002</v>
      </c>
      <c r="G3993" s="3">
        <f t="shared" si="125"/>
        <v>956.34876099999997</v>
      </c>
    </row>
    <row r="3994" spans="1:7" x14ac:dyDescent="0.3">
      <c r="A3994" t="s">
        <v>13039</v>
      </c>
      <c r="B3994" t="s">
        <v>8017</v>
      </c>
      <c r="C3994" t="s">
        <v>8018</v>
      </c>
      <c r="D3994" s="1" t="s">
        <v>38</v>
      </c>
      <c r="E3994" s="3">
        <v>829.21</v>
      </c>
      <c r="F3994" s="3">
        <f t="shared" si="124"/>
        <v>209.54136700000004</v>
      </c>
      <c r="G3994" s="3">
        <f t="shared" si="125"/>
        <v>1038.7513670000001</v>
      </c>
    </row>
    <row r="3995" spans="1:7" x14ac:dyDescent="0.3">
      <c r="A3995" t="s">
        <v>13039</v>
      </c>
      <c r="B3995" t="s">
        <v>8019</v>
      </c>
      <c r="C3995" t="s">
        <v>8020</v>
      </c>
      <c r="D3995" s="1" t="s">
        <v>38</v>
      </c>
      <c r="E3995" s="3">
        <v>842.97</v>
      </c>
      <c r="F3995" s="3">
        <f t="shared" si="124"/>
        <v>213.01851900000003</v>
      </c>
      <c r="G3995" s="3">
        <f t="shared" si="125"/>
        <v>1055.988519</v>
      </c>
    </row>
    <row r="3996" spans="1:7" x14ac:dyDescent="0.3">
      <c r="A3996" t="s">
        <v>13039</v>
      </c>
      <c r="B3996" t="s">
        <v>8021</v>
      </c>
      <c r="C3996" t="s">
        <v>8022</v>
      </c>
      <c r="D3996" s="1" t="s">
        <v>38</v>
      </c>
      <c r="E3996" s="3">
        <v>881.15</v>
      </c>
      <c r="F3996" s="3">
        <f t="shared" si="124"/>
        <v>222.66660500000003</v>
      </c>
      <c r="G3996" s="3">
        <f t="shared" si="125"/>
        <v>1103.816605</v>
      </c>
    </row>
    <row r="3997" spans="1:7" x14ac:dyDescent="0.3">
      <c r="A3997" t="s">
        <v>13039</v>
      </c>
      <c r="B3997" t="s">
        <v>8023</v>
      </c>
      <c r="C3997" t="s">
        <v>8024</v>
      </c>
      <c r="D3997" s="1" t="s">
        <v>38</v>
      </c>
      <c r="E3997" s="3">
        <v>471.12</v>
      </c>
      <c r="F3997" s="3">
        <f t="shared" si="124"/>
        <v>119.05202400000002</v>
      </c>
      <c r="G3997" s="3">
        <f t="shared" si="125"/>
        <v>590.17202399999996</v>
      </c>
    </row>
    <row r="3998" spans="1:7" x14ac:dyDescent="0.3">
      <c r="A3998" t="s">
        <v>13039</v>
      </c>
      <c r="B3998" t="s">
        <v>8025</v>
      </c>
      <c r="C3998" t="s">
        <v>8026</v>
      </c>
      <c r="D3998" s="1" t="s">
        <v>3650</v>
      </c>
      <c r="E3998" s="3">
        <v>766898.5</v>
      </c>
      <c r="F3998" s="3">
        <f t="shared" si="124"/>
        <v>193795.25095000002</v>
      </c>
      <c r="G3998" s="3">
        <f t="shared" si="125"/>
        <v>960693.75095000002</v>
      </c>
    </row>
    <row r="3999" spans="1:7" x14ac:dyDescent="0.3">
      <c r="A3999" t="s">
        <v>13039</v>
      </c>
      <c r="B3999" t="s">
        <v>8027</v>
      </c>
      <c r="C3999" t="s">
        <v>8028</v>
      </c>
      <c r="D3999" s="1" t="s">
        <v>3650</v>
      </c>
      <c r="E3999" s="3">
        <v>805083.59</v>
      </c>
      <c r="F3999" s="3">
        <f t="shared" si="124"/>
        <v>203444.62319300001</v>
      </c>
      <c r="G3999" s="3">
        <f t="shared" si="125"/>
        <v>1008528.2131929999</v>
      </c>
    </row>
    <row r="4000" spans="1:7" x14ac:dyDescent="0.3">
      <c r="A4000" t="s">
        <v>13039</v>
      </c>
      <c r="B4000" t="s">
        <v>8029</v>
      </c>
      <c r="C4000" t="s">
        <v>8030</v>
      </c>
      <c r="D4000" s="1" t="s">
        <v>38</v>
      </c>
      <c r="E4000" s="3">
        <v>252.7</v>
      </c>
      <c r="F4000" s="3">
        <f t="shared" si="124"/>
        <v>63.857290000000006</v>
      </c>
      <c r="G4000" s="3">
        <f t="shared" si="125"/>
        <v>316.55728999999997</v>
      </c>
    </row>
    <row r="4001" spans="1:7" x14ac:dyDescent="0.3">
      <c r="A4001" t="s">
        <v>13039</v>
      </c>
      <c r="B4001" t="s">
        <v>8031</v>
      </c>
      <c r="C4001" t="s">
        <v>8032</v>
      </c>
      <c r="D4001" s="1" t="s">
        <v>3650</v>
      </c>
      <c r="E4001" s="3">
        <v>407614.43</v>
      </c>
      <c r="F4001" s="3">
        <f t="shared" si="124"/>
        <v>103004.16646100002</v>
      </c>
      <c r="G4001" s="3">
        <f t="shared" si="125"/>
        <v>510618.59646100004</v>
      </c>
    </row>
    <row r="4002" spans="1:7" x14ac:dyDescent="0.3">
      <c r="A4002" t="s">
        <v>13039</v>
      </c>
      <c r="B4002" t="s">
        <v>8033</v>
      </c>
      <c r="C4002" t="s">
        <v>8034</v>
      </c>
      <c r="D4002" s="1" t="s">
        <v>3650</v>
      </c>
      <c r="E4002" s="3">
        <v>427910.75</v>
      </c>
      <c r="F4002" s="3">
        <f t="shared" si="124"/>
        <v>108133.04652500001</v>
      </c>
      <c r="G4002" s="3">
        <f t="shared" si="125"/>
        <v>536043.79652500001</v>
      </c>
    </row>
    <row r="4003" spans="1:7" x14ac:dyDescent="0.3">
      <c r="A4003" t="s">
        <v>13039</v>
      </c>
      <c r="B4003" t="s">
        <v>8035</v>
      </c>
      <c r="C4003" t="s">
        <v>8036</v>
      </c>
      <c r="D4003" s="1" t="s">
        <v>427</v>
      </c>
      <c r="E4003" s="3">
        <v>213.53</v>
      </c>
      <c r="F4003" s="3">
        <f t="shared" si="124"/>
        <v>53.95903100000001</v>
      </c>
      <c r="G4003" s="3">
        <f t="shared" si="125"/>
        <v>267.48903100000001</v>
      </c>
    </row>
    <row r="4004" spans="1:7" x14ac:dyDescent="0.3">
      <c r="A4004" t="s">
        <v>13039</v>
      </c>
      <c r="B4004" t="s">
        <v>8037</v>
      </c>
      <c r="C4004" t="s">
        <v>8038</v>
      </c>
      <c r="D4004" s="1" t="s">
        <v>38</v>
      </c>
      <c r="E4004" s="3">
        <v>91823.94</v>
      </c>
      <c r="F4004" s="3">
        <f t="shared" si="124"/>
        <v>23203.909638000005</v>
      </c>
      <c r="G4004" s="3">
        <f t="shared" si="125"/>
        <v>115027.84963800001</v>
      </c>
    </row>
    <row r="4005" spans="1:7" x14ac:dyDescent="0.3">
      <c r="A4005" t="s">
        <v>13039</v>
      </c>
      <c r="B4005" t="s">
        <v>8039</v>
      </c>
      <c r="C4005" t="s">
        <v>8040</v>
      </c>
      <c r="D4005" s="1" t="s">
        <v>3650</v>
      </c>
      <c r="E4005" s="3">
        <v>210.26</v>
      </c>
      <c r="F4005" s="3">
        <f t="shared" si="124"/>
        <v>53.132702000000002</v>
      </c>
      <c r="G4005" s="3">
        <f t="shared" si="125"/>
        <v>263.39270199999999</v>
      </c>
    </row>
    <row r="4006" spans="1:7" x14ac:dyDescent="0.3">
      <c r="A4006" t="s">
        <v>13039</v>
      </c>
      <c r="B4006" t="s">
        <v>8041</v>
      </c>
      <c r="C4006" t="s">
        <v>8042</v>
      </c>
      <c r="D4006" s="1" t="s">
        <v>3650</v>
      </c>
      <c r="E4006" s="3">
        <v>1299.43</v>
      </c>
      <c r="F4006" s="3">
        <f t="shared" si="124"/>
        <v>328.36596100000008</v>
      </c>
      <c r="G4006" s="3">
        <f t="shared" si="125"/>
        <v>1627.7959610000003</v>
      </c>
    </row>
    <row r="4007" spans="1:7" x14ac:dyDescent="0.3">
      <c r="A4007" t="s">
        <v>13039</v>
      </c>
      <c r="B4007" t="s">
        <v>8043</v>
      </c>
      <c r="C4007" t="s">
        <v>8044</v>
      </c>
      <c r="D4007" s="1" t="s">
        <v>3650</v>
      </c>
      <c r="E4007" s="3">
        <v>1845.14</v>
      </c>
      <c r="F4007" s="3">
        <f t="shared" si="124"/>
        <v>466.26687800000008</v>
      </c>
      <c r="G4007" s="3">
        <f t="shared" si="125"/>
        <v>2311.4068780000002</v>
      </c>
    </row>
    <row r="4008" spans="1:7" x14ac:dyDescent="0.3">
      <c r="A4008" t="s">
        <v>13039</v>
      </c>
      <c r="B4008" t="s">
        <v>8045</v>
      </c>
      <c r="C4008" t="s">
        <v>8046</v>
      </c>
      <c r="D4008" s="1" t="s">
        <v>38</v>
      </c>
      <c r="E4008" s="3">
        <v>1543.94</v>
      </c>
      <c r="F4008" s="3">
        <f t="shared" si="124"/>
        <v>390.15363800000006</v>
      </c>
      <c r="G4008" s="3">
        <f t="shared" si="125"/>
        <v>1934.0936380000001</v>
      </c>
    </row>
    <row r="4009" spans="1:7" x14ac:dyDescent="0.3">
      <c r="A4009" t="s">
        <v>13039</v>
      </c>
      <c r="B4009" t="s">
        <v>8047</v>
      </c>
      <c r="C4009" t="s">
        <v>8048</v>
      </c>
      <c r="D4009" s="1" t="s">
        <v>38</v>
      </c>
      <c r="E4009" s="3">
        <v>1533.76</v>
      </c>
      <c r="F4009" s="3">
        <f t="shared" si="124"/>
        <v>387.58115200000003</v>
      </c>
      <c r="G4009" s="3">
        <f t="shared" si="125"/>
        <v>1921.341152</v>
      </c>
    </row>
    <row r="4010" spans="1:7" x14ac:dyDescent="0.3">
      <c r="A4010" t="s">
        <v>13039</v>
      </c>
      <c r="B4010" t="s">
        <v>8049</v>
      </c>
      <c r="C4010" t="s">
        <v>8050</v>
      </c>
      <c r="D4010" s="1" t="s">
        <v>38</v>
      </c>
      <c r="E4010" s="3">
        <v>1612.43</v>
      </c>
      <c r="F4010" s="3">
        <f t="shared" si="124"/>
        <v>407.46106100000009</v>
      </c>
      <c r="G4010" s="3">
        <f t="shared" si="125"/>
        <v>2019.8910610000003</v>
      </c>
    </row>
    <row r="4011" spans="1:7" x14ac:dyDescent="0.3">
      <c r="A4011" t="s">
        <v>13039</v>
      </c>
      <c r="B4011" t="s">
        <v>8051</v>
      </c>
      <c r="C4011" t="s">
        <v>8052</v>
      </c>
      <c r="D4011" s="1" t="s">
        <v>38</v>
      </c>
      <c r="E4011" s="3">
        <v>1559.09</v>
      </c>
      <c r="F4011" s="3">
        <f t="shared" si="124"/>
        <v>393.98204300000003</v>
      </c>
      <c r="G4011" s="3">
        <f t="shared" si="125"/>
        <v>1953.0720429999999</v>
      </c>
    </row>
    <row r="4012" spans="1:7" x14ac:dyDescent="0.3">
      <c r="A4012" t="s">
        <v>13039</v>
      </c>
      <c r="B4012" t="s">
        <v>8053</v>
      </c>
      <c r="C4012" t="s">
        <v>8054</v>
      </c>
      <c r="D4012" s="1" t="s">
        <v>38</v>
      </c>
      <c r="E4012" s="3">
        <v>277.06</v>
      </c>
      <c r="F4012" s="3">
        <f t="shared" si="124"/>
        <v>70.013062000000005</v>
      </c>
      <c r="G4012" s="3">
        <f t="shared" si="125"/>
        <v>347.07306199999999</v>
      </c>
    </row>
    <row r="4013" spans="1:7" x14ac:dyDescent="0.3">
      <c r="A4013" t="s">
        <v>13039</v>
      </c>
      <c r="B4013" t="s">
        <v>8055</v>
      </c>
      <c r="C4013" t="s">
        <v>8056</v>
      </c>
      <c r="D4013" s="1" t="s">
        <v>38</v>
      </c>
      <c r="E4013" s="3">
        <v>225.09</v>
      </c>
      <c r="F4013" s="3">
        <f t="shared" si="124"/>
        <v>56.880243000000007</v>
      </c>
      <c r="G4013" s="3">
        <f t="shared" si="125"/>
        <v>281.97024299999998</v>
      </c>
    </row>
    <row r="4014" spans="1:7" x14ac:dyDescent="0.3">
      <c r="A4014" t="s">
        <v>13039</v>
      </c>
      <c r="B4014" t="s">
        <v>8057</v>
      </c>
      <c r="C4014" t="s">
        <v>8058</v>
      </c>
      <c r="D4014" s="1" t="s">
        <v>38</v>
      </c>
      <c r="E4014" s="3">
        <v>231.21</v>
      </c>
      <c r="F4014" s="3">
        <f t="shared" si="124"/>
        <v>58.426767000000012</v>
      </c>
      <c r="G4014" s="3">
        <f t="shared" si="125"/>
        <v>289.63676700000002</v>
      </c>
    </row>
    <row r="4015" spans="1:7" x14ac:dyDescent="0.3">
      <c r="A4015" t="s">
        <v>13039</v>
      </c>
      <c r="B4015" t="s">
        <v>8059</v>
      </c>
      <c r="C4015" t="s">
        <v>8060</v>
      </c>
      <c r="D4015" s="1" t="s">
        <v>3650</v>
      </c>
      <c r="E4015" s="3">
        <v>1076408.8400000001</v>
      </c>
      <c r="F4015" s="3">
        <f t="shared" si="124"/>
        <v>272008.51386800007</v>
      </c>
      <c r="G4015" s="3">
        <f t="shared" si="125"/>
        <v>1348417.3538680002</v>
      </c>
    </row>
    <row r="4016" spans="1:7" x14ac:dyDescent="0.3">
      <c r="A4016" t="s">
        <v>13039</v>
      </c>
      <c r="B4016" t="s">
        <v>8061</v>
      </c>
      <c r="C4016" t="s">
        <v>8062</v>
      </c>
      <c r="D4016" s="1" t="s">
        <v>3650</v>
      </c>
      <c r="E4016" s="3">
        <v>1082887.98</v>
      </c>
      <c r="F4016" s="3">
        <f t="shared" si="124"/>
        <v>273645.79254600004</v>
      </c>
      <c r="G4016" s="3">
        <f t="shared" si="125"/>
        <v>1356533.7725460001</v>
      </c>
    </row>
    <row r="4017" spans="1:7" x14ac:dyDescent="0.3">
      <c r="A4017" t="s">
        <v>13039</v>
      </c>
      <c r="B4017" t="s">
        <v>8063</v>
      </c>
      <c r="C4017" t="s">
        <v>8064</v>
      </c>
      <c r="D4017" s="1" t="s">
        <v>3650</v>
      </c>
      <c r="E4017" s="3">
        <v>1614775.81</v>
      </c>
      <c r="F4017" s="3">
        <f t="shared" si="124"/>
        <v>408053.84718700009</v>
      </c>
      <c r="G4017" s="3">
        <f t="shared" si="125"/>
        <v>2022829.6571870001</v>
      </c>
    </row>
    <row r="4018" spans="1:7" x14ac:dyDescent="0.3">
      <c r="A4018" t="s">
        <v>13039</v>
      </c>
      <c r="B4018" t="s">
        <v>8065</v>
      </c>
      <c r="C4018" t="s">
        <v>8066</v>
      </c>
      <c r="D4018" s="1" t="s">
        <v>3650</v>
      </c>
      <c r="E4018" s="3">
        <v>1624494.53</v>
      </c>
      <c r="F4018" s="3">
        <f t="shared" si="124"/>
        <v>410509.76773100009</v>
      </c>
      <c r="G4018" s="3">
        <f t="shared" si="125"/>
        <v>2035004.297731</v>
      </c>
    </row>
    <row r="4019" spans="1:7" x14ac:dyDescent="0.3">
      <c r="A4019" t="s">
        <v>13039</v>
      </c>
      <c r="B4019" t="s">
        <v>8067</v>
      </c>
      <c r="C4019" t="s">
        <v>8068</v>
      </c>
      <c r="D4019" s="1" t="s">
        <v>3650</v>
      </c>
      <c r="E4019" s="3">
        <v>1352424.5</v>
      </c>
      <c r="F4019" s="3">
        <f t="shared" si="124"/>
        <v>341757.67115000007</v>
      </c>
      <c r="G4019" s="3">
        <f t="shared" si="125"/>
        <v>1694182.1711500001</v>
      </c>
    </row>
    <row r="4020" spans="1:7" x14ac:dyDescent="0.3">
      <c r="A4020" t="s">
        <v>13039</v>
      </c>
      <c r="B4020" t="s">
        <v>8069</v>
      </c>
      <c r="C4020" t="s">
        <v>8070</v>
      </c>
      <c r="D4020" s="1" t="s">
        <v>3650</v>
      </c>
      <c r="E4020" s="3">
        <v>1372431.76</v>
      </c>
      <c r="F4020" s="3">
        <f t="shared" si="124"/>
        <v>346813.50575200003</v>
      </c>
      <c r="G4020" s="3">
        <f t="shared" si="125"/>
        <v>1719245.265752</v>
      </c>
    </row>
    <row r="4021" spans="1:7" x14ac:dyDescent="0.3">
      <c r="A4021" t="s">
        <v>13039</v>
      </c>
      <c r="B4021" t="s">
        <v>8071</v>
      </c>
      <c r="C4021" t="s">
        <v>8072</v>
      </c>
      <c r="D4021" s="1" t="s">
        <v>3650</v>
      </c>
      <c r="E4021" s="3">
        <v>2028639.44</v>
      </c>
      <c r="F4021" s="3">
        <f t="shared" si="124"/>
        <v>512637.18648800004</v>
      </c>
      <c r="G4021" s="3">
        <f t="shared" si="125"/>
        <v>2541276.6264880002</v>
      </c>
    </row>
    <row r="4022" spans="1:7" x14ac:dyDescent="0.3">
      <c r="A4022" t="s">
        <v>13039</v>
      </c>
      <c r="B4022" t="s">
        <v>8073</v>
      </c>
      <c r="C4022" t="s">
        <v>8074</v>
      </c>
      <c r="D4022" s="1" t="s">
        <v>3650</v>
      </c>
      <c r="E4022" s="3">
        <v>2058650.51</v>
      </c>
      <c r="F4022" s="3">
        <f t="shared" si="124"/>
        <v>520220.98387700005</v>
      </c>
      <c r="G4022" s="3">
        <f t="shared" si="125"/>
        <v>2578871.4938770002</v>
      </c>
    </row>
    <row r="4023" spans="1:7" x14ac:dyDescent="0.3">
      <c r="A4023" t="s">
        <v>13039</v>
      </c>
      <c r="B4023" t="s">
        <v>8075</v>
      </c>
      <c r="C4023" t="s">
        <v>8076</v>
      </c>
      <c r="D4023" s="1" t="s">
        <v>38</v>
      </c>
      <c r="E4023" s="3">
        <v>48700.75</v>
      </c>
      <c r="F4023" s="3">
        <f t="shared" si="124"/>
        <v>12306.679525000001</v>
      </c>
      <c r="G4023" s="3">
        <f t="shared" si="125"/>
        <v>61007.429525</v>
      </c>
    </row>
    <row r="4024" spans="1:7" x14ac:dyDescent="0.3">
      <c r="A4024" t="s">
        <v>13039</v>
      </c>
      <c r="B4024" t="s">
        <v>8077</v>
      </c>
      <c r="C4024" t="s">
        <v>8078</v>
      </c>
      <c r="D4024" s="1" t="s">
        <v>3650</v>
      </c>
      <c r="E4024" s="3">
        <v>962659.39</v>
      </c>
      <c r="F4024" s="3">
        <f t="shared" si="124"/>
        <v>243264.02785300004</v>
      </c>
      <c r="G4024" s="3">
        <f t="shared" si="125"/>
        <v>1205923.4178530001</v>
      </c>
    </row>
    <row r="4025" spans="1:7" x14ac:dyDescent="0.3">
      <c r="A4025" t="s">
        <v>13039</v>
      </c>
      <c r="B4025" t="s">
        <v>8079</v>
      </c>
      <c r="C4025" t="s">
        <v>8080</v>
      </c>
      <c r="D4025" s="1" t="s">
        <v>3650</v>
      </c>
      <c r="E4025" s="3">
        <v>1443883.8</v>
      </c>
      <c r="F4025" s="3">
        <f t="shared" si="124"/>
        <v>364869.43626000005</v>
      </c>
      <c r="G4025" s="3">
        <f t="shared" si="125"/>
        <v>1808753.2362600002</v>
      </c>
    </row>
    <row r="4026" spans="1:7" x14ac:dyDescent="0.3">
      <c r="A4026" t="s">
        <v>13039</v>
      </c>
      <c r="B4026" t="s">
        <v>8081</v>
      </c>
      <c r="C4026" t="s">
        <v>8082</v>
      </c>
      <c r="D4026" s="1" t="s">
        <v>3650</v>
      </c>
      <c r="E4026" s="3">
        <v>1453594.57</v>
      </c>
      <c r="F4026" s="3">
        <f t="shared" si="124"/>
        <v>367323.34783900005</v>
      </c>
      <c r="G4026" s="3">
        <f t="shared" si="125"/>
        <v>1820917.917839</v>
      </c>
    </row>
    <row r="4027" spans="1:7" x14ac:dyDescent="0.3">
      <c r="A4027" t="s">
        <v>13039</v>
      </c>
      <c r="B4027" t="s">
        <v>8083</v>
      </c>
      <c r="C4027" t="s">
        <v>8084</v>
      </c>
      <c r="D4027" s="1" t="s">
        <v>3650</v>
      </c>
      <c r="E4027" s="3">
        <v>1452793.98</v>
      </c>
      <c r="F4027" s="3">
        <f t="shared" si="124"/>
        <v>367121.03874600003</v>
      </c>
      <c r="G4027" s="3">
        <f t="shared" si="125"/>
        <v>1819915.018746</v>
      </c>
    </row>
    <row r="4028" spans="1:7" x14ac:dyDescent="0.3">
      <c r="A4028" t="s">
        <v>13039</v>
      </c>
      <c r="B4028" t="s">
        <v>8085</v>
      </c>
      <c r="C4028" t="s">
        <v>8086</v>
      </c>
      <c r="D4028" s="1" t="s">
        <v>3650</v>
      </c>
      <c r="E4028" s="3">
        <v>1237194.3899999999</v>
      </c>
      <c r="F4028" s="3">
        <f t="shared" si="124"/>
        <v>312639.02235300001</v>
      </c>
      <c r="G4028" s="3">
        <f t="shared" si="125"/>
        <v>1549833.4123529999</v>
      </c>
    </row>
    <row r="4029" spans="1:7" x14ac:dyDescent="0.3">
      <c r="A4029" t="s">
        <v>13039</v>
      </c>
      <c r="B4029" t="s">
        <v>8087</v>
      </c>
      <c r="C4029" t="s">
        <v>8088</v>
      </c>
      <c r="D4029" s="1" t="s">
        <v>3650</v>
      </c>
      <c r="E4029" s="3">
        <v>1483953.39</v>
      </c>
      <c r="F4029" s="3">
        <f t="shared" si="124"/>
        <v>374995.02165300003</v>
      </c>
      <c r="G4029" s="3">
        <f t="shared" si="125"/>
        <v>1858948.4116529999</v>
      </c>
    </row>
    <row r="4030" spans="1:7" x14ac:dyDescent="0.3">
      <c r="A4030" t="s">
        <v>13039</v>
      </c>
      <c r="B4030" t="s">
        <v>8089</v>
      </c>
      <c r="C4030" t="s">
        <v>8090</v>
      </c>
      <c r="D4030" s="1" t="s">
        <v>3650</v>
      </c>
      <c r="E4030" s="3">
        <v>1257618.92</v>
      </c>
      <c r="F4030" s="3">
        <f t="shared" si="124"/>
        <v>317800.30108400004</v>
      </c>
      <c r="G4030" s="3">
        <f t="shared" si="125"/>
        <v>1575419.2210840001</v>
      </c>
    </row>
    <row r="4031" spans="1:7" x14ac:dyDescent="0.3">
      <c r="A4031" t="s">
        <v>13039</v>
      </c>
      <c r="B4031" t="s">
        <v>8091</v>
      </c>
      <c r="C4031" t="s">
        <v>8092</v>
      </c>
      <c r="D4031" s="1" t="s">
        <v>3650</v>
      </c>
      <c r="E4031" s="3">
        <v>2179870.5099999998</v>
      </c>
      <c r="F4031" s="3">
        <f t="shared" si="124"/>
        <v>550853.27787700004</v>
      </c>
      <c r="G4031" s="3">
        <f t="shared" si="125"/>
        <v>2730723.7878769999</v>
      </c>
    </row>
    <row r="4032" spans="1:7" x14ac:dyDescent="0.3">
      <c r="A4032" t="s">
        <v>13039</v>
      </c>
      <c r="B4032" t="s">
        <v>8093</v>
      </c>
      <c r="C4032" t="s">
        <v>8094</v>
      </c>
      <c r="D4032" s="1" t="s">
        <v>3650</v>
      </c>
      <c r="E4032" s="3">
        <v>2226649.16</v>
      </c>
      <c r="F4032" s="3">
        <f t="shared" si="124"/>
        <v>562674.24273200007</v>
      </c>
      <c r="G4032" s="3">
        <f t="shared" si="125"/>
        <v>2789323.4027320002</v>
      </c>
    </row>
    <row r="4033" spans="1:7" x14ac:dyDescent="0.3">
      <c r="A4033" t="s">
        <v>13039</v>
      </c>
      <c r="B4033" t="s">
        <v>8095</v>
      </c>
      <c r="C4033" t="s">
        <v>8096</v>
      </c>
      <c r="D4033" s="1" t="s">
        <v>38</v>
      </c>
      <c r="E4033" s="3">
        <v>97678.55</v>
      </c>
      <c r="F4033" s="3">
        <f t="shared" si="124"/>
        <v>24683.369585000004</v>
      </c>
      <c r="G4033" s="3">
        <f t="shared" si="125"/>
        <v>122361.91958500001</v>
      </c>
    </row>
    <row r="4034" spans="1:7" x14ac:dyDescent="0.3">
      <c r="A4034" t="s">
        <v>13039</v>
      </c>
      <c r="B4034" t="s">
        <v>8097</v>
      </c>
      <c r="C4034" t="s">
        <v>8098</v>
      </c>
      <c r="D4034" s="1" t="s">
        <v>3650</v>
      </c>
      <c r="E4034" s="3">
        <v>956805.72</v>
      </c>
      <c r="F4034" s="3">
        <f t="shared" si="124"/>
        <v>241784.80544400003</v>
      </c>
      <c r="G4034" s="3">
        <f t="shared" si="125"/>
        <v>1198590.525444</v>
      </c>
    </row>
    <row r="4035" spans="1:7" x14ac:dyDescent="0.3">
      <c r="A4035" t="s">
        <v>13039</v>
      </c>
      <c r="B4035" t="s">
        <v>8099</v>
      </c>
      <c r="C4035" t="s">
        <v>8100</v>
      </c>
      <c r="D4035" s="1" t="s">
        <v>3650</v>
      </c>
      <c r="E4035" s="3">
        <v>963279.77</v>
      </c>
      <c r="F4035" s="3">
        <f t="shared" si="124"/>
        <v>243420.79787900005</v>
      </c>
      <c r="G4035" s="3">
        <f t="shared" si="125"/>
        <v>1206700.567879</v>
      </c>
    </row>
    <row r="4036" spans="1:7" x14ac:dyDescent="0.3">
      <c r="A4036" t="s">
        <v>13039</v>
      </c>
      <c r="B4036" t="s">
        <v>8101</v>
      </c>
      <c r="C4036" t="s">
        <v>8102</v>
      </c>
      <c r="D4036" s="1" t="s">
        <v>3650</v>
      </c>
      <c r="E4036" s="3">
        <v>1435103.94</v>
      </c>
      <c r="F4036" s="3">
        <f t="shared" si="124"/>
        <v>362650.76563800004</v>
      </c>
      <c r="G4036" s="3">
        <f t="shared" si="125"/>
        <v>1797754.705638</v>
      </c>
    </row>
    <row r="4037" spans="1:7" x14ac:dyDescent="0.3">
      <c r="A4037" t="s">
        <v>13039</v>
      </c>
      <c r="B4037" t="s">
        <v>8103</v>
      </c>
      <c r="C4037" t="s">
        <v>8104</v>
      </c>
      <c r="D4037" s="1" t="s">
        <v>3650</v>
      </c>
      <c r="E4037" s="3">
        <v>1444815.01</v>
      </c>
      <c r="F4037" s="3">
        <f t="shared" si="124"/>
        <v>365104.75302700006</v>
      </c>
      <c r="G4037" s="3">
        <f t="shared" si="125"/>
        <v>1809919.763027</v>
      </c>
    </row>
    <row r="4038" spans="1:7" x14ac:dyDescent="0.3">
      <c r="A4038" t="s">
        <v>13039</v>
      </c>
      <c r="B4038" t="s">
        <v>8105</v>
      </c>
      <c r="C4038" t="s">
        <v>8106</v>
      </c>
      <c r="D4038" s="1" t="s">
        <v>3650</v>
      </c>
      <c r="E4038" s="3">
        <v>1446999.89</v>
      </c>
      <c r="F4038" s="3">
        <f t="shared" si="124"/>
        <v>365656.87220300001</v>
      </c>
      <c r="G4038" s="3">
        <f t="shared" si="125"/>
        <v>1812656.762203</v>
      </c>
    </row>
    <row r="4039" spans="1:7" x14ac:dyDescent="0.3">
      <c r="A4039" t="s">
        <v>13039</v>
      </c>
      <c r="B4039" t="s">
        <v>8107</v>
      </c>
      <c r="C4039" t="s">
        <v>8108</v>
      </c>
      <c r="D4039" s="1" t="s">
        <v>3650</v>
      </c>
      <c r="E4039" s="3">
        <v>1231400.3</v>
      </c>
      <c r="F4039" s="3">
        <f t="shared" ref="F4039:F4102" si="126">+E4039*$F$4</f>
        <v>311174.85581000004</v>
      </c>
      <c r="G4039" s="3">
        <f t="shared" ref="G4039:G4102" si="127">+E4039+F4039</f>
        <v>1542575.1558100001</v>
      </c>
    </row>
    <row r="4040" spans="1:7" x14ac:dyDescent="0.3">
      <c r="A4040" t="s">
        <v>13039</v>
      </c>
      <c r="B4040" t="s">
        <v>8109</v>
      </c>
      <c r="C4040" t="s">
        <v>8110</v>
      </c>
      <c r="D4040" s="1" t="s">
        <v>3650</v>
      </c>
      <c r="E4040" s="3">
        <v>1478159.3</v>
      </c>
      <c r="F4040" s="3">
        <f t="shared" si="126"/>
        <v>373530.85511000006</v>
      </c>
      <c r="G4040" s="3">
        <f t="shared" si="127"/>
        <v>1851690.1551100002</v>
      </c>
    </row>
    <row r="4041" spans="1:7" x14ac:dyDescent="0.3">
      <c r="A4041" t="s">
        <v>13039</v>
      </c>
      <c r="B4041" t="s">
        <v>8111</v>
      </c>
      <c r="C4041" t="s">
        <v>8112</v>
      </c>
      <c r="D4041" s="1" t="s">
        <v>3650</v>
      </c>
      <c r="E4041" s="3">
        <v>1251824.83</v>
      </c>
      <c r="F4041" s="3">
        <f t="shared" si="126"/>
        <v>316336.13454100006</v>
      </c>
      <c r="G4041" s="3">
        <f t="shared" si="127"/>
        <v>1568160.9645410001</v>
      </c>
    </row>
    <row r="4042" spans="1:7" x14ac:dyDescent="0.3">
      <c r="A4042" t="s">
        <v>13039</v>
      </c>
      <c r="B4042" t="s">
        <v>8113</v>
      </c>
      <c r="C4042" t="s">
        <v>8114</v>
      </c>
      <c r="D4042" s="1" t="s">
        <v>3650</v>
      </c>
      <c r="E4042" s="3">
        <v>2171180.11</v>
      </c>
      <c r="F4042" s="3">
        <f t="shared" si="126"/>
        <v>548657.213797</v>
      </c>
      <c r="G4042" s="3">
        <f t="shared" si="127"/>
        <v>2719837.3237969996</v>
      </c>
    </row>
    <row r="4043" spans="1:7" x14ac:dyDescent="0.3">
      <c r="A4043" t="s">
        <v>13039</v>
      </c>
      <c r="B4043" t="s">
        <v>8115</v>
      </c>
      <c r="C4043" t="s">
        <v>8116</v>
      </c>
      <c r="D4043" s="1" t="s">
        <v>3650</v>
      </c>
      <c r="E4043" s="3">
        <v>2217958.7599999998</v>
      </c>
      <c r="F4043" s="3">
        <f t="shared" si="126"/>
        <v>560478.17865200003</v>
      </c>
      <c r="G4043" s="3">
        <f t="shared" si="127"/>
        <v>2778436.9386519999</v>
      </c>
    </row>
    <row r="4044" spans="1:7" x14ac:dyDescent="0.3">
      <c r="A4044" t="s">
        <v>13039</v>
      </c>
      <c r="B4044" t="s">
        <v>8117</v>
      </c>
      <c r="C4044" t="s">
        <v>8118</v>
      </c>
      <c r="D4044" s="1" t="s">
        <v>3650</v>
      </c>
      <c r="E4044" s="3">
        <v>1423835.98</v>
      </c>
      <c r="F4044" s="3">
        <f t="shared" si="126"/>
        <v>359803.35214600002</v>
      </c>
      <c r="G4044" s="3">
        <f t="shared" si="127"/>
        <v>1783639.3321460001</v>
      </c>
    </row>
    <row r="4045" spans="1:7" x14ac:dyDescent="0.3">
      <c r="A4045" t="s">
        <v>13039</v>
      </c>
      <c r="B4045" t="s">
        <v>8119</v>
      </c>
      <c r="C4045" t="s">
        <v>8120</v>
      </c>
      <c r="D4045" s="1" t="s">
        <v>3650</v>
      </c>
      <c r="E4045" s="3">
        <v>1430098.56</v>
      </c>
      <c r="F4045" s="3">
        <f t="shared" si="126"/>
        <v>361385.90611200006</v>
      </c>
      <c r="G4045" s="3">
        <f t="shared" si="127"/>
        <v>1791484.4661120002</v>
      </c>
    </row>
    <row r="4046" spans="1:7" x14ac:dyDescent="0.3">
      <c r="A4046" t="s">
        <v>13039</v>
      </c>
      <c r="B4046" t="s">
        <v>8121</v>
      </c>
      <c r="C4046" t="s">
        <v>8122</v>
      </c>
      <c r="D4046" s="1" t="s">
        <v>3650</v>
      </c>
      <c r="E4046" s="3">
        <v>2133932.06</v>
      </c>
      <c r="F4046" s="3">
        <f t="shared" si="126"/>
        <v>539244.63156200014</v>
      </c>
      <c r="G4046" s="3">
        <f t="shared" si="127"/>
        <v>2673176.6915620002</v>
      </c>
    </row>
    <row r="4047" spans="1:7" x14ac:dyDescent="0.3">
      <c r="A4047" t="s">
        <v>13039</v>
      </c>
      <c r="B4047" t="s">
        <v>8123</v>
      </c>
      <c r="C4047" t="s">
        <v>8124</v>
      </c>
      <c r="D4047" s="1" t="s">
        <v>3650</v>
      </c>
      <c r="E4047" s="3">
        <v>2145797.7000000002</v>
      </c>
      <c r="F4047" s="3">
        <f t="shared" si="126"/>
        <v>542243.07879000017</v>
      </c>
      <c r="G4047" s="3">
        <f t="shared" si="127"/>
        <v>2688040.7787900004</v>
      </c>
    </row>
    <row r="4048" spans="1:7" x14ac:dyDescent="0.3">
      <c r="A4048" t="s">
        <v>13039</v>
      </c>
      <c r="B4048" t="s">
        <v>8125</v>
      </c>
      <c r="C4048" t="s">
        <v>8126</v>
      </c>
      <c r="D4048" s="1" t="s">
        <v>3650</v>
      </c>
      <c r="E4048" s="3">
        <v>1809224.49</v>
      </c>
      <c r="F4048" s="3">
        <f t="shared" si="126"/>
        <v>457191.02862300008</v>
      </c>
      <c r="G4048" s="3">
        <f t="shared" si="127"/>
        <v>2266415.518623</v>
      </c>
    </row>
    <row r="4049" spans="1:7" x14ac:dyDescent="0.3">
      <c r="A4049" t="s">
        <v>13039</v>
      </c>
      <c r="B4049" t="s">
        <v>8127</v>
      </c>
      <c r="C4049" t="s">
        <v>8128</v>
      </c>
      <c r="D4049" s="1" t="s">
        <v>3650</v>
      </c>
      <c r="E4049" s="3">
        <v>1834978.47</v>
      </c>
      <c r="F4049" s="3">
        <f t="shared" si="126"/>
        <v>463699.05936900008</v>
      </c>
      <c r="G4049" s="3">
        <f t="shared" si="127"/>
        <v>2298677.5293689999</v>
      </c>
    </row>
    <row r="4050" spans="1:7" x14ac:dyDescent="0.3">
      <c r="A4050" t="s">
        <v>13039</v>
      </c>
      <c r="B4050" t="s">
        <v>8129</v>
      </c>
      <c r="C4050" t="s">
        <v>8130</v>
      </c>
      <c r="D4050" s="1" t="s">
        <v>3650</v>
      </c>
      <c r="E4050" s="3">
        <v>2713839.53</v>
      </c>
      <c r="F4050" s="3">
        <f t="shared" si="126"/>
        <v>685787.24923100008</v>
      </c>
      <c r="G4050" s="3">
        <f t="shared" si="127"/>
        <v>3399626.7792309998</v>
      </c>
    </row>
    <row r="4051" spans="1:7" x14ac:dyDescent="0.3">
      <c r="A4051" t="s">
        <v>13039</v>
      </c>
      <c r="B4051" t="s">
        <v>8131</v>
      </c>
      <c r="C4051" t="s">
        <v>8132</v>
      </c>
      <c r="D4051" s="1" t="s">
        <v>3650</v>
      </c>
      <c r="E4051" s="3">
        <v>2752470.79</v>
      </c>
      <c r="F4051" s="3">
        <f t="shared" si="126"/>
        <v>695549.36863300006</v>
      </c>
      <c r="G4051" s="3">
        <f t="shared" si="127"/>
        <v>3448020.1586330002</v>
      </c>
    </row>
    <row r="4052" spans="1:7" x14ac:dyDescent="0.3">
      <c r="A4052" t="s">
        <v>13039</v>
      </c>
      <c r="B4052" t="s">
        <v>8133</v>
      </c>
      <c r="C4052" t="s">
        <v>8134</v>
      </c>
      <c r="D4052" s="1" t="s">
        <v>38</v>
      </c>
      <c r="E4052" s="3">
        <v>68239.649999999994</v>
      </c>
      <c r="F4052" s="3">
        <f t="shared" si="126"/>
        <v>17244.159555000002</v>
      </c>
      <c r="G4052" s="3">
        <f t="shared" si="127"/>
        <v>85483.809555</v>
      </c>
    </row>
    <row r="4053" spans="1:7" x14ac:dyDescent="0.3">
      <c r="A4053" t="s">
        <v>13039</v>
      </c>
      <c r="B4053" t="s">
        <v>8135</v>
      </c>
      <c r="C4053" t="s">
        <v>8136</v>
      </c>
      <c r="D4053" s="1" t="s">
        <v>3650</v>
      </c>
      <c r="E4053" s="3">
        <v>1290355.29</v>
      </c>
      <c r="F4053" s="3">
        <f t="shared" si="126"/>
        <v>326072.78178300004</v>
      </c>
      <c r="G4053" s="3">
        <f t="shared" si="127"/>
        <v>1616428.0717830001</v>
      </c>
    </row>
    <row r="4054" spans="1:7" x14ac:dyDescent="0.3">
      <c r="A4054" t="s">
        <v>13039</v>
      </c>
      <c r="B4054" t="s">
        <v>8137</v>
      </c>
      <c r="C4054" t="s">
        <v>8138</v>
      </c>
      <c r="D4054" s="1" t="s">
        <v>3650</v>
      </c>
      <c r="E4054" s="3">
        <v>1296829.26</v>
      </c>
      <c r="F4054" s="3">
        <f t="shared" si="126"/>
        <v>327708.75400200003</v>
      </c>
      <c r="G4054" s="3">
        <f t="shared" si="127"/>
        <v>1624538.014002</v>
      </c>
    </row>
    <row r="4055" spans="1:7" x14ac:dyDescent="0.3">
      <c r="A4055" t="s">
        <v>13039</v>
      </c>
      <c r="B4055" t="s">
        <v>8139</v>
      </c>
      <c r="C4055" t="s">
        <v>8140</v>
      </c>
      <c r="D4055" s="1" t="s">
        <v>3650</v>
      </c>
      <c r="E4055" s="3">
        <v>1935427.55</v>
      </c>
      <c r="F4055" s="3">
        <f t="shared" si="126"/>
        <v>489082.54188500007</v>
      </c>
      <c r="G4055" s="3">
        <f t="shared" si="127"/>
        <v>2424510.091885</v>
      </c>
    </row>
    <row r="4056" spans="1:7" x14ac:dyDescent="0.3">
      <c r="A4056" t="s">
        <v>13039</v>
      </c>
      <c r="B4056" t="s">
        <v>8141</v>
      </c>
      <c r="C4056" t="s">
        <v>8142</v>
      </c>
      <c r="D4056" s="1" t="s">
        <v>3650</v>
      </c>
      <c r="E4056" s="3">
        <v>1945138.32</v>
      </c>
      <c r="F4056" s="3">
        <f t="shared" si="126"/>
        <v>491536.45346400008</v>
      </c>
      <c r="G4056" s="3">
        <f t="shared" si="127"/>
        <v>2436674.7734640003</v>
      </c>
    </row>
    <row r="4057" spans="1:7" x14ac:dyDescent="0.3">
      <c r="A4057" t="s">
        <v>13039</v>
      </c>
      <c r="B4057" t="s">
        <v>8143</v>
      </c>
      <c r="C4057" t="s">
        <v>8144</v>
      </c>
      <c r="D4057" s="1" t="s">
        <v>3650</v>
      </c>
      <c r="E4057" s="3">
        <v>1789639.64</v>
      </c>
      <c r="F4057" s="3">
        <f t="shared" si="126"/>
        <v>452241.93702800001</v>
      </c>
      <c r="G4057" s="3">
        <f t="shared" si="127"/>
        <v>2241881.5770279998</v>
      </c>
    </row>
    <row r="4058" spans="1:7" x14ac:dyDescent="0.3">
      <c r="A4058" t="s">
        <v>13039</v>
      </c>
      <c r="B4058" t="s">
        <v>8145</v>
      </c>
      <c r="C4058" t="s">
        <v>8146</v>
      </c>
      <c r="D4058" s="1" t="s">
        <v>3650</v>
      </c>
      <c r="E4058" s="3">
        <v>1674543.64</v>
      </c>
      <c r="F4058" s="3">
        <f t="shared" si="126"/>
        <v>423157.17782800004</v>
      </c>
      <c r="G4058" s="3">
        <f t="shared" si="127"/>
        <v>2097700.8178280001</v>
      </c>
    </row>
    <row r="4059" spans="1:7" x14ac:dyDescent="0.3">
      <c r="A4059" t="s">
        <v>13039</v>
      </c>
      <c r="B4059" t="s">
        <v>8147</v>
      </c>
      <c r="C4059" t="s">
        <v>8148</v>
      </c>
      <c r="D4059" s="1" t="s">
        <v>3650</v>
      </c>
      <c r="E4059" s="3">
        <v>1821254.62</v>
      </c>
      <c r="F4059" s="3">
        <f t="shared" si="126"/>
        <v>460231.04247400007</v>
      </c>
      <c r="G4059" s="3">
        <f t="shared" si="127"/>
        <v>2281485.6624740004</v>
      </c>
    </row>
    <row r="4060" spans="1:7" x14ac:dyDescent="0.3">
      <c r="A4060" t="s">
        <v>13039</v>
      </c>
      <c r="B4060" t="s">
        <v>8149</v>
      </c>
      <c r="C4060" t="s">
        <v>8150</v>
      </c>
      <c r="D4060" s="1" t="s">
        <v>3650</v>
      </c>
      <c r="E4060" s="3">
        <v>1700427.82</v>
      </c>
      <c r="F4060" s="3">
        <f t="shared" si="126"/>
        <v>429698.1101140001</v>
      </c>
      <c r="G4060" s="3">
        <f t="shared" si="127"/>
        <v>2130125.9301140001</v>
      </c>
    </row>
    <row r="4061" spans="1:7" x14ac:dyDescent="0.3">
      <c r="A4061" t="s">
        <v>13039</v>
      </c>
      <c r="B4061" t="s">
        <v>8151</v>
      </c>
      <c r="C4061" t="s">
        <v>8152</v>
      </c>
      <c r="D4061" s="1" t="s">
        <v>3650</v>
      </c>
      <c r="E4061" s="3">
        <v>2685138.9</v>
      </c>
      <c r="F4061" s="3">
        <f t="shared" si="126"/>
        <v>678534.60003000009</v>
      </c>
      <c r="G4061" s="3">
        <f t="shared" si="127"/>
        <v>3363673.5000299998</v>
      </c>
    </row>
    <row r="4062" spans="1:7" x14ac:dyDescent="0.3">
      <c r="A4062" t="s">
        <v>13039</v>
      </c>
      <c r="B4062" t="s">
        <v>8153</v>
      </c>
      <c r="C4062" t="s">
        <v>8154</v>
      </c>
      <c r="D4062" s="1" t="s">
        <v>3650</v>
      </c>
      <c r="E4062" s="3">
        <v>2732600.91</v>
      </c>
      <c r="F4062" s="3">
        <f t="shared" si="126"/>
        <v>690528.24995700014</v>
      </c>
      <c r="G4062" s="3">
        <f t="shared" si="127"/>
        <v>3423129.1599570001</v>
      </c>
    </row>
    <row r="4063" spans="1:7" x14ac:dyDescent="0.3">
      <c r="A4063" t="s">
        <v>13039</v>
      </c>
      <c r="B4063" t="s">
        <v>8155</v>
      </c>
      <c r="C4063" t="s">
        <v>8156</v>
      </c>
      <c r="D4063" s="1" t="s">
        <v>38</v>
      </c>
      <c r="E4063" s="3">
        <v>136756.35999999999</v>
      </c>
      <c r="F4063" s="3">
        <f t="shared" si="126"/>
        <v>34558.332172000002</v>
      </c>
      <c r="G4063" s="3">
        <f t="shared" si="127"/>
        <v>171314.69217199998</v>
      </c>
    </row>
    <row r="4064" spans="1:7" x14ac:dyDescent="0.3">
      <c r="A4064" t="s">
        <v>13039</v>
      </c>
      <c r="B4064" t="s">
        <v>8157</v>
      </c>
      <c r="C4064" t="s">
        <v>8158</v>
      </c>
      <c r="D4064" s="1" t="s">
        <v>3650</v>
      </c>
      <c r="E4064" s="3">
        <v>1283478.19</v>
      </c>
      <c r="F4064" s="3">
        <f t="shared" si="126"/>
        <v>324334.93861300003</v>
      </c>
      <c r="G4064" s="3">
        <f t="shared" si="127"/>
        <v>1607813.128613</v>
      </c>
    </row>
    <row r="4065" spans="1:7" x14ac:dyDescent="0.3">
      <c r="A4065" t="s">
        <v>13039</v>
      </c>
      <c r="B4065" t="s">
        <v>8159</v>
      </c>
      <c r="C4065" t="s">
        <v>8160</v>
      </c>
      <c r="D4065" s="1" t="s">
        <v>3650</v>
      </c>
      <c r="E4065" s="3">
        <v>1289952.24</v>
      </c>
      <c r="F4065" s="3">
        <f t="shared" si="126"/>
        <v>325970.93104800006</v>
      </c>
      <c r="G4065" s="3">
        <f t="shared" si="127"/>
        <v>1615923.171048</v>
      </c>
    </row>
    <row r="4066" spans="1:7" x14ac:dyDescent="0.3">
      <c r="A4066" t="s">
        <v>13039</v>
      </c>
      <c r="B4066" t="s">
        <v>8161</v>
      </c>
      <c r="C4066" t="s">
        <v>8162</v>
      </c>
      <c r="D4066" s="1" t="s">
        <v>3650</v>
      </c>
      <c r="E4066" s="3">
        <v>1925112.84</v>
      </c>
      <c r="F4066" s="3">
        <f t="shared" si="126"/>
        <v>486476.01466800011</v>
      </c>
      <c r="G4066" s="3">
        <f t="shared" si="127"/>
        <v>2411588.8546680002</v>
      </c>
    </row>
    <row r="4067" spans="1:7" x14ac:dyDescent="0.3">
      <c r="A4067" t="s">
        <v>13039</v>
      </c>
      <c r="B4067" t="s">
        <v>8163</v>
      </c>
      <c r="C4067" t="s">
        <v>8164</v>
      </c>
      <c r="D4067" s="1" t="s">
        <v>3650</v>
      </c>
      <c r="E4067" s="3">
        <v>1934823.92</v>
      </c>
      <c r="F4067" s="3">
        <f t="shared" si="126"/>
        <v>488930.00458400004</v>
      </c>
      <c r="G4067" s="3">
        <f t="shared" si="127"/>
        <v>2423753.9245839999</v>
      </c>
    </row>
    <row r="4068" spans="1:7" x14ac:dyDescent="0.3">
      <c r="A4068" t="s">
        <v>13039</v>
      </c>
      <c r="B4068" t="s">
        <v>8165</v>
      </c>
      <c r="C4068" t="s">
        <v>8166</v>
      </c>
      <c r="D4068" s="1" t="s">
        <v>3650</v>
      </c>
      <c r="E4068" s="3">
        <v>1782822.13</v>
      </c>
      <c r="F4068" s="3">
        <f t="shared" si="126"/>
        <v>450519.15225100005</v>
      </c>
      <c r="G4068" s="3">
        <f t="shared" si="127"/>
        <v>2233341.2822509999</v>
      </c>
    </row>
    <row r="4069" spans="1:7" x14ac:dyDescent="0.3">
      <c r="A4069" t="s">
        <v>13039</v>
      </c>
      <c r="B4069" t="s">
        <v>8167</v>
      </c>
      <c r="C4069" t="s">
        <v>8168</v>
      </c>
      <c r="D4069" s="1" t="s">
        <v>3650</v>
      </c>
      <c r="E4069" s="3">
        <v>1667726.12</v>
      </c>
      <c r="F4069" s="3">
        <f t="shared" si="126"/>
        <v>421434.3905240001</v>
      </c>
      <c r="G4069" s="3">
        <f t="shared" si="127"/>
        <v>2089160.5105240003</v>
      </c>
    </row>
    <row r="4070" spans="1:7" x14ac:dyDescent="0.3">
      <c r="A4070" t="s">
        <v>13039</v>
      </c>
      <c r="B4070" t="s">
        <v>8169</v>
      </c>
      <c r="C4070" t="s">
        <v>8170</v>
      </c>
      <c r="D4070" s="1" t="s">
        <v>3650</v>
      </c>
      <c r="E4070" s="3">
        <v>1814437.11</v>
      </c>
      <c r="F4070" s="3">
        <f t="shared" si="126"/>
        <v>458508.25769700011</v>
      </c>
      <c r="G4070" s="3">
        <f t="shared" si="127"/>
        <v>2272945.367697</v>
      </c>
    </row>
    <row r="4071" spans="1:7" x14ac:dyDescent="0.3">
      <c r="A4071" t="s">
        <v>13039</v>
      </c>
      <c r="B4071" t="s">
        <v>8171</v>
      </c>
      <c r="C4071" t="s">
        <v>8172</v>
      </c>
      <c r="D4071" s="1" t="s">
        <v>3650</v>
      </c>
      <c r="E4071" s="3">
        <v>1693610.3</v>
      </c>
      <c r="F4071" s="3">
        <f t="shared" si="126"/>
        <v>427975.3228100001</v>
      </c>
      <c r="G4071" s="3">
        <f t="shared" si="127"/>
        <v>2121585.6228100001</v>
      </c>
    </row>
    <row r="4072" spans="1:7" x14ac:dyDescent="0.3">
      <c r="A4072" t="s">
        <v>13039</v>
      </c>
      <c r="B4072" t="s">
        <v>8173</v>
      </c>
      <c r="C4072" t="s">
        <v>8174</v>
      </c>
      <c r="D4072" s="1" t="s">
        <v>3650</v>
      </c>
      <c r="E4072" s="3">
        <v>2674913.66</v>
      </c>
      <c r="F4072" s="3">
        <f t="shared" si="126"/>
        <v>675950.68188200018</v>
      </c>
      <c r="G4072" s="3">
        <f t="shared" si="127"/>
        <v>3350864.3418820002</v>
      </c>
    </row>
    <row r="4073" spans="1:7" x14ac:dyDescent="0.3">
      <c r="A4073" t="s">
        <v>13039</v>
      </c>
      <c r="B4073" t="s">
        <v>8175</v>
      </c>
      <c r="C4073" t="s">
        <v>8176</v>
      </c>
      <c r="D4073" s="1" t="s">
        <v>3650</v>
      </c>
      <c r="E4073" s="3">
        <v>2722375.67</v>
      </c>
      <c r="F4073" s="3">
        <f t="shared" si="126"/>
        <v>687944.33180900011</v>
      </c>
      <c r="G4073" s="3">
        <f t="shared" si="127"/>
        <v>3410320.001809</v>
      </c>
    </row>
    <row r="4074" spans="1:7" x14ac:dyDescent="0.3">
      <c r="A4074" t="s">
        <v>13039</v>
      </c>
      <c r="B4074" t="s">
        <v>8177</v>
      </c>
      <c r="C4074" t="s">
        <v>8178</v>
      </c>
      <c r="D4074" s="1" t="s">
        <v>3650</v>
      </c>
      <c r="E4074" s="3">
        <v>1733486.8</v>
      </c>
      <c r="F4074" s="3">
        <f t="shared" si="126"/>
        <v>438052.11436000007</v>
      </c>
      <c r="G4074" s="3">
        <f t="shared" si="127"/>
        <v>2171538.9143600003</v>
      </c>
    </row>
    <row r="4075" spans="1:7" x14ac:dyDescent="0.3">
      <c r="A4075" t="s">
        <v>13039</v>
      </c>
      <c r="B4075" t="s">
        <v>8179</v>
      </c>
      <c r="C4075" t="s">
        <v>8180</v>
      </c>
      <c r="D4075" s="1" t="s">
        <v>3650</v>
      </c>
      <c r="E4075" s="3">
        <v>1738143.9</v>
      </c>
      <c r="F4075" s="3">
        <f t="shared" si="126"/>
        <v>439228.96353000007</v>
      </c>
      <c r="G4075" s="3">
        <f t="shared" si="127"/>
        <v>2177372.8635299997</v>
      </c>
    </row>
    <row r="4076" spans="1:7" x14ac:dyDescent="0.3">
      <c r="A4076" t="s">
        <v>13039</v>
      </c>
      <c r="B4076" t="s">
        <v>8181</v>
      </c>
      <c r="C4076" t="s">
        <v>8182</v>
      </c>
      <c r="D4076" s="1" t="s">
        <v>3650</v>
      </c>
      <c r="E4076" s="3">
        <v>2596216.64</v>
      </c>
      <c r="F4076" s="3">
        <f t="shared" si="126"/>
        <v>656063.9449280001</v>
      </c>
      <c r="G4076" s="3">
        <f t="shared" si="127"/>
        <v>3252280.5849280003</v>
      </c>
    </row>
    <row r="4077" spans="1:7" x14ac:dyDescent="0.3">
      <c r="A4077" t="s">
        <v>13039</v>
      </c>
      <c r="B4077" t="s">
        <v>8183</v>
      </c>
      <c r="C4077" t="s">
        <v>8184</v>
      </c>
      <c r="D4077" s="1" t="s">
        <v>3650</v>
      </c>
      <c r="E4077" s="3">
        <v>2605556.36</v>
      </c>
      <c r="F4077" s="3">
        <f t="shared" si="126"/>
        <v>658424.09217200009</v>
      </c>
      <c r="G4077" s="3">
        <f t="shared" si="127"/>
        <v>3263980.452172</v>
      </c>
    </row>
    <row r="4078" spans="1:7" x14ac:dyDescent="0.3">
      <c r="A4078" t="s">
        <v>13039</v>
      </c>
      <c r="B4078" t="s">
        <v>8185</v>
      </c>
      <c r="C4078" t="s">
        <v>8186</v>
      </c>
      <c r="D4078" s="1" t="s">
        <v>3650</v>
      </c>
      <c r="E4078" s="3">
        <v>2140209.92</v>
      </c>
      <c r="F4078" s="3">
        <f t="shared" si="126"/>
        <v>540831.04678400001</v>
      </c>
      <c r="G4078" s="3">
        <f t="shared" si="127"/>
        <v>2681040.9667839999</v>
      </c>
    </row>
    <row r="4079" spans="1:7" x14ac:dyDescent="0.3">
      <c r="A4079" t="s">
        <v>13039</v>
      </c>
      <c r="B4079" t="s">
        <v>8187</v>
      </c>
      <c r="C4079" t="s">
        <v>8188</v>
      </c>
      <c r="D4079" s="1" t="s">
        <v>3650</v>
      </c>
      <c r="E4079" s="3">
        <v>2167106.09</v>
      </c>
      <c r="F4079" s="3">
        <f t="shared" si="126"/>
        <v>547627.70894300006</v>
      </c>
      <c r="G4079" s="3">
        <f t="shared" si="127"/>
        <v>2714733.7989429999</v>
      </c>
    </row>
    <row r="4080" spans="1:7" x14ac:dyDescent="0.3">
      <c r="A4080" t="s">
        <v>13039</v>
      </c>
      <c r="B4080" t="s">
        <v>8189</v>
      </c>
      <c r="C4080" t="s">
        <v>8190</v>
      </c>
      <c r="D4080" s="1" t="s">
        <v>3650</v>
      </c>
      <c r="E4080" s="3">
        <v>3210317.67</v>
      </c>
      <c r="F4080" s="3">
        <f t="shared" si="126"/>
        <v>811247.2752090001</v>
      </c>
      <c r="G4080" s="3">
        <f t="shared" si="127"/>
        <v>4021564.9452090003</v>
      </c>
    </row>
    <row r="4081" spans="1:7" x14ac:dyDescent="0.3">
      <c r="A4081" t="s">
        <v>13039</v>
      </c>
      <c r="B4081" t="s">
        <v>8191</v>
      </c>
      <c r="C4081" t="s">
        <v>8192</v>
      </c>
      <c r="D4081" s="1" t="s">
        <v>3650</v>
      </c>
      <c r="E4081" s="3">
        <v>3250662.21</v>
      </c>
      <c r="F4081" s="3">
        <f t="shared" si="126"/>
        <v>821442.34046700015</v>
      </c>
      <c r="G4081" s="3">
        <f t="shared" si="127"/>
        <v>4072104.5504670003</v>
      </c>
    </row>
    <row r="4082" spans="1:7" x14ac:dyDescent="0.3">
      <c r="A4082" t="s">
        <v>13039</v>
      </c>
      <c r="B4082" t="s">
        <v>8193</v>
      </c>
      <c r="C4082" t="s">
        <v>8194</v>
      </c>
      <c r="D4082" s="1" t="s">
        <v>38</v>
      </c>
      <c r="E4082" s="3">
        <v>84622.69</v>
      </c>
      <c r="F4082" s="3">
        <f t="shared" si="126"/>
        <v>21384.153763000002</v>
      </c>
      <c r="G4082" s="3">
        <f t="shared" si="127"/>
        <v>106006.84376300001</v>
      </c>
    </row>
    <row r="4083" spans="1:7" x14ac:dyDescent="0.3">
      <c r="A4083" t="s">
        <v>13039</v>
      </c>
      <c r="B4083" t="s">
        <v>8195</v>
      </c>
      <c r="C4083" t="s">
        <v>8196</v>
      </c>
      <c r="D4083" s="1" t="s">
        <v>3650</v>
      </c>
      <c r="E4083" s="3">
        <v>1566788.24</v>
      </c>
      <c r="F4083" s="3">
        <f t="shared" si="126"/>
        <v>395927.38824800006</v>
      </c>
      <c r="G4083" s="3">
        <f t="shared" si="127"/>
        <v>1962715.6282480001</v>
      </c>
    </row>
    <row r="4084" spans="1:7" x14ac:dyDescent="0.3">
      <c r="A4084" t="s">
        <v>13039</v>
      </c>
      <c r="B4084" t="s">
        <v>8197</v>
      </c>
      <c r="C4084" t="s">
        <v>8198</v>
      </c>
      <c r="D4084" s="1" t="s">
        <v>3650</v>
      </c>
      <c r="E4084" s="3">
        <v>1573262.2</v>
      </c>
      <c r="F4084" s="3">
        <f t="shared" si="126"/>
        <v>397563.35794000002</v>
      </c>
      <c r="G4084" s="3">
        <f t="shared" si="127"/>
        <v>1970825.55794</v>
      </c>
    </row>
    <row r="4085" spans="1:7" x14ac:dyDescent="0.3">
      <c r="A4085" t="s">
        <v>13039</v>
      </c>
      <c r="B4085" t="s">
        <v>8199</v>
      </c>
      <c r="C4085" t="s">
        <v>8200</v>
      </c>
      <c r="D4085" s="1" t="s">
        <v>3650</v>
      </c>
      <c r="E4085" s="3">
        <v>2350076.89</v>
      </c>
      <c r="F4085" s="3">
        <f t="shared" si="126"/>
        <v>593864.43010300014</v>
      </c>
      <c r="G4085" s="3">
        <f t="shared" si="127"/>
        <v>2943941.3201030004</v>
      </c>
    </row>
    <row r="4086" spans="1:7" x14ac:dyDescent="0.3">
      <c r="A4086" t="s">
        <v>13039</v>
      </c>
      <c r="B4086" t="s">
        <v>8201</v>
      </c>
      <c r="C4086" t="s">
        <v>8202</v>
      </c>
      <c r="D4086" s="1" t="s">
        <v>3650</v>
      </c>
      <c r="E4086" s="3">
        <v>2359787.66</v>
      </c>
      <c r="F4086" s="3">
        <f t="shared" si="126"/>
        <v>596318.34168200009</v>
      </c>
      <c r="G4086" s="3">
        <f t="shared" si="127"/>
        <v>2956106.0016820002</v>
      </c>
    </row>
    <row r="4087" spans="1:7" x14ac:dyDescent="0.3">
      <c r="A4087" t="s">
        <v>13039</v>
      </c>
      <c r="B4087" t="s">
        <v>8203</v>
      </c>
      <c r="C4087" t="s">
        <v>8204</v>
      </c>
      <c r="D4087" s="1" t="s">
        <v>3650</v>
      </c>
      <c r="E4087" s="3">
        <v>2124696.4</v>
      </c>
      <c r="F4087" s="3">
        <f t="shared" si="126"/>
        <v>536910.78028000006</v>
      </c>
      <c r="G4087" s="3">
        <f t="shared" si="127"/>
        <v>2661607.18028</v>
      </c>
    </row>
    <row r="4088" spans="1:7" x14ac:dyDescent="0.3">
      <c r="A4088" t="s">
        <v>13039</v>
      </c>
      <c r="B4088" t="s">
        <v>8205</v>
      </c>
      <c r="C4088" t="s">
        <v>8206</v>
      </c>
      <c r="D4088" s="1" t="s">
        <v>3650</v>
      </c>
      <c r="E4088" s="3">
        <v>1973916.67</v>
      </c>
      <c r="F4088" s="3">
        <f t="shared" si="126"/>
        <v>498808.74250900006</v>
      </c>
      <c r="G4088" s="3">
        <f t="shared" si="127"/>
        <v>2472725.4125089999</v>
      </c>
    </row>
    <row r="4089" spans="1:7" x14ac:dyDescent="0.3">
      <c r="A4089" t="s">
        <v>13039</v>
      </c>
      <c r="B4089" t="s">
        <v>8207</v>
      </c>
      <c r="C4089" t="s">
        <v>8208</v>
      </c>
      <c r="D4089" s="1" t="s">
        <v>3650</v>
      </c>
      <c r="E4089" s="3">
        <v>2159230.2599999998</v>
      </c>
      <c r="F4089" s="3">
        <f t="shared" si="126"/>
        <v>545637.48670200002</v>
      </c>
      <c r="G4089" s="3">
        <f t="shared" si="127"/>
        <v>2704867.7467019996</v>
      </c>
    </row>
    <row r="4090" spans="1:7" x14ac:dyDescent="0.3">
      <c r="A4090" t="s">
        <v>13039</v>
      </c>
      <c r="B4090" t="s">
        <v>8209</v>
      </c>
      <c r="C4090" t="s">
        <v>8210</v>
      </c>
      <c r="D4090" s="1" t="s">
        <v>3650</v>
      </c>
      <c r="E4090" s="3">
        <v>2000943.04</v>
      </c>
      <c r="F4090" s="3">
        <f t="shared" si="126"/>
        <v>505638.30620800005</v>
      </c>
      <c r="G4090" s="3">
        <f t="shared" si="127"/>
        <v>2506581.3462080001</v>
      </c>
    </row>
    <row r="4091" spans="1:7" x14ac:dyDescent="0.3">
      <c r="A4091" t="s">
        <v>13039</v>
      </c>
      <c r="B4091" t="s">
        <v>8211</v>
      </c>
      <c r="C4091" t="s">
        <v>8212</v>
      </c>
      <c r="D4091" s="1" t="s">
        <v>3650</v>
      </c>
      <c r="E4091" s="3">
        <v>3187723.96</v>
      </c>
      <c r="F4091" s="3">
        <f t="shared" si="126"/>
        <v>805537.84469200007</v>
      </c>
      <c r="G4091" s="3">
        <f t="shared" si="127"/>
        <v>3993261.8046920002</v>
      </c>
    </row>
    <row r="4092" spans="1:7" x14ac:dyDescent="0.3">
      <c r="A4092" t="s">
        <v>13039</v>
      </c>
      <c r="B4092" t="s">
        <v>8213</v>
      </c>
      <c r="C4092" t="s">
        <v>8214</v>
      </c>
      <c r="D4092" s="1" t="s">
        <v>3650</v>
      </c>
      <c r="E4092" s="3">
        <v>3239564.3</v>
      </c>
      <c r="F4092" s="3">
        <f t="shared" si="126"/>
        <v>818637.89861000003</v>
      </c>
      <c r="G4092" s="3">
        <f t="shared" si="127"/>
        <v>4058202.1986099998</v>
      </c>
    </row>
    <row r="4093" spans="1:7" x14ac:dyDescent="0.3">
      <c r="A4093" t="s">
        <v>13039</v>
      </c>
      <c r="B4093" t="s">
        <v>8215</v>
      </c>
      <c r="C4093" t="s">
        <v>8216</v>
      </c>
      <c r="D4093" s="1" t="s">
        <v>38</v>
      </c>
      <c r="E4093" s="3">
        <v>169522.45</v>
      </c>
      <c r="F4093" s="3">
        <f t="shared" si="126"/>
        <v>42838.323115000007</v>
      </c>
      <c r="G4093" s="3">
        <f t="shared" si="127"/>
        <v>212360.77311500002</v>
      </c>
    </row>
    <row r="4094" spans="1:7" x14ac:dyDescent="0.3">
      <c r="A4094" t="s">
        <v>13039</v>
      </c>
      <c r="B4094" t="s">
        <v>8217</v>
      </c>
      <c r="C4094" t="s">
        <v>8218</v>
      </c>
      <c r="D4094" s="1" t="s">
        <v>3650</v>
      </c>
      <c r="E4094" s="3">
        <v>1558224.67</v>
      </c>
      <c r="F4094" s="3">
        <f t="shared" si="126"/>
        <v>393763.37410900003</v>
      </c>
      <c r="G4094" s="3">
        <f t="shared" si="127"/>
        <v>1951988.0441089999</v>
      </c>
    </row>
    <row r="4095" spans="1:7" x14ac:dyDescent="0.3">
      <c r="A4095" t="s">
        <v>13039</v>
      </c>
      <c r="B4095" t="s">
        <v>8219</v>
      </c>
      <c r="C4095" t="s">
        <v>8220</v>
      </c>
      <c r="D4095" s="1" t="s">
        <v>3650</v>
      </c>
      <c r="E4095" s="3">
        <v>1564698.73</v>
      </c>
      <c r="F4095" s="3">
        <f t="shared" si="126"/>
        <v>395399.36907100002</v>
      </c>
      <c r="G4095" s="3">
        <f t="shared" si="127"/>
        <v>1960098.099071</v>
      </c>
    </row>
    <row r="4096" spans="1:7" x14ac:dyDescent="0.3">
      <c r="A4096" t="s">
        <v>13039</v>
      </c>
      <c r="B4096" t="s">
        <v>8221</v>
      </c>
      <c r="C4096" t="s">
        <v>8222</v>
      </c>
      <c r="D4096" s="1" t="s">
        <v>3650</v>
      </c>
      <c r="E4096" s="3">
        <v>2337232.73</v>
      </c>
      <c r="F4096" s="3">
        <f t="shared" si="126"/>
        <v>590618.71087100008</v>
      </c>
      <c r="G4096" s="3">
        <f t="shared" si="127"/>
        <v>2927851.4408710003</v>
      </c>
    </row>
    <row r="4097" spans="1:7" x14ac:dyDescent="0.3">
      <c r="A4097" t="s">
        <v>13039</v>
      </c>
      <c r="B4097" t="s">
        <v>8223</v>
      </c>
      <c r="C4097" t="s">
        <v>8224</v>
      </c>
      <c r="D4097" s="1" t="s">
        <v>3650</v>
      </c>
      <c r="E4097" s="3">
        <v>2346943.81</v>
      </c>
      <c r="F4097" s="3">
        <f t="shared" si="126"/>
        <v>593072.70078700013</v>
      </c>
      <c r="G4097" s="3">
        <f t="shared" si="127"/>
        <v>2940016.5107869999</v>
      </c>
    </row>
    <row r="4098" spans="1:7" x14ac:dyDescent="0.3">
      <c r="A4098" t="s">
        <v>13039</v>
      </c>
      <c r="B4098" t="s">
        <v>8225</v>
      </c>
      <c r="C4098" t="s">
        <v>8226</v>
      </c>
      <c r="D4098" s="1" t="s">
        <v>3650</v>
      </c>
      <c r="E4098" s="3">
        <v>2116192.42</v>
      </c>
      <c r="F4098" s="3">
        <f t="shared" si="126"/>
        <v>534761.82453400001</v>
      </c>
      <c r="G4098" s="3">
        <f t="shared" si="127"/>
        <v>2650954.2445339998</v>
      </c>
    </row>
    <row r="4099" spans="1:7" x14ac:dyDescent="0.3">
      <c r="A4099" t="s">
        <v>13039</v>
      </c>
      <c r="B4099" t="s">
        <v>8227</v>
      </c>
      <c r="C4099" t="s">
        <v>8228</v>
      </c>
      <c r="D4099" s="1" t="s">
        <v>3650</v>
      </c>
      <c r="E4099" s="3">
        <v>1965412.69</v>
      </c>
      <c r="F4099" s="3">
        <f t="shared" si="126"/>
        <v>496659.78676300007</v>
      </c>
      <c r="G4099" s="3">
        <f t="shared" si="127"/>
        <v>2462072.4767629998</v>
      </c>
    </row>
    <row r="4100" spans="1:7" x14ac:dyDescent="0.3">
      <c r="A4100" t="s">
        <v>13039</v>
      </c>
      <c r="B4100" t="s">
        <v>8229</v>
      </c>
      <c r="C4100" t="s">
        <v>8230</v>
      </c>
      <c r="D4100" s="1" t="s">
        <v>3650</v>
      </c>
      <c r="E4100" s="3">
        <v>2150726.2799999998</v>
      </c>
      <c r="F4100" s="3">
        <f t="shared" si="126"/>
        <v>543488.53095599997</v>
      </c>
      <c r="G4100" s="3">
        <f t="shared" si="127"/>
        <v>2694214.8109559999</v>
      </c>
    </row>
    <row r="4101" spans="1:7" x14ac:dyDescent="0.3">
      <c r="A4101" t="s">
        <v>13039</v>
      </c>
      <c r="B4101" t="s">
        <v>8231</v>
      </c>
      <c r="C4101" t="s">
        <v>8232</v>
      </c>
      <c r="D4101" s="1" t="s">
        <v>3650</v>
      </c>
      <c r="E4101" s="3">
        <v>1992439.06</v>
      </c>
      <c r="F4101" s="3">
        <f t="shared" si="126"/>
        <v>503489.35046200006</v>
      </c>
      <c r="G4101" s="3">
        <f t="shared" si="127"/>
        <v>2495928.4104619999</v>
      </c>
    </row>
    <row r="4102" spans="1:7" x14ac:dyDescent="0.3">
      <c r="A4102" t="s">
        <v>13039</v>
      </c>
      <c r="B4102" t="s">
        <v>8233</v>
      </c>
      <c r="C4102" t="s">
        <v>8234</v>
      </c>
      <c r="D4102" s="1" t="s">
        <v>3650</v>
      </c>
      <c r="E4102" s="3">
        <v>3174969.27</v>
      </c>
      <c r="F4102" s="3">
        <f t="shared" si="126"/>
        <v>802314.73452900012</v>
      </c>
      <c r="G4102" s="3">
        <f t="shared" si="127"/>
        <v>3977284.0045290003</v>
      </c>
    </row>
    <row r="4103" spans="1:7" x14ac:dyDescent="0.3">
      <c r="A4103" t="s">
        <v>13039</v>
      </c>
      <c r="B4103" t="s">
        <v>8235</v>
      </c>
      <c r="C4103" t="s">
        <v>8236</v>
      </c>
      <c r="D4103" s="1" t="s">
        <v>3650</v>
      </c>
      <c r="E4103" s="3">
        <v>3226809.6</v>
      </c>
      <c r="F4103" s="3">
        <f t="shared" ref="F4103:F4166" si="128">+E4103*$F$4</f>
        <v>815414.78592000017</v>
      </c>
      <c r="G4103" s="3">
        <f t="shared" ref="G4103:G4166" si="129">+E4103+F4103</f>
        <v>4042224.3859200003</v>
      </c>
    </row>
    <row r="4104" spans="1:7" x14ac:dyDescent="0.3">
      <c r="A4104" t="s">
        <v>13039</v>
      </c>
      <c r="B4104" t="s">
        <v>8237</v>
      </c>
      <c r="C4104" t="s">
        <v>8238</v>
      </c>
      <c r="D4104" s="1" t="s">
        <v>3650</v>
      </c>
      <c r="E4104" s="3">
        <v>1556676.36</v>
      </c>
      <c r="F4104" s="3">
        <f t="shared" si="128"/>
        <v>393372.11617200007</v>
      </c>
      <c r="G4104" s="3">
        <f t="shared" si="129"/>
        <v>1950048.4761720002</v>
      </c>
    </row>
    <row r="4105" spans="1:7" x14ac:dyDescent="0.3">
      <c r="A4105" t="s">
        <v>13039</v>
      </c>
      <c r="B4105" t="s">
        <v>8239</v>
      </c>
      <c r="C4105" t="s">
        <v>8240</v>
      </c>
      <c r="D4105" s="1" t="s">
        <v>3650</v>
      </c>
      <c r="E4105" s="3">
        <v>1561441.74</v>
      </c>
      <c r="F4105" s="3">
        <f t="shared" si="128"/>
        <v>394576.32769800007</v>
      </c>
      <c r="G4105" s="3">
        <f t="shared" si="129"/>
        <v>1956018.067698</v>
      </c>
    </row>
    <row r="4106" spans="1:7" x14ac:dyDescent="0.3">
      <c r="A4106" t="s">
        <v>13039</v>
      </c>
      <c r="B4106" t="s">
        <v>8241</v>
      </c>
      <c r="C4106" t="s">
        <v>8242</v>
      </c>
      <c r="D4106" s="1" t="s">
        <v>3650</v>
      </c>
      <c r="E4106" s="3">
        <v>2333093.7599999998</v>
      </c>
      <c r="F4106" s="3">
        <f t="shared" si="128"/>
        <v>589572.79315200006</v>
      </c>
      <c r="G4106" s="3">
        <f t="shared" si="129"/>
        <v>2922666.5531519996</v>
      </c>
    </row>
    <row r="4107" spans="1:7" x14ac:dyDescent="0.3">
      <c r="A4107" t="s">
        <v>13039</v>
      </c>
      <c r="B4107" t="s">
        <v>8243</v>
      </c>
      <c r="C4107" t="s">
        <v>8244</v>
      </c>
      <c r="D4107" s="1" t="s">
        <v>3650</v>
      </c>
      <c r="E4107" s="3">
        <v>2340557.27</v>
      </c>
      <c r="F4107" s="3">
        <f t="shared" si="128"/>
        <v>591458.82212900009</v>
      </c>
      <c r="G4107" s="3">
        <f t="shared" si="129"/>
        <v>2932016.092129</v>
      </c>
    </row>
    <row r="4108" spans="1:7" x14ac:dyDescent="0.3">
      <c r="A4108" t="s">
        <v>13039</v>
      </c>
      <c r="B4108" t="s">
        <v>8245</v>
      </c>
      <c r="C4108" t="s">
        <v>8246</v>
      </c>
      <c r="D4108" s="1" t="s">
        <v>3650</v>
      </c>
      <c r="E4108" s="3">
        <v>2027046.23</v>
      </c>
      <c r="F4108" s="3">
        <f t="shared" si="128"/>
        <v>512234.58232100005</v>
      </c>
      <c r="G4108" s="3">
        <f t="shared" si="129"/>
        <v>2539280.8123209998</v>
      </c>
    </row>
    <row r="4109" spans="1:7" x14ac:dyDescent="0.3">
      <c r="A4109" t="s">
        <v>13039</v>
      </c>
      <c r="B4109" t="s">
        <v>8247</v>
      </c>
      <c r="C4109" t="s">
        <v>8248</v>
      </c>
      <c r="D4109" s="1" t="s">
        <v>3650</v>
      </c>
      <c r="E4109" s="3">
        <v>2057111.37</v>
      </c>
      <c r="F4109" s="3">
        <f t="shared" si="128"/>
        <v>519832.04319900012</v>
      </c>
      <c r="G4109" s="3">
        <f t="shared" si="129"/>
        <v>2576943.4131990001</v>
      </c>
    </row>
    <row r="4110" spans="1:7" x14ac:dyDescent="0.3">
      <c r="A4110" t="s">
        <v>13039</v>
      </c>
      <c r="B4110" t="s">
        <v>8249</v>
      </c>
      <c r="C4110" t="s">
        <v>8250</v>
      </c>
      <c r="D4110" s="1" t="s">
        <v>3650</v>
      </c>
      <c r="E4110" s="3">
        <v>3040572.13</v>
      </c>
      <c r="F4110" s="3">
        <f t="shared" si="128"/>
        <v>768352.5772510001</v>
      </c>
      <c r="G4110" s="3">
        <f t="shared" si="129"/>
        <v>3808924.7072510002</v>
      </c>
    </row>
    <row r="4111" spans="1:7" x14ac:dyDescent="0.3">
      <c r="A4111" t="s">
        <v>13039</v>
      </c>
      <c r="B4111" t="s">
        <v>8251</v>
      </c>
      <c r="C4111" t="s">
        <v>8252</v>
      </c>
      <c r="D4111" s="1" t="s">
        <v>3650</v>
      </c>
      <c r="E4111" s="3">
        <v>3085670.14</v>
      </c>
      <c r="F4111" s="3">
        <f t="shared" si="128"/>
        <v>779748.84437800013</v>
      </c>
      <c r="G4111" s="3">
        <f t="shared" si="129"/>
        <v>3865418.9843780003</v>
      </c>
    </row>
    <row r="4112" spans="1:7" x14ac:dyDescent="0.3">
      <c r="A4112" t="s">
        <v>13039</v>
      </c>
      <c r="B4112" t="s">
        <v>8253</v>
      </c>
      <c r="C4112" t="s">
        <v>8254</v>
      </c>
      <c r="D4112" s="1" t="s">
        <v>38</v>
      </c>
      <c r="E4112" s="3">
        <v>75845.72</v>
      </c>
      <c r="F4112" s="3">
        <f t="shared" si="128"/>
        <v>19166.213444000005</v>
      </c>
      <c r="G4112" s="3">
        <f t="shared" si="129"/>
        <v>95011.933444000009</v>
      </c>
    </row>
    <row r="4113" spans="1:7" x14ac:dyDescent="0.3">
      <c r="A4113" t="s">
        <v>13039</v>
      </c>
      <c r="B4113" t="s">
        <v>8255</v>
      </c>
      <c r="C4113" t="s">
        <v>8256</v>
      </c>
      <c r="D4113" s="1" t="s">
        <v>3650</v>
      </c>
      <c r="E4113" s="3">
        <v>1417562.39</v>
      </c>
      <c r="F4113" s="3">
        <f t="shared" si="128"/>
        <v>358218.01595300005</v>
      </c>
      <c r="G4113" s="3">
        <f t="shared" si="129"/>
        <v>1775780.4059529998</v>
      </c>
    </row>
    <row r="4114" spans="1:7" x14ac:dyDescent="0.3">
      <c r="A4114" t="s">
        <v>13039</v>
      </c>
      <c r="B4114" t="s">
        <v>8257</v>
      </c>
      <c r="C4114" t="s">
        <v>8258</v>
      </c>
      <c r="D4114" s="1" t="s">
        <v>3650</v>
      </c>
      <c r="E4114" s="3">
        <v>1424036.35</v>
      </c>
      <c r="F4114" s="3">
        <f t="shared" si="128"/>
        <v>359853.98564500007</v>
      </c>
      <c r="G4114" s="3">
        <f t="shared" si="129"/>
        <v>1783890.3356450002</v>
      </c>
    </row>
    <row r="4115" spans="1:7" x14ac:dyDescent="0.3">
      <c r="A4115" t="s">
        <v>13039</v>
      </c>
      <c r="B4115" t="s">
        <v>8259</v>
      </c>
      <c r="C4115" t="s">
        <v>8260</v>
      </c>
      <c r="D4115" s="1" t="s">
        <v>3650</v>
      </c>
      <c r="E4115" s="3">
        <v>2126238.16</v>
      </c>
      <c r="F4115" s="3">
        <f t="shared" si="128"/>
        <v>537300.38303200016</v>
      </c>
      <c r="G4115" s="3">
        <f t="shared" si="129"/>
        <v>2663538.5430320003</v>
      </c>
    </row>
    <row r="4116" spans="1:7" x14ac:dyDescent="0.3">
      <c r="A4116" t="s">
        <v>13039</v>
      </c>
      <c r="B4116" t="s">
        <v>8261</v>
      </c>
      <c r="C4116" t="s">
        <v>8262</v>
      </c>
      <c r="D4116" s="1" t="s">
        <v>3650</v>
      </c>
      <c r="E4116" s="3">
        <v>2135948.9300000002</v>
      </c>
      <c r="F4116" s="3">
        <f t="shared" si="128"/>
        <v>539754.29461100011</v>
      </c>
      <c r="G4116" s="3">
        <f t="shared" si="129"/>
        <v>2675703.2246110002</v>
      </c>
    </row>
    <row r="4117" spans="1:7" x14ac:dyDescent="0.3">
      <c r="A4117" t="s">
        <v>13039</v>
      </c>
      <c r="B4117" t="s">
        <v>8263</v>
      </c>
      <c r="C4117" t="s">
        <v>8264</v>
      </c>
      <c r="D4117" s="1" t="s">
        <v>3650</v>
      </c>
      <c r="E4117" s="3">
        <v>1969214.55</v>
      </c>
      <c r="F4117" s="3">
        <f t="shared" si="128"/>
        <v>497620.5167850001</v>
      </c>
      <c r="G4117" s="3">
        <f t="shared" si="129"/>
        <v>2466835.0667850003</v>
      </c>
    </row>
    <row r="4118" spans="1:7" x14ac:dyDescent="0.3">
      <c r="A4118" t="s">
        <v>13039</v>
      </c>
      <c r="B4118" t="s">
        <v>8265</v>
      </c>
      <c r="C4118" t="s">
        <v>8266</v>
      </c>
      <c r="D4118" s="1" t="s">
        <v>3650</v>
      </c>
      <c r="E4118" s="3">
        <v>1888337.57</v>
      </c>
      <c r="F4118" s="3">
        <f t="shared" si="128"/>
        <v>477182.9039390001</v>
      </c>
      <c r="G4118" s="3">
        <f t="shared" si="129"/>
        <v>2365520.4739390002</v>
      </c>
    </row>
    <row r="4119" spans="1:7" x14ac:dyDescent="0.3">
      <c r="A4119" t="s">
        <v>13039</v>
      </c>
      <c r="B4119" t="s">
        <v>8267</v>
      </c>
      <c r="C4119" t="s">
        <v>8268</v>
      </c>
      <c r="D4119" s="1" t="s">
        <v>3650</v>
      </c>
      <c r="E4119" s="3">
        <v>2003436.92</v>
      </c>
      <c r="F4119" s="3">
        <f t="shared" si="128"/>
        <v>506268.50968400005</v>
      </c>
      <c r="G4119" s="3">
        <f t="shared" si="129"/>
        <v>2509705.4296840001</v>
      </c>
    </row>
    <row r="4120" spans="1:7" x14ac:dyDescent="0.3">
      <c r="A4120" t="s">
        <v>13039</v>
      </c>
      <c r="B4120" t="s">
        <v>8269</v>
      </c>
      <c r="C4120" t="s">
        <v>8270</v>
      </c>
      <c r="D4120" s="1" t="s">
        <v>3650</v>
      </c>
      <c r="E4120" s="3">
        <v>1918532.91</v>
      </c>
      <c r="F4120" s="3">
        <f t="shared" si="128"/>
        <v>484813.26635700004</v>
      </c>
      <c r="G4120" s="3">
        <f t="shared" si="129"/>
        <v>2403346.1763570001</v>
      </c>
    </row>
    <row r="4121" spans="1:7" x14ac:dyDescent="0.3">
      <c r="A4121" t="s">
        <v>13039</v>
      </c>
      <c r="B4121" t="s">
        <v>8271</v>
      </c>
      <c r="C4121" t="s">
        <v>8272</v>
      </c>
      <c r="D4121" s="1" t="s">
        <v>3650</v>
      </c>
      <c r="E4121" s="3">
        <v>2954501.23</v>
      </c>
      <c r="F4121" s="3">
        <f t="shared" si="128"/>
        <v>746602.46082100004</v>
      </c>
      <c r="G4121" s="3">
        <f t="shared" si="129"/>
        <v>3701103.6908209999</v>
      </c>
    </row>
    <row r="4122" spans="1:7" x14ac:dyDescent="0.3">
      <c r="A4122" t="s">
        <v>13039</v>
      </c>
      <c r="B4122" t="s">
        <v>8273</v>
      </c>
      <c r="C4122" t="s">
        <v>8274</v>
      </c>
      <c r="D4122" s="1" t="s">
        <v>3650</v>
      </c>
      <c r="E4122" s="3">
        <v>3005874.33</v>
      </c>
      <c r="F4122" s="3">
        <f t="shared" si="128"/>
        <v>759584.44319100014</v>
      </c>
      <c r="G4122" s="3">
        <f t="shared" si="129"/>
        <v>3765458.7731910003</v>
      </c>
    </row>
    <row r="4123" spans="1:7" x14ac:dyDescent="0.3">
      <c r="A4123" t="s">
        <v>13039</v>
      </c>
      <c r="B4123" t="s">
        <v>8275</v>
      </c>
      <c r="C4123" t="s">
        <v>8276</v>
      </c>
      <c r="D4123" s="1" t="s">
        <v>38</v>
      </c>
      <c r="E4123" s="3">
        <v>151968.5</v>
      </c>
      <c r="F4123" s="3">
        <f t="shared" si="128"/>
        <v>38402.439950000007</v>
      </c>
      <c r="G4123" s="3">
        <f t="shared" si="129"/>
        <v>190370.93995</v>
      </c>
    </row>
    <row r="4124" spans="1:7" x14ac:dyDescent="0.3">
      <c r="A4124" t="s">
        <v>13039</v>
      </c>
      <c r="B4124" t="s">
        <v>8277</v>
      </c>
      <c r="C4124" t="s">
        <v>8278</v>
      </c>
      <c r="D4124" s="1" t="s">
        <v>3650</v>
      </c>
      <c r="E4124" s="3">
        <v>1410469.51</v>
      </c>
      <c r="F4124" s="3">
        <f t="shared" si="128"/>
        <v>356425.64517700003</v>
      </c>
      <c r="G4124" s="3">
        <f t="shared" si="129"/>
        <v>1766895.155177</v>
      </c>
    </row>
    <row r="4125" spans="1:7" x14ac:dyDescent="0.3">
      <c r="A4125" t="s">
        <v>13039</v>
      </c>
      <c r="B4125" t="s">
        <v>8279</v>
      </c>
      <c r="C4125" t="s">
        <v>8280</v>
      </c>
      <c r="D4125" s="1" t="s">
        <v>3650</v>
      </c>
      <c r="E4125" s="3">
        <v>1416943.56</v>
      </c>
      <c r="F4125" s="3">
        <f t="shared" si="128"/>
        <v>358061.63761200005</v>
      </c>
      <c r="G4125" s="3">
        <f t="shared" si="129"/>
        <v>1775005.1976120002</v>
      </c>
    </row>
    <row r="4126" spans="1:7" x14ac:dyDescent="0.3">
      <c r="A4126" t="s">
        <v>13039</v>
      </c>
      <c r="B4126" t="s">
        <v>8281</v>
      </c>
      <c r="C4126" t="s">
        <v>8282</v>
      </c>
      <c r="D4126" s="1" t="s">
        <v>3650</v>
      </c>
      <c r="E4126" s="3">
        <v>2115599.89</v>
      </c>
      <c r="F4126" s="3">
        <f t="shared" si="128"/>
        <v>534612.09220300009</v>
      </c>
      <c r="G4126" s="3">
        <f t="shared" si="129"/>
        <v>2650211.9822030002</v>
      </c>
    </row>
    <row r="4127" spans="1:7" x14ac:dyDescent="0.3">
      <c r="A4127" t="s">
        <v>13039</v>
      </c>
      <c r="B4127" t="s">
        <v>8283</v>
      </c>
      <c r="C4127" t="s">
        <v>8284</v>
      </c>
      <c r="D4127" s="1" t="s">
        <v>3650</v>
      </c>
      <c r="E4127" s="3">
        <v>2125310.9700000002</v>
      </c>
      <c r="F4127" s="3">
        <f t="shared" si="128"/>
        <v>537066.08211900014</v>
      </c>
      <c r="G4127" s="3">
        <f t="shared" si="129"/>
        <v>2662377.0521190003</v>
      </c>
    </row>
    <row r="4128" spans="1:7" x14ac:dyDescent="0.3">
      <c r="A4128" t="s">
        <v>13039</v>
      </c>
      <c r="B4128" t="s">
        <v>8285</v>
      </c>
      <c r="C4128" t="s">
        <v>8286</v>
      </c>
      <c r="D4128" s="1" t="s">
        <v>3650</v>
      </c>
      <c r="E4128" s="3">
        <v>1962181.25</v>
      </c>
      <c r="F4128" s="3">
        <f t="shared" si="128"/>
        <v>495843.20187500009</v>
      </c>
      <c r="G4128" s="3">
        <f t="shared" si="129"/>
        <v>2458024.4518750003</v>
      </c>
    </row>
    <row r="4129" spans="1:7" x14ac:dyDescent="0.3">
      <c r="A4129" t="s">
        <v>13039</v>
      </c>
      <c r="B4129" t="s">
        <v>8287</v>
      </c>
      <c r="C4129" t="s">
        <v>8288</v>
      </c>
      <c r="D4129" s="1" t="s">
        <v>3650</v>
      </c>
      <c r="E4129" s="3">
        <v>1881304.27</v>
      </c>
      <c r="F4129" s="3">
        <f t="shared" si="128"/>
        <v>475405.58902900008</v>
      </c>
      <c r="G4129" s="3">
        <f t="shared" si="129"/>
        <v>2356709.8590290002</v>
      </c>
    </row>
    <row r="4130" spans="1:7" x14ac:dyDescent="0.3">
      <c r="A4130" t="s">
        <v>13039</v>
      </c>
      <c r="B4130" t="s">
        <v>8289</v>
      </c>
      <c r="C4130" t="s">
        <v>8290</v>
      </c>
      <c r="D4130" s="1" t="s">
        <v>3650</v>
      </c>
      <c r="E4130" s="3">
        <v>1996403.63</v>
      </c>
      <c r="F4130" s="3">
        <f t="shared" si="128"/>
        <v>504491.19730100007</v>
      </c>
      <c r="G4130" s="3">
        <f t="shared" si="129"/>
        <v>2500894.8273009998</v>
      </c>
    </row>
    <row r="4131" spans="1:7" x14ac:dyDescent="0.3">
      <c r="A4131" t="s">
        <v>13039</v>
      </c>
      <c r="B4131" t="s">
        <v>8291</v>
      </c>
      <c r="C4131" t="s">
        <v>8292</v>
      </c>
      <c r="D4131" s="1" t="s">
        <v>3650</v>
      </c>
      <c r="E4131" s="3">
        <v>1911499.62</v>
      </c>
      <c r="F4131" s="3">
        <f t="shared" si="128"/>
        <v>483035.95397400012</v>
      </c>
      <c r="G4131" s="3">
        <f t="shared" si="129"/>
        <v>2394535.5739740003</v>
      </c>
    </row>
    <row r="4132" spans="1:7" x14ac:dyDescent="0.3">
      <c r="A4132" t="s">
        <v>13039</v>
      </c>
      <c r="B4132" t="s">
        <v>8293</v>
      </c>
      <c r="C4132" t="s">
        <v>8294</v>
      </c>
      <c r="D4132" s="1" t="s">
        <v>3650</v>
      </c>
      <c r="E4132" s="3">
        <v>2943952.43</v>
      </c>
      <c r="F4132" s="3">
        <f t="shared" si="128"/>
        <v>743936.7790610001</v>
      </c>
      <c r="G4132" s="3">
        <f t="shared" si="129"/>
        <v>3687889.2090610005</v>
      </c>
    </row>
    <row r="4133" spans="1:7" x14ac:dyDescent="0.3">
      <c r="A4133" t="s">
        <v>13039</v>
      </c>
      <c r="B4133" t="s">
        <v>8295</v>
      </c>
      <c r="C4133" t="s">
        <v>8296</v>
      </c>
      <c r="D4133" s="1" t="s">
        <v>3650</v>
      </c>
      <c r="E4133" s="3">
        <v>2995325.53</v>
      </c>
      <c r="F4133" s="3">
        <f t="shared" si="128"/>
        <v>756918.76143100008</v>
      </c>
      <c r="G4133" s="3">
        <f t="shared" si="129"/>
        <v>3752244.291431</v>
      </c>
    </row>
    <row r="4134" spans="1:7" x14ac:dyDescent="0.3">
      <c r="A4134" t="s">
        <v>13039</v>
      </c>
      <c r="B4134" t="s">
        <v>8297</v>
      </c>
      <c r="C4134" t="s">
        <v>8298</v>
      </c>
      <c r="D4134" s="1" t="s">
        <v>2904</v>
      </c>
      <c r="E4134" s="3">
        <v>330.53</v>
      </c>
      <c r="F4134" s="3">
        <f t="shared" si="128"/>
        <v>83.524931000000009</v>
      </c>
      <c r="G4134" s="3">
        <f t="shared" si="129"/>
        <v>414.05493100000001</v>
      </c>
    </row>
    <row r="4135" spans="1:7" x14ac:dyDescent="0.3">
      <c r="A4135" t="s">
        <v>13039</v>
      </c>
      <c r="B4135" t="s">
        <v>8299</v>
      </c>
      <c r="C4135" t="s">
        <v>8300</v>
      </c>
      <c r="D4135" s="1" t="s">
        <v>2904</v>
      </c>
      <c r="E4135" s="3">
        <v>537.44000000000005</v>
      </c>
      <c r="F4135" s="3">
        <f t="shared" si="128"/>
        <v>135.81108800000004</v>
      </c>
      <c r="G4135" s="3">
        <f t="shared" si="129"/>
        <v>673.2510880000001</v>
      </c>
    </row>
    <row r="4136" spans="1:7" x14ac:dyDescent="0.3">
      <c r="A4136" t="s">
        <v>13039</v>
      </c>
      <c r="B4136" t="s">
        <v>8301</v>
      </c>
      <c r="C4136" t="s">
        <v>8302</v>
      </c>
      <c r="D4136" s="1" t="s">
        <v>2904</v>
      </c>
      <c r="E4136" s="3">
        <v>30.38</v>
      </c>
      <c r="F4136" s="3">
        <f t="shared" si="128"/>
        <v>7.6770260000000006</v>
      </c>
      <c r="G4136" s="3">
        <f t="shared" si="129"/>
        <v>38.057026</v>
      </c>
    </row>
    <row r="4137" spans="1:7" x14ac:dyDescent="0.3">
      <c r="A4137" t="s">
        <v>13039</v>
      </c>
      <c r="B4137" t="s">
        <v>8303</v>
      </c>
      <c r="C4137" t="s">
        <v>8304</v>
      </c>
      <c r="D4137" s="1" t="s">
        <v>2904</v>
      </c>
      <c r="E4137" s="3">
        <v>21.04</v>
      </c>
      <c r="F4137" s="3">
        <f t="shared" si="128"/>
        <v>5.3168080000000009</v>
      </c>
      <c r="G4137" s="3">
        <f t="shared" si="129"/>
        <v>26.356808000000001</v>
      </c>
    </row>
    <row r="4138" spans="1:7" x14ac:dyDescent="0.3">
      <c r="A4138" t="s">
        <v>13039</v>
      </c>
      <c r="B4138" t="s">
        <v>8305</v>
      </c>
      <c r="C4138" t="s">
        <v>8306</v>
      </c>
      <c r="D4138" s="1" t="s">
        <v>2904</v>
      </c>
      <c r="E4138" s="3">
        <v>13.86</v>
      </c>
      <c r="F4138" s="3">
        <f t="shared" si="128"/>
        <v>3.5024220000000001</v>
      </c>
      <c r="G4138" s="3">
        <f t="shared" si="129"/>
        <v>17.362421999999999</v>
      </c>
    </row>
    <row r="4139" spans="1:7" x14ac:dyDescent="0.3">
      <c r="A4139" t="s">
        <v>13039</v>
      </c>
      <c r="B4139" t="s">
        <v>8307</v>
      </c>
      <c r="C4139" t="s">
        <v>8308</v>
      </c>
      <c r="D4139" s="1" t="s">
        <v>2904</v>
      </c>
      <c r="E4139" s="3">
        <v>11.52</v>
      </c>
      <c r="F4139" s="3">
        <f t="shared" si="128"/>
        <v>2.9111040000000004</v>
      </c>
      <c r="G4139" s="3">
        <f t="shared" si="129"/>
        <v>14.431103999999999</v>
      </c>
    </row>
    <row r="4140" spans="1:7" x14ac:dyDescent="0.3">
      <c r="A4140" t="s">
        <v>13039</v>
      </c>
      <c r="B4140" t="s">
        <v>8309</v>
      </c>
      <c r="C4140" t="s">
        <v>8310</v>
      </c>
      <c r="D4140" s="1" t="s">
        <v>2904</v>
      </c>
      <c r="E4140" s="3">
        <v>27.73</v>
      </c>
      <c r="F4140" s="3">
        <f t="shared" si="128"/>
        <v>7.0073710000000009</v>
      </c>
      <c r="G4140" s="3">
        <f t="shared" si="129"/>
        <v>34.737371000000003</v>
      </c>
    </row>
    <row r="4141" spans="1:7" x14ac:dyDescent="0.3">
      <c r="A4141" t="s">
        <v>13039</v>
      </c>
      <c r="B4141" t="s">
        <v>8311</v>
      </c>
      <c r="C4141" t="s">
        <v>8312</v>
      </c>
      <c r="D4141" s="1" t="s">
        <v>2904</v>
      </c>
      <c r="E4141" s="3">
        <v>17</v>
      </c>
      <c r="F4141" s="3">
        <f t="shared" si="128"/>
        <v>4.2959000000000005</v>
      </c>
      <c r="G4141" s="3">
        <f t="shared" si="129"/>
        <v>21.2959</v>
      </c>
    </row>
    <row r="4142" spans="1:7" x14ac:dyDescent="0.3">
      <c r="A4142" t="s">
        <v>13039</v>
      </c>
      <c r="B4142" t="s">
        <v>8313</v>
      </c>
      <c r="C4142" t="s">
        <v>8314</v>
      </c>
      <c r="D4142" s="1" t="s">
        <v>2904</v>
      </c>
      <c r="E4142" s="3">
        <v>19.84</v>
      </c>
      <c r="F4142" s="3">
        <f t="shared" si="128"/>
        <v>5.0135680000000002</v>
      </c>
      <c r="G4142" s="3">
        <f t="shared" si="129"/>
        <v>24.853567999999999</v>
      </c>
    </row>
    <row r="4143" spans="1:7" x14ac:dyDescent="0.3">
      <c r="A4143" t="s">
        <v>13039</v>
      </c>
      <c r="B4143" t="s">
        <v>8315</v>
      </c>
      <c r="C4143" t="s">
        <v>8316</v>
      </c>
      <c r="D4143" s="1" t="s">
        <v>2904</v>
      </c>
      <c r="E4143" s="3">
        <v>14.18</v>
      </c>
      <c r="F4143" s="3">
        <f t="shared" si="128"/>
        <v>3.5832860000000006</v>
      </c>
      <c r="G4143" s="3">
        <f t="shared" si="129"/>
        <v>17.763286000000001</v>
      </c>
    </row>
    <row r="4144" spans="1:7" x14ac:dyDescent="0.3">
      <c r="A4144" t="s">
        <v>13039</v>
      </c>
      <c r="B4144" t="s">
        <v>8317</v>
      </c>
      <c r="C4144" t="s">
        <v>8318</v>
      </c>
      <c r="D4144" s="1" t="s">
        <v>2904</v>
      </c>
      <c r="E4144" s="3">
        <v>16.97</v>
      </c>
      <c r="F4144" s="3">
        <f t="shared" si="128"/>
        <v>4.2883190000000004</v>
      </c>
      <c r="G4144" s="3">
        <f t="shared" si="129"/>
        <v>21.258319</v>
      </c>
    </row>
    <row r="4145" spans="1:7" x14ac:dyDescent="0.3">
      <c r="A4145" t="s">
        <v>13039</v>
      </c>
      <c r="B4145" t="s">
        <v>8319</v>
      </c>
      <c r="C4145" t="s">
        <v>8320</v>
      </c>
      <c r="D4145" s="1" t="s">
        <v>2904</v>
      </c>
      <c r="E4145" s="3">
        <v>12.45</v>
      </c>
      <c r="F4145" s="3">
        <f t="shared" si="128"/>
        <v>3.1461150000000004</v>
      </c>
      <c r="G4145" s="3">
        <f t="shared" si="129"/>
        <v>15.596114999999999</v>
      </c>
    </row>
    <row r="4146" spans="1:7" x14ac:dyDescent="0.3">
      <c r="A4146" t="s">
        <v>13039</v>
      </c>
      <c r="B4146" t="s">
        <v>8321</v>
      </c>
      <c r="C4146" t="s">
        <v>8322</v>
      </c>
      <c r="D4146" s="1" t="s">
        <v>2904</v>
      </c>
      <c r="E4146" s="3">
        <v>42.09</v>
      </c>
      <c r="F4146" s="3">
        <f t="shared" si="128"/>
        <v>10.636143000000002</v>
      </c>
      <c r="G4146" s="3">
        <f t="shared" si="129"/>
        <v>52.726143000000008</v>
      </c>
    </row>
    <row r="4147" spans="1:7" x14ac:dyDescent="0.3">
      <c r="A4147" t="s">
        <v>13039</v>
      </c>
      <c r="B4147" t="s">
        <v>8323</v>
      </c>
      <c r="C4147" t="s">
        <v>8324</v>
      </c>
      <c r="D4147" s="1" t="s">
        <v>2904</v>
      </c>
      <c r="E4147" s="3">
        <v>11.72</v>
      </c>
      <c r="F4147" s="3">
        <f t="shared" si="128"/>
        <v>2.9616440000000006</v>
      </c>
      <c r="G4147" s="3">
        <f t="shared" si="129"/>
        <v>14.681644000000002</v>
      </c>
    </row>
    <row r="4148" spans="1:7" x14ac:dyDescent="0.3">
      <c r="A4148" t="s">
        <v>13039</v>
      </c>
      <c r="B4148" t="s">
        <v>8325</v>
      </c>
      <c r="C4148" t="s">
        <v>8326</v>
      </c>
      <c r="D4148" s="1" t="s">
        <v>2904</v>
      </c>
      <c r="E4148" s="3">
        <v>115.08</v>
      </c>
      <c r="F4148" s="3">
        <f t="shared" si="128"/>
        <v>29.080716000000002</v>
      </c>
      <c r="G4148" s="3">
        <f t="shared" si="129"/>
        <v>144.16071600000001</v>
      </c>
    </row>
    <row r="4149" spans="1:7" x14ac:dyDescent="0.3">
      <c r="A4149" t="s">
        <v>13039</v>
      </c>
      <c r="B4149" t="s">
        <v>8327</v>
      </c>
      <c r="C4149" t="s">
        <v>8328</v>
      </c>
      <c r="D4149" s="1" t="s">
        <v>2904</v>
      </c>
      <c r="E4149" s="3">
        <v>111.68</v>
      </c>
      <c r="F4149" s="3">
        <f t="shared" si="128"/>
        <v>28.221536000000004</v>
      </c>
      <c r="G4149" s="3">
        <f t="shared" si="129"/>
        <v>139.90153600000002</v>
      </c>
    </row>
    <row r="4150" spans="1:7" x14ac:dyDescent="0.3">
      <c r="A4150" t="s">
        <v>13039</v>
      </c>
      <c r="B4150" t="s">
        <v>8329</v>
      </c>
      <c r="C4150" t="s">
        <v>8330</v>
      </c>
      <c r="D4150" s="1" t="s">
        <v>2904</v>
      </c>
      <c r="E4150" s="3">
        <v>128.61000000000001</v>
      </c>
      <c r="F4150" s="3">
        <f t="shared" si="128"/>
        <v>32.499747000000006</v>
      </c>
      <c r="G4150" s="3">
        <f t="shared" si="129"/>
        <v>161.10974700000003</v>
      </c>
    </row>
    <row r="4151" spans="1:7" x14ac:dyDescent="0.3">
      <c r="A4151" t="s">
        <v>13039</v>
      </c>
      <c r="B4151" t="s">
        <v>8331</v>
      </c>
      <c r="C4151" t="s">
        <v>8332</v>
      </c>
      <c r="D4151" s="1" t="s">
        <v>2904</v>
      </c>
      <c r="E4151" s="3">
        <v>86.44</v>
      </c>
      <c r="F4151" s="3">
        <f t="shared" si="128"/>
        <v>21.843388000000001</v>
      </c>
      <c r="G4151" s="3">
        <f t="shared" si="129"/>
        <v>108.283388</v>
      </c>
    </row>
    <row r="4152" spans="1:7" x14ac:dyDescent="0.3">
      <c r="A4152" t="s">
        <v>13039</v>
      </c>
      <c r="B4152" t="s">
        <v>8333</v>
      </c>
      <c r="C4152" t="s">
        <v>8334</v>
      </c>
      <c r="D4152" s="1" t="s">
        <v>2904</v>
      </c>
      <c r="E4152" s="3">
        <v>73.849999999999994</v>
      </c>
      <c r="F4152" s="3">
        <f t="shared" si="128"/>
        <v>18.661895000000001</v>
      </c>
      <c r="G4152" s="3">
        <f t="shared" si="129"/>
        <v>92.511894999999996</v>
      </c>
    </row>
    <row r="4153" spans="1:7" x14ac:dyDescent="0.3">
      <c r="A4153" t="s">
        <v>13039</v>
      </c>
      <c r="B4153" t="s">
        <v>8335</v>
      </c>
      <c r="C4153" t="s">
        <v>8336</v>
      </c>
      <c r="D4153" s="1" t="s">
        <v>2904</v>
      </c>
      <c r="E4153" s="3">
        <v>140.27000000000001</v>
      </c>
      <c r="F4153" s="3">
        <f t="shared" si="128"/>
        <v>35.44622900000001</v>
      </c>
      <c r="G4153" s="3">
        <f t="shared" si="129"/>
        <v>175.71622900000003</v>
      </c>
    </row>
    <row r="4154" spans="1:7" x14ac:dyDescent="0.3">
      <c r="A4154" t="s">
        <v>13039</v>
      </c>
      <c r="B4154" t="s">
        <v>8337</v>
      </c>
      <c r="C4154" t="s">
        <v>8338</v>
      </c>
      <c r="D4154" s="1" t="s">
        <v>2904</v>
      </c>
      <c r="E4154" s="3">
        <v>92.56</v>
      </c>
      <c r="F4154" s="3">
        <f t="shared" si="128"/>
        <v>23.389912000000002</v>
      </c>
      <c r="G4154" s="3">
        <f t="shared" si="129"/>
        <v>115.94991200000001</v>
      </c>
    </row>
    <row r="4155" spans="1:7" x14ac:dyDescent="0.3">
      <c r="A4155" t="s">
        <v>13039</v>
      </c>
      <c r="B4155" t="s">
        <v>8339</v>
      </c>
      <c r="C4155" t="s">
        <v>8340</v>
      </c>
      <c r="D4155" s="1" t="s">
        <v>2904</v>
      </c>
      <c r="E4155" s="3">
        <v>78.13</v>
      </c>
      <c r="F4155" s="3">
        <f t="shared" si="128"/>
        <v>19.743451</v>
      </c>
      <c r="G4155" s="3">
        <f t="shared" si="129"/>
        <v>97.873450999999989</v>
      </c>
    </row>
    <row r="4156" spans="1:7" x14ac:dyDescent="0.3">
      <c r="A4156" t="s">
        <v>13039</v>
      </c>
      <c r="B4156" t="s">
        <v>8341</v>
      </c>
      <c r="C4156" t="s">
        <v>8342</v>
      </c>
      <c r="D4156" s="1" t="s">
        <v>2904</v>
      </c>
      <c r="E4156" s="3">
        <v>146.72999999999999</v>
      </c>
      <c r="F4156" s="3">
        <f t="shared" si="128"/>
        <v>37.078671</v>
      </c>
      <c r="G4156" s="3">
        <f t="shared" si="129"/>
        <v>183.808671</v>
      </c>
    </row>
    <row r="4157" spans="1:7" x14ac:dyDescent="0.3">
      <c r="A4157" t="s">
        <v>13039</v>
      </c>
      <c r="B4157" t="s">
        <v>8343</v>
      </c>
      <c r="C4157" t="s">
        <v>8344</v>
      </c>
      <c r="D4157" s="1" t="s">
        <v>2904</v>
      </c>
      <c r="E4157" s="3">
        <v>95.95</v>
      </c>
      <c r="F4157" s="3">
        <f t="shared" si="128"/>
        <v>24.246565000000004</v>
      </c>
      <c r="G4157" s="3">
        <f t="shared" si="129"/>
        <v>120.19656500000001</v>
      </c>
    </row>
    <row r="4158" spans="1:7" x14ac:dyDescent="0.3">
      <c r="A4158" t="s">
        <v>13039</v>
      </c>
      <c r="B4158" t="s">
        <v>8345</v>
      </c>
      <c r="C4158" t="s">
        <v>8346</v>
      </c>
      <c r="D4158" s="1" t="s">
        <v>2904</v>
      </c>
      <c r="E4158" s="3">
        <v>80.510000000000005</v>
      </c>
      <c r="F4158" s="3">
        <f t="shared" si="128"/>
        <v>20.344877000000004</v>
      </c>
      <c r="G4158" s="3">
        <f t="shared" si="129"/>
        <v>100.85487700000002</v>
      </c>
    </row>
    <row r="4159" spans="1:7" x14ac:dyDescent="0.3">
      <c r="A4159" t="s">
        <v>13039</v>
      </c>
      <c r="B4159" t="s">
        <v>8347</v>
      </c>
      <c r="C4159" t="s">
        <v>8348</v>
      </c>
      <c r="D4159" s="1" t="s">
        <v>2904</v>
      </c>
      <c r="E4159" s="3">
        <v>122.62</v>
      </c>
      <c r="F4159" s="3">
        <f t="shared" si="128"/>
        <v>30.986074000000006</v>
      </c>
      <c r="G4159" s="3">
        <f t="shared" si="129"/>
        <v>153.60607400000001</v>
      </c>
    </row>
    <row r="4160" spans="1:7" x14ac:dyDescent="0.3">
      <c r="A4160" t="s">
        <v>13039</v>
      </c>
      <c r="B4160" t="s">
        <v>8349</v>
      </c>
      <c r="C4160" t="s">
        <v>8350</v>
      </c>
      <c r="D4160" s="1" t="s">
        <v>2904</v>
      </c>
      <c r="E4160" s="3">
        <v>83.33</v>
      </c>
      <c r="F4160" s="3">
        <f t="shared" si="128"/>
        <v>21.057491000000002</v>
      </c>
      <c r="G4160" s="3">
        <f t="shared" si="129"/>
        <v>104.387491</v>
      </c>
    </row>
    <row r="4161" spans="1:7" x14ac:dyDescent="0.3">
      <c r="A4161" t="s">
        <v>13039</v>
      </c>
      <c r="B4161" t="s">
        <v>8351</v>
      </c>
      <c r="C4161" t="s">
        <v>8352</v>
      </c>
      <c r="D4161" s="1" t="s">
        <v>2904</v>
      </c>
      <c r="E4161" s="3">
        <v>71.7</v>
      </c>
      <c r="F4161" s="3">
        <f t="shared" si="128"/>
        <v>18.118590000000005</v>
      </c>
      <c r="G4161" s="3">
        <f t="shared" si="129"/>
        <v>89.81859</v>
      </c>
    </row>
    <row r="4162" spans="1:7" x14ac:dyDescent="0.3">
      <c r="A4162" t="s">
        <v>13039</v>
      </c>
      <c r="B4162" t="s">
        <v>8353</v>
      </c>
      <c r="C4162" t="s">
        <v>8354</v>
      </c>
      <c r="D4162" s="1" t="s">
        <v>2904</v>
      </c>
      <c r="E4162" s="3">
        <v>124.93</v>
      </c>
      <c r="F4162" s="3">
        <f t="shared" si="128"/>
        <v>31.569811000000005</v>
      </c>
      <c r="G4162" s="3">
        <f t="shared" si="129"/>
        <v>156.49981100000002</v>
      </c>
    </row>
    <row r="4163" spans="1:7" x14ac:dyDescent="0.3">
      <c r="A4163" t="s">
        <v>13039</v>
      </c>
      <c r="B4163" t="s">
        <v>8355</v>
      </c>
      <c r="C4163" t="s">
        <v>8356</v>
      </c>
      <c r="D4163" s="1" t="s">
        <v>2904</v>
      </c>
      <c r="E4163" s="3">
        <v>84.54</v>
      </c>
      <c r="F4163" s="3">
        <f t="shared" si="128"/>
        <v>21.363258000000005</v>
      </c>
      <c r="G4163" s="3">
        <f t="shared" si="129"/>
        <v>105.90325800000001</v>
      </c>
    </row>
    <row r="4164" spans="1:7" x14ac:dyDescent="0.3">
      <c r="A4164" t="s">
        <v>13039</v>
      </c>
      <c r="B4164" t="s">
        <v>8357</v>
      </c>
      <c r="C4164" t="s">
        <v>8358</v>
      </c>
      <c r="D4164" s="1" t="s">
        <v>2904</v>
      </c>
      <c r="E4164" s="3">
        <v>72.55</v>
      </c>
      <c r="F4164" s="3">
        <f t="shared" si="128"/>
        <v>18.333385000000003</v>
      </c>
      <c r="G4164" s="3">
        <f t="shared" si="129"/>
        <v>90.883385000000004</v>
      </c>
    </row>
    <row r="4165" spans="1:7" x14ac:dyDescent="0.3">
      <c r="A4165" t="s">
        <v>13039</v>
      </c>
      <c r="B4165" t="s">
        <v>8359</v>
      </c>
      <c r="C4165" t="s">
        <v>8360</v>
      </c>
      <c r="D4165" s="1" t="s">
        <v>2904</v>
      </c>
      <c r="E4165" s="3">
        <v>131.06</v>
      </c>
      <c r="F4165" s="3">
        <f t="shared" si="128"/>
        <v>33.118862000000007</v>
      </c>
      <c r="G4165" s="3">
        <f t="shared" si="129"/>
        <v>164.17886200000001</v>
      </c>
    </row>
    <row r="4166" spans="1:7" x14ac:dyDescent="0.3">
      <c r="A4166" t="s">
        <v>13039</v>
      </c>
      <c r="B4166" t="s">
        <v>8361</v>
      </c>
      <c r="C4166" t="s">
        <v>8362</v>
      </c>
      <c r="D4166" s="1" t="s">
        <v>2904</v>
      </c>
      <c r="E4166" s="3">
        <v>87.76</v>
      </c>
      <c r="F4166" s="3">
        <f t="shared" si="128"/>
        <v>22.176952000000004</v>
      </c>
      <c r="G4166" s="3">
        <f t="shared" si="129"/>
        <v>109.93695200000001</v>
      </c>
    </row>
    <row r="4167" spans="1:7" x14ac:dyDescent="0.3">
      <c r="A4167" t="s">
        <v>13039</v>
      </c>
      <c r="B4167" t="s">
        <v>8363</v>
      </c>
      <c r="C4167" t="s">
        <v>8364</v>
      </c>
      <c r="D4167" s="1" t="s">
        <v>2904</v>
      </c>
      <c r="E4167" s="3">
        <v>74.8</v>
      </c>
      <c r="F4167" s="3">
        <f t="shared" ref="F4167:F4230" si="130">+E4167*$F$4</f>
        <v>18.901960000000003</v>
      </c>
      <c r="G4167" s="3">
        <f t="shared" ref="G4167:G4230" si="131">+E4167+F4167</f>
        <v>93.70196</v>
      </c>
    </row>
    <row r="4168" spans="1:7" x14ac:dyDescent="0.3">
      <c r="A4168" t="s">
        <v>13039</v>
      </c>
      <c r="B4168" t="s">
        <v>8365</v>
      </c>
      <c r="C4168" t="s">
        <v>8366</v>
      </c>
      <c r="D4168" s="1" t="s">
        <v>2904</v>
      </c>
      <c r="E4168" s="3">
        <v>150.01</v>
      </c>
      <c r="F4168" s="3">
        <f t="shared" si="130"/>
        <v>37.907527000000002</v>
      </c>
      <c r="G4168" s="3">
        <f t="shared" si="131"/>
        <v>187.91752700000001</v>
      </c>
    </row>
    <row r="4169" spans="1:7" x14ac:dyDescent="0.3">
      <c r="A4169" t="s">
        <v>13039</v>
      </c>
      <c r="B4169" t="s">
        <v>8367</v>
      </c>
      <c r="C4169" t="s">
        <v>8368</v>
      </c>
      <c r="D4169" s="1" t="s">
        <v>2904</v>
      </c>
      <c r="E4169" s="3">
        <v>105.15</v>
      </c>
      <c r="F4169" s="3">
        <f t="shared" si="130"/>
        <v>26.571405000000006</v>
      </c>
      <c r="G4169" s="3">
        <f t="shared" si="131"/>
        <v>131.721405</v>
      </c>
    </row>
    <row r="4170" spans="1:7" x14ac:dyDescent="0.3">
      <c r="A4170" t="s">
        <v>13039</v>
      </c>
      <c r="B4170" t="s">
        <v>8369</v>
      </c>
      <c r="C4170" t="s">
        <v>8370</v>
      </c>
      <c r="D4170" s="1" t="s">
        <v>2904</v>
      </c>
      <c r="E4170" s="3">
        <v>91.97</v>
      </c>
      <c r="F4170" s="3">
        <f t="shared" si="130"/>
        <v>23.240819000000002</v>
      </c>
      <c r="G4170" s="3">
        <f t="shared" si="131"/>
        <v>115.210819</v>
      </c>
    </row>
    <row r="4171" spans="1:7" x14ac:dyDescent="0.3">
      <c r="A4171" t="s">
        <v>13039</v>
      </c>
      <c r="B4171" t="s">
        <v>8371</v>
      </c>
      <c r="C4171" t="s">
        <v>8372</v>
      </c>
      <c r="D4171" s="1" t="s">
        <v>2904</v>
      </c>
      <c r="E4171" s="3">
        <v>76.040000000000006</v>
      </c>
      <c r="F4171" s="3">
        <f t="shared" si="130"/>
        <v>19.215308000000004</v>
      </c>
      <c r="G4171" s="3">
        <f t="shared" si="131"/>
        <v>95.255308000000014</v>
      </c>
    </row>
    <row r="4172" spans="1:7" x14ac:dyDescent="0.3">
      <c r="A4172" t="s">
        <v>13039</v>
      </c>
      <c r="B4172" t="s">
        <v>8373</v>
      </c>
      <c r="C4172" t="s">
        <v>8374</v>
      </c>
      <c r="D4172" s="1" t="s">
        <v>2904</v>
      </c>
      <c r="E4172" s="3">
        <v>39.82</v>
      </c>
      <c r="F4172" s="3">
        <f t="shared" si="130"/>
        <v>10.062514000000002</v>
      </c>
      <c r="G4172" s="3">
        <f t="shared" si="131"/>
        <v>49.882514</v>
      </c>
    </row>
    <row r="4173" spans="1:7" x14ac:dyDescent="0.3">
      <c r="A4173" t="s">
        <v>13039</v>
      </c>
      <c r="B4173" t="s">
        <v>8375</v>
      </c>
      <c r="C4173" t="s">
        <v>8376</v>
      </c>
      <c r="D4173" s="1" t="s">
        <v>2904</v>
      </c>
      <c r="E4173" s="3">
        <v>107.64</v>
      </c>
      <c r="F4173" s="3">
        <f t="shared" si="130"/>
        <v>27.200628000000005</v>
      </c>
      <c r="G4173" s="3">
        <f t="shared" si="131"/>
        <v>134.84062800000001</v>
      </c>
    </row>
    <row r="4174" spans="1:7" x14ac:dyDescent="0.3">
      <c r="A4174" t="s">
        <v>13039</v>
      </c>
      <c r="B4174" t="s">
        <v>8377</v>
      </c>
      <c r="C4174" t="s">
        <v>8378</v>
      </c>
      <c r="D4174" s="1" t="s">
        <v>195</v>
      </c>
      <c r="E4174" s="3">
        <v>5.66</v>
      </c>
      <c r="F4174" s="3">
        <f t="shared" si="130"/>
        <v>1.4302820000000003</v>
      </c>
      <c r="G4174" s="3">
        <f t="shared" si="131"/>
        <v>7.0902820000000002</v>
      </c>
    </row>
    <row r="4175" spans="1:7" x14ac:dyDescent="0.3">
      <c r="A4175" t="s">
        <v>13039</v>
      </c>
      <c r="B4175" t="s">
        <v>8379</v>
      </c>
      <c r="C4175" t="s">
        <v>8380</v>
      </c>
      <c r="D4175" s="1" t="s">
        <v>195</v>
      </c>
      <c r="E4175" s="3">
        <v>4.12</v>
      </c>
      <c r="F4175" s="3">
        <f t="shared" si="130"/>
        <v>1.0411240000000002</v>
      </c>
      <c r="G4175" s="3">
        <f t="shared" si="131"/>
        <v>5.161124</v>
      </c>
    </row>
    <row r="4176" spans="1:7" x14ac:dyDescent="0.3">
      <c r="A4176" t="s">
        <v>13039</v>
      </c>
      <c r="B4176" t="s">
        <v>8381</v>
      </c>
      <c r="C4176" t="s">
        <v>8382</v>
      </c>
      <c r="D4176" s="1" t="s">
        <v>195</v>
      </c>
      <c r="E4176" s="3">
        <v>4.63</v>
      </c>
      <c r="F4176" s="3">
        <f t="shared" si="130"/>
        <v>1.1700010000000001</v>
      </c>
      <c r="G4176" s="3">
        <f t="shared" si="131"/>
        <v>5.800001</v>
      </c>
    </row>
    <row r="4177" spans="1:7" x14ac:dyDescent="0.3">
      <c r="A4177" t="s">
        <v>13039</v>
      </c>
      <c r="B4177" t="s">
        <v>8383</v>
      </c>
      <c r="C4177" t="s">
        <v>8384</v>
      </c>
      <c r="D4177" s="1" t="s">
        <v>427</v>
      </c>
      <c r="E4177" s="3">
        <v>909.88</v>
      </c>
      <c r="F4177" s="3">
        <f t="shared" si="130"/>
        <v>229.92667600000004</v>
      </c>
      <c r="G4177" s="3">
        <f t="shared" si="131"/>
        <v>1139.8066760000002</v>
      </c>
    </row>
    <row r="4178" spans="1:7" x14ac:dyDescent="0.3">
      <c r="A4178" t="s">
        <v>13039</v>
      </c>
      <c r="B4178" t="s">
        <v>8385</v>
      </c>
      <c r="C4178" t="s">
        <v>8386</v>
      </c>
      <c r="D4178" s="1" t="s">
        <v>427</v>
      </c>
      <c r="E4178" s="3">
        <v>784.06</v>
      </c>
      <c r="F4178" s="3">
        <f t="shared" si="130"/>
        <v>198.13196200000002</v>
      </c>
      <c r="G4178" s="3">
        <f t="shared" si="131"/>
        <v>982.19196199999999</v>
      </c>
    </row>
    <row r="4179" spans="1:7" x14ac:dyDescent="0.3">
      <c r="A4179" t="s">
        <v>13039</v>
      </c>
      <c r="B4179" t="s">
        <v>8387</v>
      </c>
      <c r="C4179" t="s">
        <v>8388</v>
      </c>
      <c r="D4179" s="1" t="s">
        <v>427</v>
      </c>
      <c r="E4179" s="3">
        <v>786.68</v>
      </c>
      <c r="F4179" s="3">
        <f t="shared" si="130"/>
        <v>198.79403600000001</v>
      </c>
      <c r="G4179" s="3">
        <f t="shared" si="131"/>
        <v>985.47403599999996</v>
      </c>
    </row>
    <row r="4180" spans="1:7" x14ac:dyDescent="0.3">
      <c r="A4180" t="s">
        <v>13039</v>
      </c>
      <c r="B4180" t="s">
        <v>8389</v>
      </c>
      <c r="C4180" t="s">
        <v>8390</v>
      </c>
      <c r="D4180" s="1" t="s">
        <v>427</v>
      </c>
      <c r="E4180" s="3">
        <v>660.86</v>
      </c>
      <c r="F4180" s="3">
        <f t="shared" si="130"/>
        <v>166.99932200000003</v>
      </c>
      <c r="G4180" s="3">
        <f t="shared" si="131"/>
        <v>827.85932200000002</v>
      </c>
    </row>
    <row r="4181" spans="1:7" x14ac:dyDescent="0.3">
      <c r="A4181" t="s">
        <v>13039</v>
      </c>
      <c r="B4181" t="s">
        <v>8391</v>
      </c>
      <c r="C4181" t="s">
        <v>8392</v>
      </c>
      <c r="D4181" s="1" t="s">
        <v>427</v>
      </c>
      <c r="E4181" s="3">
        <v>732.69</v>
      </c>
      <c r="F4181" s="3">
        <f t="shared" si="130"/>
        <v>185.15076300000004</v>
      </c>
      <c r="G4181" s="3">
        <f t="shared" si="131"/>
        <v>917.84076300000015</v>
      </c>
    </row>
    <row r="4182" spans="1:7" x14ac:dyDescent="0.3">
      <c r="A4182" t="s">
        <v>13039</v>
      </c>
      <c r="B4182" t="s">
        <v>8393</v>
      </c>
      <c r="C4182" t="s">
        <v>8394</v>
      </c>
      <c r="D4182" s="1" t="s">
        <v>427</v>
      </c>
      <c r="E4182" s="3">
        <v>606.87</v>
      </c>
      <c r="F4182" s="3">
        <f t="shared" si="130"/>
        <v>153.35604900000001</v>
      </c>
      <c r="G4182" s="3">
        <f t="shared" si="131"/>
        <v>760.22604899999999</v>
      </c>
    </row>
    <row r="4183" spans="1:7" x14ac:dyDescent="0.3">
      <c r="A4183" t="s">
        <v>13039</v>
      </c>
      <c r="B4183" t="s">
        <v>8395</v>
      </c>
      <c r="C4183" t="s">
        <v>8396</v>
      </c>
      <c r="D4183" s="1" t="s">
        <v>427</v>
      </c>
      <c r="E4183" s="3">
        <v>665.19</v>
      </c>
      <c r="F4183" s="3">
        <f t="shared" si="130"/>
        <v>168.09351300000003</v>
      </c>
      <c r="G4183" s="3">
        <f t="shared" si="131"/>
        <v>833.28351300000008</v>
      </c>
    </row>
    <row r="4184" spans="1:7" x14ac:dyDescent="0.3">
      <c r="A4184" t="s">
        <v>13039</v>
      </c>
      <c r="B4184" t="s">
        <v>8397</v>
      </c>
      <c r="C4184" t="s">
        <v>8398</v>
      </c>
      <c r="D4184" s="1" t="s">
        <v>427</v>
      </c>
      <c r="E4184" s="3">
        <v>539.37</v>
      </c>
      <c r="F4184" s="3">
        <f t="shared" si="130"/>
        <v>136.29879900000003</v>
      </c>
      <c r="G4184" s="3">
        <f t="shared" si="131"/>
        <v>675.66879900000004</v>
      </c>
    </row>
    <row r="4185" spans="1:7" x14ac:dyDescent="0.3">
      <c r="A4185" t="s">
        <v>13039</v>
      </c>
      <c r="B4185" t="s">
        <v>8399</v>
      </c>
      <c r="C4185" t="s">
        <v>8400</v>
      </c>
      <c r="D4185" s="1" t="s">
        <v>2904</v>
      </c>
      <c r="E4185" s="3">
        <v>222.63</v>
      </c>
      <c r="F4185" s="3">
        <f t="shared" si="130"/>
        <v>56.258601000000006</v>
      </c>
      <c r="G4185" s="3">
        <f t="shared" si="131"/>
        <v>278.88860099999999</v>
      </c>
    </row>
    <row r="4186" spans="1:7" x14ac:dyDescent="0.3">
      <c r="A4186" t="s">
        <v>13039</v>
      </c>
      <c r="B4186" t="s">
        <v>8401</v>
      </c>
      <c r="C4186" t="s">
        <v>8402</v>
      </c>
      <c r="D4186" s="1" t="s">
        <v>2904</v>
      </c>
      <c r="E4186" s="3">
        <v>201.24</v>
      </c>
      <c r="F4186" s="3">
        <f t="shared" si="130"/>
        <v>50.853348000000011</v>
      </c>
      <c r="G4186" s="3">
        <f t="shared" si="131"/>
        <v>252.09334800000002</v>
      </c>
    </row>
    <row r="4187" spans="1:7" x14ac:dyDescent="0.3">
      <c r="A4187" t="s">
        <v>13039</v>
      </c>
      <c r="B4187" t="s">
        <v>8403</v>
      </c>
      <c r="C4187" t="s">
        <v>8404</v>
      </c>
      <c r="D4187" s="1" t="s">
        <v>2904</v>
      </c>
      <c r="E4187" s="3">
        <v>251.09</v>
      </c>
      <c r="F4187" s="3">
        <f t="shared" si="130"/>
        <v>63.450443000000007</v>
      </c>
      <c r="G4187" s="3">
        <f t="shared" si="131"/>
        <v>314.54044299999998</v>
      </c>
    </row>
    <row r="4188" spans="1:7" x14ac:dyDescent="0.3">
      <c r="A4188" t="s">
        <v>13039</v>
      </c>
      <c r="B4188" t="s">
        <v>8405</v>
      </c>
      <c r="C4188" t="s">
        <v>8406</v>
      </c>
      <c r="D4188" s="1" t="s">
        <v>2904</v>
      </c>
      <c r="E4188" s="3">
        <v>222.15</v>
      </c>
      <c r="F4188" s="3">
        <f t="shared" si="130"/>
        <v>56.137305000000012</v>
      </c>
      <c r="G4188" s="3">
        <f t="shared" si="131"/>
        <v>278.287305</v>
      </c>
    </row>
    <row r="4189" spans="1:7" x14ac:dyDescent="0.3">
      <c r="A4189" t="s">
        <v>13039</v>
      </c>
      <c r="B4189" t="s">
        <v>8407</v>
      </c>
      <c r="C4189" t="s">
        <v>8408</v>
      </c>
      <c r="D4189" s="1" t="s">
        <v>2904</v>
      </c>
      <c r="E4189" s="3">
        <v>295.07</v>
      </c>
      <c r="F4189" s="3">
        <f t="shared" si="130"/>
        <v>74.564189000000013</v>
      </c>
      <c r="G4189" s="3">
        <f t="shared" si="131"/>
        <v>369.63418899999999</v>
      </c>
    </row>
    <row r="4190" spans="1:7" x14ac:dyDescent="0.3">
      <c r="A4190" t="s">
        <v>13039</v>
      </c>
      <c r="B4190" t="s">
        <v>8409</v>
      </c>
      <c r="C4190" t="s">
        <v>8410</v>
      </c>
      <c r="D4190" s="1" t="s">
        <v>2904</v>
      </c>
      <c r="E4190" s="3">
        <v>257.32</v>
      </c>
      <c r="F4190" s="3">
        <f t="shared" si="130"/>
        <v>65.024764000000005</v>
      </c>
      <c r="G4190" s="3">
        <f t="shared" si="131"/>
        <v>322.344764</v>
      </c>
    </row>
    <row r="4191" spans="1:7" x14ac:dyDescent="0.3">
      <c r="A4191" t="s">
        <v>13039</v>
      </c>
      <c r="B4191" t="s">
        <v>8411</v>
      </c>
      <c r="C4191" t="s">
        <v>8412</v>
      </c>
      <c r="D4191" s="1" t="s">
        <v>427</v>
      </c>
      <c r="E4191" s="3">
        <v>753.61</v>
      </c>
      <c r="F4191" s="3">
        <f t="shared" si="130"/>
        <v>190.43724700000004</v>
      </c>
      <c r="G4191" s="3">
        <f t="shared" si="131"/>
        <v>944.04724700000008</v>
      </c>
    </row>
    <row r="4192" spans="1:7" x14ac:dyDescent="0.3">
      <c r="A4192" t="s">
        <v>13039</v>
      </c>
      <c r="B4192" t="s">
        <v>8413</v>
      </c>
      <c r="C4192" t="s">
        <v>8414</v>
      </c>
      <c r="D4192" s="1" t="s">
        <v>427</v>
      </c>
      <c r="E4192" s="3">
        <v>627.79</v>
      </c>
      <c r="F4192" s="3">
        <f t="shared" si="130"/>
        <v>158.64253300000001</v>
      </c>
      <c r="G4192" s="3">
        <f t="shared" si="131"/>
        <v>786.43253299999992</v>
      </c>
    </row>
    <row r="4193" spans="1:7" x14ac:dyDescent="0.3">
      <c r="A4193" t="s">
        <v>13039</v>
      </c>
      <c r="B4193" t="s">
        <v>8415</v>
      </c>
      <c r="C4193" t="s">
        <v>8416</v>
      </c>
      <c r="D4193" s="1" t="s">
        <v>427</v>
      </c>
      <c r="E4193" s="3">
        <v>31.75</v>
      </c>
      <c r="F4193" s="3">
        <f t="shared" si="130"/>
        <v>8.0232250000000018</v>
      </c>
      <c r="G4193" s="3">
        <f t="shared" si="131"/>
        <v>39.773225000000004</v>
      </c>
    </row>
    <row r="4194" spans="1:7" x14ac:dyDescent="0.3">
      <c r="A4194" t="s">
        <v>13039</v>
      </c>
      <c r="B4194" t="s">
        <v>8417</v>
      </c>
      <c r="C4194" t="s">
        <v>8418</v>
      </c>
      <c r="D4194" s="1" t="s">
        <v>427</v>
      </c>
      <c r="E4194" s="3">
        <v>33.14</v>
      </c>
      <c r="F4194" s="3">
        <f t="shared" si="130"/>
        <v>8.3744780000000016</v>
      </c>
      <c r="G4194" s="3">
        <f t="shared" si="131"/>
        <v>41.514478000000004</v>
      </c>
    </row>
    <row r="4195" spans="1:7" x14ac:dyDescent="0.3">
      <c r="A4195" t="s">
        <v>13039</v>
      </c>
      <c r="B4195" t="s">
        <v>8419</v>
      </c>
      <c r="C4195" t="s">
        <v>8420</v>
      </c>
      <c r="D4195" s="1" t="s">
        <v>427</v>
      </c>
      <c r="E4195" s="3">
        <v>33.33</v>
      </c>
      <c r="F4195" s="3">
        <f t="shared" si="130"/>
        <v>8.4224910000000008</v>
      </c>
      <c r="G4195" s="3">
        <f t="shared" si="131"/>
        <v>41.752490999999999</v>
      </c>
    </row>
    <row r="4196" spans="1:7" x14ac:dyDescent="0.3">
      <c r="A4196" t="s">
        <v>13039</v>
      </c>
      <c r="B4196" t="s">
        <v>8421</v>
      </c>
      <c r="C4196" t="s">
        <v>8422</v>
      </c>
      <c r="D4196" s="1" t="s">
        <v>427</v>
      </c>
      <c r="E4196" s="3">
        <v>33.53</v>
      </c>
      <c r="F4196" s="3">
        <f t="shared" si="130"/>
        <v>8.4730310000000006</v>
      </c>
      <c r="G4196" s="3">
        <f t="shared" si="131"/>
        <v>42.003031</v>
      </c>
    </row>
    <row r="4197" spans="1:7" x14ac:dyDescent="0.3">
      <c r="A4197" t="s">
        <v>13039</v>
      </c>
      <c r="B4197" t="s">
        <v>8423</v>
      </c>
      <c r="C4197" t="s">
        <v>8424</v>
      </c>
      <c r="D4197" s="1" t="s">
        <v>427</v>
      </c>
      <c r="E4197" s="3">
        <v>33.93</v>
      </c>
      <c r="F4197" s="3">
        <f t="shared" si="130"/>
        <v>8.5741110000000003</v>
      </c>
      <c r="G4197" s="3">
        <f t="shared" si="131"/>
        <v>42.504111000000002</v>
      </c>
    </row>
    <row r="4198" spans="1:7" x14ac:dyDescent="0.3">
      <c r="A4198" t="s">
        <v>13039</v>
      </c>
      <c r="B4198" t="s">
        <v>8425</v>
      </c>
      <c r="C4198" t="s">
        <v>8426</v>
      </c>
      <c r="D4198" s="1" t="s">
        <v>427</v>
      </c>
      <c r="E4198" s="3">
        <v>34.32</v>
      </c>
      <c r="F4198" s="3">
        <f t="shared" si="130"/>
        <v>8.672664000000001</v>
      </c>
      <c r="G4198" s="3">
        <f t="shared" si="131"/>
        <v>42.992664000000005</v>
      </c>
    </row>
    <row r="4199" spans="1:7" x14ac:dyDescent="0.3">
      <c r="A4199" t="s">
        <v>13039</v>
      </c>
      <c r="B4199" t="s">
        <v>8427</v>
      </c>
      <c r="C4199" t="s">
        <v>8428</v>
      </c>
      <c r="D4199" s="1" t="s">
        <v>427</v>
      </c>
      <c r="E4199" s="3">
        <v>34.520000000000003</v>
      </c>
      <c r="F4199" s="3">
        <f t="shared" si="130"/>
        <v>8.7232040000000026</v>
      </c>
      <c r="G4199" s="3">
        <f t="shared" si="131"/>
        <v>43.243204000000006</v>
      </c>
    </row>
    <row r="4200" spans="1:7" x14ac:dyDescent="0.3">
      <c r="A4200" t="s">
        <v>13039</v>
      </c>
      <c r="B4200" t="s">
        <v>8429</v>
      </c>
      <c r="C4200" t="s">
        <v>8430</v>
      </c>
      <c r="D4200" s="1" t="s">
        <v>427</v>
      </c>
      <c r="E4200" s="3">
        <v>34.72</v>
      </c>
      <c r="F4200" s="3">
        <f t="shared" si="130"/>
        <v>8.7737440000000007</v>
      </c>
      <c r="G4200" s="3">
        <f t="shared" si="131"/>
        <v>43.493744</v>
      </c>
    </row>
    <row r="4201" spans="1:7" x14ac:dyDescent="0.3">
      <c r="A4201" t="s">
        <v>13039</v>
      </c>
      <c r="B4201" t="s">
        <v>8431</v>
      </c>
      <c r="C4201" t="s">
        <v>8432</v>
      </c>
      <c r="D4201" s="1" t="s">
        <v>427</v>
      </c>
      <c r="E4201" s="3">
        <v>32.15</v>
      </c>
      <c r="F4201" s="3">
        <f t="shared" si="130"/>
        <v>8.1243050000000014</v>
      </c>
      <c r="G4201" s="3">
        <f t="shared" si="131"/>
        <v>40.274304999999998</v>
      </c>
    </row>
    <row r="4202" spans="1:7" x14ac:dyDescent="0.3">
      <c r="A4202" t="s">
        <v>13039</v>
      </c>
      <c r="B4202" t="s">
        <v>8433</v>
      </c>
      <c r="C4202" t="s">
        <v>8434</v>
      </c>
      <c r="D4202" s="1" t="s">
        <v>427</v>
      </c>
      <c r="E4202" s="3">
        <v>32.54</v>
      </c>
      <c r="F4202" s="3">
        <f t="shared" si="130"/>
        <v>8.2228580000000004</v>
      </c>
      <c r="G4202" s="3">
        <f t="shared" si="131"/>
        <v>40.762858000000001</v>
      </c>
    </row>
    <row r="4203" spans="1:7" x14ac:dyDescent="0.3">
      <c r="A4203" t="s">
        <v>13039</v>
      </c>
      <c r="B4203" t="s">
        <v>8435</v>
      </c>
      <c r="C4203" t="s">
        <v>8436</v>
      </c>
      <c r="D4203" s="1" t="s">
        <v>427</v>
      </c>
      <c r="E4203" s="3">
        <v>32.74</v>
      </c>
      <c r="F4203" s="3">
        <f t="shared" si="130"/>
        <v>8.273398000000002</v>
      </c>
      <c r="G4203" s="3">
        <f t="shared" si="131"/>
        <v>41.013398000000002</v>
      </c>
    </row>
    <row r="4204" spans="1:7" x14ac:dyDescent="0.3">
      <c r="A4204" t="s">
        <v>13039</v>
      </c>
      <c r="B4204" t="s">
        <v>8437</v>
      </c>
      <c r="C4204" t="s">
        <v>8438</v>
      </c>
      <c r="D4204" s="1" t="s">
        <v>427</v>
      </c>
      <c r="E4204" s="3">
        <v>54.39</v>
      </c>
      <c r="F4204" s="3">
        <f t="shared" si="130"/>
        <v>13.744353000000002</v>
      </c>
      <c r="G4204" s="3">
        <f t="shared" si="131"/>
        <v>68.134353000000004</v>
      </c>
    </row>
    <row r="4205" spans="1:7" x14ac:dyDescent="0.3">
      <c r="A4205" t="s">
        <v>13039</v>
      </c>
      <c r="B4205" t="s">
        <v>8439</v>
      </c>
      <c r="C4205" t="s">
        <v>8440</v>
      </c>
      <c r="D4205" s="1" t="s">
        <v>427</v>
      </c>
      <c r="E4205" s="3">
        <v>55.05</v>
      </c>
      <c r="F4205" s="3">
        <f t="shared" si="130"/>
        <v>13.911135000000002</v>
      </c>
      <c r="G4205" s="3">
        <f t="shared" si="131"/>
        <v>68.961134999999999</v>
      </c>
    </row>
    <row r="4206" spans="1:7" x14ac:dyDescent="0.3">
      <c r="A4206" t="s">
        <v>13039</v>
      </c>
      <c r="B4206" t="s">
        <v>8441</v>
      </c>
      <c r="C4206" t="s">
        <v>8442</v>
      </c>
      <c r="D4206" s="1" t="s">
        <v>427</v>
      </c>
      <c r="E4206" s="3">
        <v>58.13</v>
      </c>
      <c r="F4206" s="3">
        <f t="shared" si="130"/>
        <v>14.689451000000004</v>
      </c>
      <c r="G4206" s="3">
        <f t="shared" si="131"/>
        <v>72.819451000000001</v>
      </c>
    </row>
    <row r="4207" spans="1:7" x14ac:dyDescent="0.3">
      <c r="A4207" t="s">
        <v>13039</v>
      </c>
      <c r="B4207" t="s">
        <v>8443</v>
      </c>
      <c r="C4207" t="s">
        <v>8444</v>
      </c>
      <c r="D4207" s="1" t="s">
        <v>427</v>
      </c>
      <c r="E4207" s="3">
        <v>58.78</v>
      </c>
      <c r="F4207" s="3">
        <f t="shared" si="130"/>
        <v>14.853706000000003</v>
      </c>
      <c r="G4207" s="3">
        <f t="shared" si="131"/>
        <v>73.633706000000004</v>
      </c>
    </row>
    <row r="4208" spans="1:7" x14ac:dyDescent="0.3">
      <c r="A4208" t="s">
        <v>13039</v>
      </c>
      <c r="B4208" t="s">
        <v>8445</v>
      </c>
      <c r="C4208" t="s">
        <v>8446</v>
      </c>
      <c r="D4208" s="1" t="s">
        <v>427</v>
      </c>
      <c r="E4208" s="3">
        <v>59.44</v>
      </c>
      <c r="F4208" s="3">
        <f t="shared" si="130"/>
        <v>15.020488000000002</v>
      </c>
      <c r="G4208" s="3">
        <f t="shared" si="131"/>
        <v>74.460487999999998</v>
      </c>
    </row>
    <row r="4209" spans="1:7" x14ac:dyDescent="0.3">
      <c r="A4209" t="s">
        <v>13039</v>
      </c>
      <c r="B4209" t="s">
        <v>8447</v>
      </c>
      <c r="C4209" t="s">
        <v>8448</v>
      </c>
      <c r="D4209" s="1" t="s">
        <v>427</v>
      </c>
      <c r="E4209" s="3">
        <v>60.58</v>
      </c>
      <c r="F4209" s="3">
        <f t="shared" si="130"/>
        <v>15.308566000000003</v>
      </c>
      <c r="G4209" s="3">
        <f t="shared" si="131"/>
        <v>75.888565999999997</v>
      </c>
    </row>
    <row r="4210" spans="1:7" x14ac:dyDescent="0.3">
      <c r="A4210" t="s">
        <v>13039</v>
      </c>
      <c r="B4210" t="s">
        <v>8449</v>
      </c>
      <c r="C4210" t="s">
        <v>8450</v>
      </c>
      <c r="D4210" s="1" t="s">
        <v>427</v>
      </c>
      <c r="E4210" s="3">
        <v>62.53</v>
      </c>
      <c r="F4210" s="3">
        <f t="shared" si="130"/>
        <v>15.801331000000003</v>
      </c>
      <c r="G4210" s="3">
        <f t="shared" si="131"/>
        <v>78.331331000000006</v>
      </c>
    </row>
    <row r="4211" spans="1:7" x14ac:dyDescent="0.3">
      <c r="A4211" t="s">
        <v>13039</v>
      </c>
      <c r="B4211" t="s">
        <v>8451</v>
      </c>
      <c r="C4211" t="s">
        <v>8452</v>
      </c>
      <c r="D4211" s="1" t="s">
        <v>427</v>
      </c>
      <c r="E4211" s="3">
        <v>66</v>
      </c>
      <c r="F4211" s="3">
        <f t="shared" si="130"/>
        <v>16.678200000000004</v>
      </c>
      <c r="G4211" s="3">
        <f t="shared" si="131"/>
        <v>82.678200000000004</v>
      </c>
    </row>
    <row r="4212" spans="1:7" x14ac:dyDescent="0.3">
      <c r="A4212" t="s">
        <v>13039</v>
      </c>
      <c r="B4212" t="s">
        <v>8453</v>
      </c>
      <c r="C4212" t="s">
        <v>8454</v>
      </c>
      <c r="D4212" s="1" t="s">
        <v>427</v>
      </c>
      <c r="E4212" s="3">
        <v>52.22</v>
      </c>
      <c r="F4212" s="3">
        <f t="shared" si="130"/>
        <v>13.195994000000002</v>
      </c>
      <c r="G4212" s="3">
        <f t="shared" si="131"/>
        <v>65.415993999999998</v>
      </c>
    </row>
    <row r="4213" spans="1:7" x14ac:dyDescent="0.3">
      <c r="A4213" t="s">
        <v>13039</v>
      </c>
      <c r="B4213" t="s">
        <v>8455</v>
      </c>
      <c r="C4213" t="s">
        <v>8456</v>
      </c>
      <c r="D4213" s="1" t="s">
        <v>427</v>
      </c>
      <c r="E4213" s="3">
        <v>52.65</v>
      </c>
      <c r="F4213" s="3">
        <f t="shared" si="130"/>
        <v>13.304655000000002</v>
      </c>
      <c r="G4213" s="3">
        <f t="shared" si="131"/>
        <v>65.954655000000002</v>
      </c>
    </row>
    <row r="4214" spans="1:7" x14ac:dyDescent="0.3">
      <c r="A4214" t="s">
        <v>13039</v>
      </c>
      <c r="B4214" t="s">
        <v>8457</v>
      </c>
      <c r="C4214" t="s">
        <v>8458</v>
      </c>
      <c r="D4214" s="1" t="s">
        <v>427</v>
      </c>
      <c r="E4214" s="3">
        <v>53.09</v>
      </c>
      <c r="F4214" s="3">
        <f t="shared" si="130"/>
        <v>13.415843000000002</v>
      </c>
      <c r="G4214" s="3">
        <f t="shared" si="131"/>
        <v>66.505842999999999</v>
      </c>
    </row>
    <row r="4215" spans="1:7" x14ac:dyDescent="0.3">
      <c r="A4215" t="s">
        <v>13039</v>
      </c>
      <c r="B4215" t="s">
        <v>8459</v>
      </c>
      <c r="C4215" t="s">
        <v>8460</v>
      </c>
      <c r="D4215" s="1" t="s">
        <v>427</v>
      </c>
      <c r="E4215" s="3">
        <v>53.52</v>
      </c>
      <c r="F4215" s="3">
        <f t="shared" si="130"/>
        <v>13.524504000000002</v>
      </c>
      <c r="G4215" s="3">
        <f t="shared" si="131"/>
        <v>67.044504000000003</v>
      </c>
    </row>
    <row r="4216" spans="1:7" x14ac:dyDescent="0.3">
      <c r="A4216" t="s">
        <v>13039</v>
      </c>
      <c r="B4216" t="s">
        <v>8461</v>
      </c>
      <c r="C4216" t="s">
        <v>8462</v>
      </c>
      <c r="D4216" s="1" t="s">
        <v>427</v>
      </c>
      <c r="E4216" s="3">
        <v>53.96</v>
      </c>
      <c r="F4216" s="3">
        <f t="shared" si="130"/>
        <v>13.635692000000002</v>
      </c>
      <c r="G4216" s="3">
        <f t="shared" si="131"/>
        <v>67.595692</v>
      </c>
    </row>
    <row r="4217" spans="1:7" x14ac:dyDescent="0.3">
      <c r="A4217" t="s">
        <v>13039</v>
      </c>
      <c r="B4217" t="s">
        <v>8463</v>
      </c>
      <c r="C4217" t="s">
        <v>8464</v>
      </c>
      <c r="D4217" s="1" t="s">
        <v>427</v>
      </c>
      <c r="E4217" s="3">
        <v>54.72</v>
      </c>
      <c r="F4217" s="3">
        <f t="shared" si="130"/>
        <v>13.827744000000001</v>
      </c>
      <c r="G4217" s="3">
        <f t="shared" si="131"/>
        <v>68.547743999999994</v>
      </c>
    </row>
    <row r="4218" spans="1:7" x14ac:dyDescent="0.3">
      <c r="A4218" t="s">
        <v>13039</v>
      </c>
      <c r="B4218" t="s">
        <v>8465</v>
      </c>
      <c r="C4218" t="s">
        <v>8466</v>
      </c>
      <c r="D4218" s="1" t="s">
        <v>427</v>
      </c>
      <c r="E4218" s="3">
        <v>58.29</v>
      </c>
      <c r="F4218" s="3">
        <f t="shared" si="130"/>
        <v>14.729883000000003</v>
      </c>
      <c r="G4218" s="3">
        <f t="shared" si="131"/>
        <v>73.019883000000007</v>
      </c>
    </row>
    <row r="4219" spans="1:7" x14ac:dyDescent="0.3">
      <c r="A4219" t="s">
        <v>13039</v>
      </c>
      <c r="B4219" t="s">
        <v>8467</v>
      </c>
      <c r="C4219" t="s">
        <v>8468</v>
      </c>
      <c r="D4219" s="1" t="s">
        <v>427</v>
      </c>
      <c r="E4219" s="3">
        <v>58.95</v>
      </c>
      <c r="F4219" s="3">
        <f t="shared" si="130"/>
        <v>14.896665000000002</v>
      </c>
      <c r="G4219" s="3">
        <f t="shared" si="131"/>
        <v>73.846665000000002</v>
      </c>
    </row>
    <row r="4220" spans="1:7" x14ac:dyDescent="0.3">
      <c r="A4220" t="s">
        <v>13039</v>
      </c>
      <c r="B4220" t="s">
        <v>8469</v>
      </c>
      <c r="C4220" t="s">
        <v>8470</v>
      </c>
      <c r="D4220" s="1" t="s">
        <v>427</v>
      </c>
      <c r="E4220" s="3">
        <v>51.46</v>
      </c>
      <c r="F4220" s="3">
        <f t="shared" si="130"/>
        <v>13.003942000000002</v>
      </c>
      <c r="G4220" s="3">
        <f t="shared" si="131"/>
        <v>64.463942000000003</v>
      </c>
    </row>
    <row r="4221" spans="1:7" x14ac:dyDescent="0.3">
      <c r="A4221" t="s">
        <v>13039</v>
      </c>
      <c r="B4221" t="s">
        <v>8471</v>
      </c>
      <c r="C4221" t="s">
        <v>8472</v>
      </c>
      <c r="D4221" s="1" t="s">
        <v>427</v>
      </c>
      <c r="E4221" s="3">
        <v>51.89</v>
      </c>
      <c r="F4221" s="3">
        <f t="shared" si="130"/>
        <v>13.112603000000002</v>
      </c>
      <c r="G4221" s="3">
        <f t="shared" si="131"/>
        <v>65.002603000000008</v>
      </c>
    </row>
    <row r="4222" spans="1:7" x14ac:dyDescent="0.3">
      <c r="A4222" t="s">
        <v>13039</v>
      </c>
      <c r="B4222" t="s">
        <v>8473</v>
      </c>
      <c r="C4222" t="s">
        <v>8474</v>
      </c>
      <c r="D4222" s="1" t="s">
        <v>427</v>
      </c>
      <c r="E4222" s="3">
        <v>52.22</v>
      </c>
      <c r="F4222" s="3">
        <f t="shared" si="130"/>
        <v>13.195994000000002</v>
      </c>
      <c r="G4222" s="3">
        <f t="shared" si="131"/>
        <v>65.415993999999998</v>
      </c>
    </row>
    <row r="4223" spans="1:7" x14ac:dyDescent="0.3">
      <c r="A4223" t="s">
        <v>13039</v>
      </c>
      <c r="B4223" t="s">
        <v>8475</v>
      </c>
      <c r="C4223" t="s">
        <v>8476</v>
      </c>
      <c r="D4223" s="1" t="s">
        <v>427</v>
      </c>
      <c r="E4223" s="3">
        <v>52.55</v>
      </c>
      <c r="F4223" s="3">
        <f t="shared" si="130"/>
        <v>13.279385000000001</v>
      </c>
      <c r="G4223" s="3">
        <f t="shared" si="131"/>
        <v>65.829385000000002</v>
      </c>
    </row>
    <row r="4224" spans="1:7" x14ac:dyDescent="0.3">
      <c r="A4224" t="s">
        <v>13039</v>
      </c>
      <c r="B4224" t="s">
        <v>8477</v>
      </c>
      <c r="C4224" t="s">
        <v>8478</v>
      </c>
      <c r="D4224" s="1" t="s">
        <v>427</v>
      </c>
      <c r="E4224" s="3">
        <v>52.98</v>
      </c>
      <c r="F4224" s="3">
        <f t="shared" si="130"/>
        <v>13.388046000000001</v>
      </c>
      <c r="G4224" s="3">
        <f t="shared" si="131"/>
        <v>66.368045999999993</v>
      </c>
    </row>
    <row r="4225" spans="1:7" x14ac:dyDescent="0.3">
      <c r="A4225" t="s">
        <v>13039</v>
      </c>
      <c r="B4225" t="s">
        <v>8479</v>
      </c>
      <c r="C4225" t="s">
        <v>8480</v>
      </c>
      <c r="D4225" s="1" t="s">
        <v>427</v>
      </c>
      <c r="E4225" s="3">
        <v>53.63</v>
      </c>
      <c r="F4225" s="3">
        <f t="shared" si="130"/>
        <v>13.552301000000002</v>
      </c>
      <c r="G4225" s="3">
        <f t="shared" si="131"/>
        <v>67.18230100000001</v>
      </c>
    </row>
    <row r="4226" spans="1:7" x14ac:dyDescent="0.3">
      <c r="A4226" t="s">
        <v>13039</v>
      </c>
      <c r="B4226" t="s">
        <v>8481</v>
      </c>
      <c r="C4226" t="s">
        <v>8482</v>
      </c>
      <c r="D4226" s="1" t="s">
        <v>427</v>
      </c>
      <c r="E4226" s="3">
        <v>54.61</v>
      </c>
      <c r="F4226" s="3">
        <f t="shared" si="130"/>
        <v>13.799947000000001</v>
      </c>
      <c r="G4226" s="3">
        <f t="shared" si="131"/>
        <v>68.409947000000003</v>
      </c>
    </row>
    <row r="4227" spans="1:7" x14ac:dyDescent="0.3">
      <c r="A4227" t="s">
        <v>13039</v>
      </c>
      <c r="B4227" t="s">
        <v>8483</v>
      </c>
      <c r="C4227" t="s">
        <v>8484</v>
      </c>
      <c r="D4227" s="1" t="s">
        <v>427</v>
      </c>
      <c r="E4227" s="3">
        <v>55.15</v>
      </c>
      <c r="F4227" s="3">
        <f t="shared" si="130"/>
        <v>13.936405000000002</v>
      </c>
      <c r="G4227" s="3">
        <f t="shared" si="131"/>
        <v>69.086404999999999</v>
      </c>
    </row>
    <row r="4228" spans="1:7" x14ac:dyDescent="0.3">
      <c r="A4228" t="s">
        <v>13039</v>
      </c>
      <c r="B4228" t="s">
        <v>8485</v>
      </c>
      <c r="C4228" t="s">
        <v>8486</v>
      </c>
      <c r="D4228" s="1" t="s">
        <v>427</v>
      </c>
      <c r="E4228" s="3">
        <v>49.53</v>
      </c>
      <c r="F4228" s="3">
        <f t="shared" si="130"/>
        <v>12.516231000000001</v>
      </c>
      <c r="G4228" s="3">
        <f t="shared" si="131"/>
        <v>62.046231000000006</v>
      </c>
    </row>
    <row r="4229" spans="1:7" x14ac:dyDescent="0.3">
      <c r="A4229" t="s">
        <v>13039</v>
      </c>
      <c r="B4229" t="s">
        <v>8487</v>
      </c>
      <c r="C4229" t="s">
        <v>8488</v>
      </c>
      <c r="D4229" s="1" t="s">
        <v>427</v>
      </c>
      <c r="E4229" s="3">
        <v>52.45</v>
      </c>
      <c r="F4229" s="3">
        <f t="shared" si="130"/>
        <v>13.254115000000002</v>
      </c>
      <c r="G4229" s="3">
        <f t="shared" si="131"/>
        <v>65.704115000000002</v>
      </c>
    </row>
    <row r="4230" spans="1:7" x14ac:dyDescent="0.3">
      <c r="A4230" t="s">
        <v>13039</v>
      </c>
      <c r="B4230" t="s">
        <v>8489</v>
      </c>
      <c r="C4230" t="s">
        <v>8490</v>
      </c>
      <c r="D4230" s="1" t="s">
        <v>427</v>
      </c>
      <c r="E4230" s="3">
        <v>53.26</v>
      </c>
      <c r="F4230" s="3">
        <f t="shared" si="130"/>
        <v>13.458802000000002</v>
      </c>
      <c r="G4230" s="3">
        <f t="shared" si="131"/>
        <v>66.718801999999997</v>
      </c>
    </row>
    <row r="4231" spans="1:7" x14ac:dyDescent="0.3">
      <c r="A4231" t="s">
        <v>13039</v>
      </c>
      <c r="B4231" t="s">
        <v>8491</v>
      </c>
      <c r="C4231" t="s">
        <v>8492</v>
      </c>
      <c r="D4231" s="1" t="s">
        <v>427</v>
      </c>
      <c r="E4231" s="3">
        <v>53.92</v>
      </c>
      <c r="F4231" s="3">
        <f t="shared" ref="F4231:F4294" si="132">+E4231*$F$4</f>
        <v>13.625584000000002</v>
      </c>
      <c r="G4231" s="3">
        <f t="shared" ref="G4231:G4294" si="133">+E4231+F4231</f>
        <v>67.545584000000005</v>
      </c>
    </row>
    <row r="4232" spans="1:7" x14ac:dyDescent="0.3">
      <c r="A4232" t="s">
        <v>13039</v>
      </c>
      <c r="B4232" t="s">
        <v>8493</v>
      </c>
      <c r="C4232" t="s">
        <v>8494</v>
      </c>
      <c r="D4232" s="1" t="s">
        <v>427</v>
      </c>
      <c r="E4232" s="3">
        <v>54.57</v>
      </c>
      <c r="F4232" s="3">
        <f t="shared" si="132"/>
        <v>13.789839000000002</v>
      </c>
      <c r="G4232" s="3">
        <f t="shared" si="133"/>
        <v>68.359839000000008</v>
      </c>
    </row>
    <row r="4233" spans="1:7" x14ac:dyDescent="0.3">
      <c r="A4233" t="s">
        <v>13039</v>
      </c>
      <c r="B4233" t="s">
        <v>8495</v>
      </c>
      <c r="C4233" t="s">
        <v>8496</v>
      </c>
      <c r="D4233" s="1" t="s">
        <v>427</v>
      </c>
      <c r="E4233" s="3">
        <v>55.71</v>
      </c>
      <c r="F4233" s="3">
        <f t="shared" si="132"/>
        <v>14.077917000000003</v>
      </c>
      <c r="G4233" s="3">
        <f t="shared" si="133"/>
        <v>69.787917000000007</v>
      </c>
    </row>
    <row r="4234" spans="1:7" x14ac:dyDescent="0.3">
      <c r="A4234" t="s">
        <v>13039</v>
      </c>
      <c r="B4234" t="s">
        <v>8497</v>
      </c>
      <c r="C4234" t="s">
        <v>8498</v>
      </c>
      <c r="D4234" s="1" t="s">
        <v>427</v>
      </c>
      <c r="E4234" s="3">
        <v>57.66</v>
      </c>
      <c r="F4234" s="3">
        <f t="shared" si="132"/>
        <v>14.570682000000001</v>
      </c>
      <c r="G4234" s="3">
        <f t="shared" si="133"/>
        <v>72.230682000000002</v>
      </c>
    </row>
    <row r="4235" spans="1:7" x14ac:dyDescent="0.3">
      <c r="A4235" t="s">
        <v>13039</v>
      </c>
      <c r="B4235" t="s">
        <v>8499</v>
      </c>
      <c r="C4235" t="s">
        <v>8500</v>
      </c>
      <c r="D4235" s="1" t="s">
        <v>427</v>
      </c>
      <c r="E4235" s="3">
        <v>61.02</v>
      </c>
      <c r="F4235" s="3">
        <f t="shared" si="132"/>
        <v>15.419754000000003</v>
      </c>
      <c r="G4235" s="3">
        <f t="shared" si="133"/>
        <v>76.439754000000008</v>
      </c>
    </row>
    <row r="4236" spans="1:7" x14ac:dyDescent="0.3">
      <c r="A4236" t="s">
        <v>13039</v>
      </c>
      <c r="B4236" t="s">
        <v>8501</v>
      </c>
      <c r="C4236" t="s">
        <v>8502</v>
      </c>
      <c r="D4236" s="1" t="s">
        <v>427</v>
      </c>
      <c r="E4236" s="3">
        <v>47.35</v>
      </c>
      <c r="F4236" s="3">
        <f t="shared" si="132"/>
        <v>11.965345000000003</v>
      </c>
      <c r="G4236" s="3">
        <f t="shared" si="133"/>
        <v>59.315345000000008</v>
      </c>
    </row>
    <row r="4237" spans="1:7" x14ac:dyDescent="0.3">
      <c r="A4237" t="s">
        <v>13039</v>
      </c>
      <c r="B4237" t="s">
        <v>8503</v>
      </c>
      <c r="C4237" t="s">
        <v>8504</v>
      </c>
      <c r="D4237" s="1" t="s">
        <v>427</v>
      </c>
      <c r="E4237" s="3">
        <v>47.79</v>
      </c>
      <c r="F4237" s="3">
        <f t="shared" si="132"/>
        <v>12.076533000000001</v>
      </c>
      <c r="G4237" s="3">
        <f t="shared" si="133"/>
        <v>59.866533000000004</v>
      </c>
    </row>
    <row r="4238" spans="1:7" x14ac:dyDescent="0.3">
      <c r="A4238" t="s">
        <v>13039</v>
      </c>
      <c r="B4238" t="s">
        <v>8505</v>
      </c>
      <c r="C4238" t="s">
        <v>8506</v>
      </c>
      <c r="D4238" s="1" t="s">
        <v>427</v>
      </c>
      <c r="E4238" s="3">
        <v>48.22</v>
      </c>
      <c r="F4238" s="3">
        <f t="shared" si="132"/>
        <v>12.185194000000001</v>
      </c>
      <c r="G4238" s="3">
        <f t="shared" si="133"/>
        <v>60.405194000000002</v>
      </c>
    </row>
    <row r="4239" spans="1:7" x14ac:dyDescent="0.3">
      <c r="A4239" t="s">
        <v>13039</v>
      </c>
      <c r="B4239" t="s">
        <v>8507</v>
      </c>
      <c r="C4239" t="s">
        <v>8508</v>
      </c>
      <c r="D4239" s="1" t="s">
        <v>427</v>
      </c>
      <c r="E4239" s="3">
        <v>48.66</v>
      </c>
      <c r="F4239" s="3">
        <f t="shared" si="132"/>
        <v>12.296382000000001</v>
      </c>
      <c r="G4239" s="3">
        <f t="shared" si="133"/>
        <v>60.956381999999998</v>
      </c>
    </row>
    <row r="4240" spans="1:7" x14ac:dyDescent="0.3">
      <c r="A4240" t="s">
        <v>13039</v>
      </c>
      <c r="B4240" t="s">
        <v>8509</v>
      </c>
      <c r="C4240" t="s">
        <v>8510</v>
      </c>
      <c r="D4240" s="1" t="s">
        <v>427</v>
      </c>
      <c r="E4240" s="3">
        <v>49.09</v>
      </c>
      <c r="F4240" s="3">
        <f t="shared" si="132"/>
        <v>12.405043000000003</v>
      </c>
      <c r="G4240" s="3">
        <f t="shared" si="133"/>
        <v>61.49504300000001</v>
      </c>
    </row>
    <row r="4241" spans="1:7" x14ac:dyDescent="0.3">
      <c r="A4241" t="s">
        <v>13039</v>
      </c>
      <c r="B4241" t="s">
        <v>8511</v>
      </c>
      <c r="C4241" t="s">
        <v>8512</v>
      </c>
      <c r="D4241" s="1" t="s">
        <v>427</v>
      </c>
      <c r="E4241" s="3">
        <v>49.85</v>
      </c>
      <c r="F4241" s="3">
        <f t="shared" si="132"/>
        <v>12.597095000000001</v>
      </c>
      <c r="G4241" s="3">
        <f t="shared" si="133"/>
        <v>62.447095000000004</v>
      </c>
    </row>
    <row r="4242" spans="1:7" x14ac:dyDescent="0.3">
      <c r="A4242" t="s">
        <v>13039</v>
      </c>
      <c r="B4242" t="s">
        <v>8513</v>
      </c>
      <c r="C4242" t="s">
        <v>8514</v>
      </c>
      <c r="D4242" s="1" t="s">
        <v>427</v>
      </c>
      <c r="E4242" s="3">
        <v>53.43</v>
      </c>
      <c r="F4242" s="3">
        <f t="shared" si="132"/>
        <v>13.501761000000002</v>
      </c>
      <c r="G4242" s="3">
        <f t="shared" si="133"/>
        <v>66.931760999999995</v>
      </c>
    </row>
    <row r="4243" spans="1:7" x14ac:dyDescent="0.3">
      <c r="A4243" t="s">
        <v>13039</v>
      </c>
      <c r="B4243" t="s">
        <v>8515</v>
      </c>
      <c r="C4243" t="s">
        <v>8516</v>
      </c>
      <c r="D4243" s="1" t="s">
        <v>427</v>
      </c>
      <c r="E4243" s="3">
        <v>54.08</v>
      </c>
      <c r="F4243" s="3">
        <f t="shared" si="132"/>
        <v>13.666016000000001</v>
      </c>
      <c r="G4243" s="3">
        <f t="shared" si="133"/>
        <v>67.746015999999997</v>
      </c>
    </row>
    <row r="4244" spans="1:7" x14ac:dyDescent="0.3">
      <c r="A4244" t="s">
        <v>13039</v>
      </c>
      <c r="B4244" t="s">
        <v>8517</v>
      </c>
      <c r="C4244" t="s">
        <v>8518</v>
      </c>
      <c r="D4244" s="1" t="s">
        <v>427</v>
      </c>
      <c r="E4244" s="3">
        <v>46.59</v>
      </c>
      <c r="F4244" s="3">
        <f t="shared" si="132"/>
        <v>11.773293000000002</v>
      </c>
      <c r="G4244" s="3">
        <f t="shared" si="133"/>
        <v>58.363293000000006</v>
      </c>
    </row>
    <row r="4245" spans="1:7" x14ac:dyDescent="0.3">
      <c r="A4245" t="s">
        <v>13039</v>
      </c>
      <c r="B4245" t="s">
        <v>8519</v>
      </c>
      <c r="C4245" t="s">
        <v>8520</v>
      </c>
      <c r="D4245" s="1" t="s">
        <v>427</v>
      </c>
      <c r="E4245" s="3">
        <v>47.03</v>
      </c>
      <c r="F4245" s="3">
        <f t="shared" si="132"/>
        <v>11.884481000000003</v>
      </c>
      <c r="G4245" s="3">
        <f t="shared" si="133"/>
        <v>58.914481000000002</v>
      </c>
    </row>
    <row r="4246" spans="1:7" x14ac:dyDescent="0.3">
      <c r="A4246" t="s">
        <v>13039</v>
      </c>
      <c r="B4246" t="s">
        <v>8521</v>
      </c>
      <c r="C4246" t="s">
        <v>8522</v>
      </c>
      <c r="D4246" s="1" t="s">
        <v>427</v>
      </c>
      <c r="E4246" s="3">
        <v>47.35</v>
      </c>
      <c r="F4246" s="3">
        <f t="shared" si="132"/>
        <v>11.965345000000003</v>
      </c>
      <c r="G4246" s="3">
        <f t="shared" si="133"/>
        <v>59.315345000000008</v>
      </c>
    </row>
    <row r="4247" spans="1:7" x14ac:dyDescent="0.3">
      <c r="A4247" t="s">
        <v>13039</v>
      </c>
      <c r="B4247" t="s">
        <v>8523</v>
      </c>
      <c r="C4247" t="s">
        <v>8524</v>
      </c>
      <c r="D4247" s="1" t="s">
        <v>427</v>
      </c>
      <c r="E4247" s="3">
        <v>47.68</v>
      </c>
      <c r="F4247" s="3">
        <f t="shared" si="132"/>
        <v>12.048736000000002</v>
      </c>
      <c r="G4247" s="3">
        <f t="shared" si="133"/>
        <v>59.728735999999998</v>
      </c>
    </row>
    <row r="4248" spans="1:7" x14ac:dyDescent="0.3">
      <c r="A4248" t="s">
        <v>13039</v>
      </c>
      <c r="B4248" t="s">
        <v>8525</v>
      </c>
      <c r="C4248" t="s">
        <v>8526</v>
      </c>
      <c r="D4248" s="1" t="s">
        <v>427</v>
      </c>
      <c r="E4248" s="3">
        <v>48.01</v>
      </c>
      <c r="F4248" s="3">
        <f t="shared" si="132"/>
        <v>12.132127000000001</v>
      </c>
      <c r="G4248" s="3">
        <f t="shared" si="133"/>
        <v>60.142127000000002</v>
      </c>
    </row>
    <row r="4249" spans="1:7" x14ac:dyDescent="0.3">
      <c r="A4249" t="s">
        <v>13039</v>
      </c>
      <c r="B4249" t="s">
        <v>8527</v>
      </c>
      <c r="C4249" t="s">
        <v>8528</v>
      </c>
      <c r="D4249" s="1" t="s">
        <v>427</v>
      </c>
      <c r="E4249" s="3">
        <v>48.66</v>
      </c>
      <c r="F4249" s="3">
        <f t="shared" si="132"/>
        <v>12.296382000000001</v>
      </c>
      <c r="G4249" s="3">
        <f t="shared" si="133"/>
        <v>60.956381999999998</v>
      </c>
    </row>
    <row r="4250" spans="1:7" x14ac:dyDescent="0.3">
      <c r="A4250" t="s">
        <v>13039</v>
      </c>
      <c r="B4250" t="s">
        <v>8529</v>
      </c>
      <c r="C4250" t="s">
        <v>8530</v>
      </c>
      <c r="D4250" s="1" t="s">
        <v>427</v>
      </c>
      <c r="E4250" s="3">
        <v>49.74</v>
      </c>
      <c r="F4250" s="3">
        <f t="shared" si="132"/>
        <v>12.569298000000002</v>
      </c>
      <c r="G4250" s="3">
        <f t="shared" si="133"/>
        <v>62.309298000000005</v>
      </c>
    </row>
    <row r="4251" spans="1:7" x14ac:dyDescent="0.3">
      <c r="A4251" t="s">
        <v>13039</v>
      </c>
      <c r="B4251" t="s">
        <v>8531</v>
      </c>
      <c r="C4251" t="s">
        <v>8532</v>
      </c>
      <c r="D4251" s="1" t="s">
        <v>427</v>
      </c>
      <c r="E4251" s="3">
        <v>52.61</v>
      </c>
      <c r="F4251" s="3">
        <f t="shared" si="132"/>
        <v>13.294547000000001</v>
      </c>
      <c r="G4251" s="3">
        <f t="shared" si="133"/>
        <v>65.904547000000008</v>
      </c>
    </row>
    <row r="4252" spans="1:7" x14ac:dyDescent="0.3">
      <c r="A4252" t="s">
        <v>13039</v>
      </c>
      <c r="B4252" t="s">
        <v>8533</v>
      </c>
      <c r="C4252" t="s">
        <v>8534</v>
      </c>
      <c r="D4252" s="1" t="s">
        <v>427</v>
      </c>
      <c r="E4252" s="3">
        <v>14.93</v>
      </c>
      <c r="F4252" s="3">
        <f t="shared" si="132"/>
        <v>3.7728110000000004</v>
      </c>
      <c r="G4252" s="3">
        <f t="shared" si="133"/>
        <v>18.702811000000001</v>
      </c>
    </row>
    <row r="4253" spans="1:7" x14ac:dyDescent="0.3">
      <c r="A4253" t="s">
        <v>13039</v>
      </c>
      <c r="B4253" t="s">
        <v>8535</v>
      </c>
      <c r="C4253" t="s">
        <v>8536</v>
      </c>
      <c r="D4253" s="1" t="s">
        <v>427</v>
      </c>
      <c r="E4253" s="3">
        <v>5.04</v>
      </c>
      <c r="F4253" s="3">
        <f t="shared" si="132"/>
        <v>1.2736080000000003</v>
      </c>
      <c r="G4253" s="3">
        <f t="shared" si="133"/>
        <v>6.3136080000000003</v>
      </c>
    </row>
    <row r="4254" spans="1:7" x14ac:dyDescent="0.3">
      <c r="A4254" t="s">
        <v>13039</v>
      </c>
      <c r="B4254" t="s">
        <v>8537</v>
      </c>
      <c r="C4254" t="s">
        <v>8538</v>
      </c>
      <c r="D4254" s="1" t="s">
        <v>38</v>
      </c>
      <c r="E4254" s="3">
        <v>2288.66</v>
      </c>
      <c r="F4254" s="3">
        <f t="shared" si="132"/>
        <v>578.344382</v>
      </c>
      <c r="G4254" s="3">
        <f t="shared" si="133"/>
        <v>2867.0043820000001</v>
      </c>
    </row>
    <row r="4255" spans="1:7" x14ac:dyDescent="0.3">
      <c r="A4255" t="s">
        <v>13039</v>
      </c>
      <c r="B4255" t="s">
        <v>8539</v>
      </c>
      <c r="C4255" t="s">
        <v>8540</v>
      </c>
      <c r="D4255" s="1" t="s">
        <v>38</v>
      </c>
      <c r="E4255" s="3">
        <v>1558.12</v>
      </c>
      <c r="F4255" s="3">
        <f t="shared" si="132"/>
        <v>393.73692400000004</v>
      </c>
      <c r="G4255" s="3">
        <f t="shared" si="133"/>
        <v>1951.8569239999999</v>
      </c>
    </row>
    <row r="4256" spans="1:7" x14ac:dyDescent="0.3">
      <c r="A4256" t="s">
        <v>13039</v>
      </c>
      <c r="B4256" t="s">
        <v>8541</v>
      </c>
      <c r="C4256" t="s">
        <v>8542</v>
      </c>
      <c r="D4256" s="1" t="s">
        <v>38</v>
      </c>
      <c r="E4256" s="3">
        <v>2503.15</v>
      </c>
      <c r="F4256" s="3">
        <f t="shared" si="132"/>
        <v>632.54600500000015</v>
      </c>
      <c r="G4256" s="3">
        <f t="shared" si="133"/>
        <v>3135.6960050000002</v>
      </c>
    </row>
    <row r="4257" spans="1:7" x14ac:dyDescent="0.3">
      <c r="A4257" t="s">
        <v>13039</v>
      </c>
      <c r="B4257" t="s">
        <v>8543</v>
      </c>
      <c r="C4257" t="s">
        <v>8544</v>
      </c>
      <c r="D4257" s="1" t="s">
        <v>38</v>
      </c>
      <c r="E4257" s="3">
        <v>1699.55</v>
      </c>
      <c r="F4257" s="3">
        <f t="shared" si="132"/>
        <v>429.47628500000008</v>
      </c>
      <c r="G4257" s="3">
        <f t="shared" si="133"/>
        <v>2129.0262849999999</v>
      </c>
    </row>
    <row r="4258" spans="1:7" x14ac:dyDescent="0.3">
      <c r="A4258" t="s">
        <v>13039</v>
      </c>
      <c r="B4258" t="s">
        <v>8545</v>
      </c>
      <c r="C4258" t="s">
        <v>8546</v>
      </c>
      <c r="D4258" s="1" t="s">
        <v>38</v>
      </c>
      <c r="E4258" s="3">
        <v>2726.3</v>
      </c>
      <c r="F4258" s="3">
        <f t="shared" si="132"/>
        <v>688.93601000000012</v>
      </c>
      <c r="G4258" s="3">
        <f t="shared" si="133"/>
        <v>3415.2360100000005</v>
      </c>
    </row>
    <row r="4259" spans="1:7" x14ac:dyDescent="0.3">
      <c r="A4259" t="s">
        <v>13039</v>
      </c>
      <c r="B4259" t="s">
        <v>8547</v>
      </c>
      <c r="C4259" t="s">
        <v>8548</v>
      </c>
      <c r="D4259" s="1" t="s">
        <v>38</v>
      </c>
      <c r="E4259" s="3">
        <v>1849.65</v>
      </c>
      <c r="F4259" s="3">
        <f t="shared" si="132"/>
        <v>467.40655500000008</v>
      </c>
      <c r="G4259" s="3">
        <f t="shared" si="133"/>
        <v>2317.0565550000001</v>
      </c>
    </row>
    <row r="4260" spans="1:7" x14ac:dyDescent="0.3">
      <c r="A4260" t="s">
        <v>13039</v>
      </c>
      <c r="B4260" t="s">
        <v>8549</v>
      </c>
      <c r="C4260" t="s">
        <v>8550</v>
      </c>
      <c r="D4260" s="1" t="s">
        <v>38</v>
      </c>
      <c r="E4260" s="3">
        <v>1832.92</v>
      </c>
      <c r="F4260" s="3">
        <f t="shared" si="132"/>
        <v>463.1788840000001</v>
      </c>
      <c r="G4260" s="3">
        <f t="shared" si="133"/>
        <v>2296.098884</v>
      </c>
    </row>
    <row r="4261" spans="1:7" x14ac:dyDescent="0.3">
      <c r="A4261" t="s">
        <v>13039</v>
      </c>
      <c r="B4261" t="s">
        <v>8551</v>
      </c>
      <c r="C4261" t="s">
        <v>8552</v>
      </c>
      <c r="D4261" s="1" t="s">
        <v>38</v>
      </c>
      <c r="E4261" s="3">
        <v>1248.49</v>
      </c>
      <c r="F4261" s="3">
        <f t="shared" si="132"/>
        <v>315.49342300000006</v>
      </c>
      <c r="G4261" s="3">
        <f t="shared" si="133"/>
        <v>1563.9834230000001</v>
      </c>
    </row>
    <row r="4262" spans="1:7" x14ac:dyDescent="0.3">
      <c r="A4262" t="s">
        <v>13039</v>
      </c>
      <c r="B4262" t="s">
        <v>8553</v>
      </c>
      <c r="C4262" t="s">
        <v>8554</v>
      </c>
      <c r="D4262" s="1" t="s">
        <v>38</v>
      </c>
      <c r="E4262" s="3">
        <v>2048.36</v>
      </c>
      <c r="F4262" s="3">
        <f t="shared" si="132"/>
        <v>517.62057200000015</v>
      </c>
      <c r="G4262" s="3">
        <f t="shared" si="133"/>
        <v>2565.9805720000004</v>
      </c>
    </row>
    <row r="4263" spans="1:7" x14ac:dyDescent="0.3">
      <c r="A4263" t="s">
        <v>13039</v>
      </c>
      <c r="B4263" t="s">
        <v>8555</v>
      </c>
      <c r="C4263" t="s">
        <v>8556</v>
      </c>
      <c r="D4263" s="1" t="s">
        <v>38</v>
      </c>
      <c r="E4263" s="3">
        <v>1390.87</v>
      </c>
      <c r="F4263" s="3">
        <f t="shared" si="132"/>
        <v>351.472849</v>
      </c>
      <c r="G4263" s="3">
        <f t="shared" si="133"/>
        <v>1742.3428489999999</v>
      </c>
    </row>
    <row r="4264" spans="1:7" x14ac:dyDescent="0.3">
      <c r="A4264" t="s">
        <v>13039</v>
      </c>
      <c r="B4264" t="s">
        <v>8557</v>
      </c>
      <c r="C4264" t="s">
        <v>8558</v>
      </c>
      <c r="D4264" s="1" t="s">
        <v>38</v>
      </c>
      <c r="E4264" s="3">
        <v>2263.1</v>
      </c>
      <c r="F4264" s="3">
        <f t="shared" si="132"/>
        <v>571.88537000000008</v>
      </c>
      <c r="G4264" s="3">
        <f t="shared" si="133"/>
        <v>2834.9853699999999</v>
      </c>
    </row>
    <row r="4265" spans="1:7" x14ac:dyDescent="0.3">
      <c r="A4265" t="s">
        <v>13039</v>
      </c>
      <c r="B4265" t="s">
        <v>8559</v>
      </c>
      <c r="C4265" t="s">
        <v>8560</v>
      </c>
      <c r="D4265" s="1" t="s">
        <v>38</v>
      </c>
      <c r="E4265" s="3">
        <v>1532.56</v>
      </c>
      <c r="F4265" s="3">
        <f t="shared" si="132"/>
        <v>387.27791200000001</v>
      </c>
      <c r="G4265" s="3">
        <f t="shared" si="133"/>
        <v>1919.837912</v>
      </c>
    </row>
    <row r="4266" spans="1:7" x14ac:dyDescent="0.3">
      <c r="A4266" t="s">
        <v>13039</v>
      </c>
      <c r="B4266" t="s">
        <v>8561</v>
      </c>
      <c r="C4266" t="s">
        <v>8562</v>
      </c>
      <c r="D4266" s="1" t="s">
        <v>38</v>
      </c>
      <c r="E4266" s="3">
        <v>2480.86</v>
      </c>
      <c r="F4266" s="3">
        <f t="shared" si="132"/>
        <v>626.91332200000011</v>
      </c>
      <c r="G4266" s="3">
        <f t="shared" si="133"/>
        <v>3107.773322</v>
      </c>
    </row>
    <row r="4267" spans="1:7" x14ac:dyDescent="0.3">
      <c r="A4267" t="s">
        <v>13039</v>
      </c>
      <c r="B4267" t="s">
        <v>8563</v>
      </c>
      <c r="C4267" t="s">
        <v>8564</v>
      </c>
      <c r="D4267" s="1" t="s">
        <v>38</v>
      </c>
      <c r="E4267" s="3">
        <v>1677.27</v>
      </c>
      <c r="F4267" s="3">
        <f t="shared" si="132"/>
        <v>423.84612900000008</v>
      </c>
      <c r="G4267" s="3">
        <f t="shared" si="133"/>
        <v>2101.116129</v>
      </c>
    </row>
    <row r="4268" spans="1:7" x14ac:dyDescent="0.3">
      <c r="A4268" t="s">
        <v>13039</v>
      </c>
      <c r="B4268" t="s">
        <v>8565</v>
      </c>
      <c r="C4268" t="s">
        <v>8566</v>
      </c>
      <c r="D4268" s="1" t="s">
        <v>38</v>
      </c>
      <c r="E4268" s="3">
        <v>2698.14</v>
      </c>
      <c r="F4268" s="3">
        <f t="shared" si="132"/>
        <v>681.81997800000011</v>
      </c>
      <c r="G4268" s="3">
        <f t="shared" si="133"/>
        <v>3379.9599779999999</v>
      </c>
    </row>
    <row r="4269" spans="1:7" x14ac:dyDescent="0.3">
      <c r="A4269" t="s">
        <v>13039</v>
      </c>
      <c r="B4269" t="s">
        <v>8567</v>
      </c>
      <c r="C4269" t="s">
        <v>8568</v>
      </c>
      <c r="D4269" s="1" t="s">
        <v>38</v>
      </c>
      <c r="E4269" s="3">
        <v>1821.49</v>
      </c>
      <c r="F4269" s="3">
        <f t="shared" si="132"/>
        <v>460.29052300000006</v>
      </c>
      <c r="G4269" s="3">
        <f t="shared" si="133"/>
        <v>2281.7805229999999</v>
      </c>
    </row>
    <row r="4270" spans="1:7" x14ac:dyDescent="0.3">
      <c r="A4270" t="s">
        <v>13039</v>
      </c>
      <c r="B4270" t="s">
        <v>8569</v>
      </c>
      <c r="C4270" t="s">
        <v>8570</v>
      </c>
      <c r="D4270" s="1" t="s">
        <v>38</v>
      </c>
      <c r="E4270" s="3">
        <v>1825.83</v>
      </c>
      <c r="F4270" s="3">
        <f t="shared" si="132"/>
        <v>461.38724100000007</v>
      </c>
      <c r="G4270" s="3">
        <f t="shared" si="133"/>
        <v>2287.2172409999998</v>
      </c>
    </row>
    <row r="4271" spans="1:7" x14ac:dyDescent="0.3">
      <c r="A4271" t="s">
        <v>13039</v>
      </c>
      <c r="B4271" t="s">
        <v>8571</v>
      </c>
      <c r="C4271" t="s">
        <v>8572</v>
      </c>
      <c r="D4271" s="1" t="s">
        <v>38</v>
      </c>
      <c r="E4271" s="3">
        <v>1241.4000000000001</v>
      </c>
      <c r="F4271" s="3">
        <f t="shared" si="132"/>
        <v>313.70178000000004</v>
      </c>
      <c r="G4271" s="3">
        <f t="shared" si="133"/>
        <v>1555.1017800000002</v>
      </c>
    </row>
    <row r="4272" spans="1:7" x14ac:dyDescent="0.3">
      <c r="A4272" t="s">
        <v>13039</v>
      </c>
      <c r="B4272" t="s">
        <v>8573</v>
      </c>
      <c r="C4272" t="s">
        <v>8574</v>
      </c>
      <c r="D4272" s="1" t="s">
        <v>38</v>
      </c>
      <c r="E4272" s="3">
        <v>2044.78</v>
      </c>
      <c r="F4272" s="3">
        <f t="shared" si="132"/>
        <v>516.71590600000002</v>
      </c>
      <c r="G4272" s="3">
        <f t="shared" si="133"/>
        <v>2561.4959060000001</v>
      </c>
    </row>
    <row r="4273" spans="1:7" x14ac:dyDescent="0.3">
      <c r="A4273" t="s">
        <v>13039</v>
      </c>
      <c r="B4273" t="s">
        <v>8575</v>
      </c>
      <c r="C4273" t="s">
        <v>8576</v>
      </c>
      <c r="D4273" s="1" t="s">
        <v>38</v>
      </c>
      <c r="E4273" s="3">
        <v>1387.3</v>
      </c>
      <c r="F4273" s="3">
        <f t="shared" si="132"/>
        <v>350.57071000000002</v>
      </c>
      <c r="G4273" s="3">
        <f t="shared" si="133"/>
        <v>1737.8707099999999</v>
      </c>
    </row>
    <row r="4274" spans="1:7" x14ac:dyDescent="0.3">
      <c r="A4274" t="s">
        <v>13039</v>
      </c>
      <c r="B4274" t="s">
        <v>8577</v>
      </c>
      <c r="C4274" t="s">
        <v>8578</v>
      </c>
      <c r="D4274" s="1" t="s">
        <v>38</v>
      </c>
      <c r="E4274" s="3">
        <v>160.41</v>
      </c>
      <c r="F4274" s="3">
        <f t="shared" si="132"/>
        <v>40.535607000000006</v>
      </c>
      <c r="G4274" s="3">
        <f t="shared" si="133"/>
        <v>200.945607</v>
      </c>
    </row>
    <row r="4275" spans="1:7" x14ac:dyDescent="0.3">
      <c r="A4275" t="s">
        <v>13039</v>
      </c>
      <c r="B4275" t="s">
        <v>8579</v>
      </c>
      <c r="C4275" t="s">
        <v>8580</v>
      </c>
      <c r="D4275" s="1" t="s">
        <v>427</v>
      </c>
      <c r="E4275" s="3">
        <v>1.8</v>
      </c>
      <c r="F4275" s="3">
        <f t="shared" si="132"/>
        <v>0.4548600000000001</v>
      </c>
      <c r="G4275" s="3">
        <f t="shared" si="133"/>
        <v>2.2548600000000003</v>
      </c>
    </row>
    <row r="4276" spans="1:7" x14ac:dyDescent="0.3">
      <c r="A4276" t="s">
        <v>13039</v>
      </c>
      <c r="B4276" t="s">
        <v>8581</v>
      </c>
      <c r="C4276" t="s">
        <v>8582</v>
      </c>
      <c r="D4276" s="1" t="s">
        <v>427</v>
      </c>
      <c r="E4276" s="3">
        <v>0.9</v>
      </c>
      <c r="F4276" s="3">
        <f t="shared" si="132"/>
        <v>0.22743000000000005</v>
      </c>
      <c r="G4276" s="3">
        <f t="shared" si="133"/>
        <v>1.1274300000000002</v>
      </c>
    </row>
    <row r="4277" spans="1:7" x14ac:dyDescent="0.3">
      <c r="A4277" t="s">
        <v>13039</v>
      </c>
      <c r="B4277" t="s">
        <v>8583</v>
      </c>
      <c r="C4277" t="s">
        <v>8584</v>
      </c>
      <c r="D4277" s="1" t="s">
        <v>195</v>
      </c>
      <c r="E4277" s="3">
        <v>1033.1199999999999</v>
      </c>
      <c r="F4277" s="3">
        <f t="shared" si="132"/>
        <v>261.06942400000003</v>
      </c>
      <c r="G4277" s="3">
        <f t="shared" si="133"/>
        <v>1294.1894239999999</v>
      </c>
    </row>
    <row r="4278" spans="1:7" x14ac:dyDescent="0.3">
      <c r="A4278" t="s">
        <v>13039</v>
      </c>
      <c r="B4278" t="s">
        <v>8585</v>
      </c>
      <c r="C4278" t="s">
        <v>8586</v>
      </c>
      <c r="D4278" s="1" t="s">
        <v>195</v>
      </c>
      <c r="E4278" s="3">
        <v>833.79</v>
      </c>
      <c r="F4278" s="3">
        <f t="shared" si="132"/>
        <v>210.69873300000003</v>
      </c>
      <c r="G4278" s="3">
        <f t="shared" si="133"/>
        <v>1044.4887329999999</v>
      </c>
    </row>
    <row r="4279" spans="1:7" x14ac:dyDescent="0.3">
      <c r="A4279" t="s">
        <v>13039</v>
      </c>
      <c r="B4279" t="s">
        <v>8587</v>
      </c>
      <c r="C4279" t="s">
        <v>8588</v>
      </c>
      <c r="D4279" s="1" t="s">
        <v>195</v>
      </c>
      <c r="E4279" s="3">
        <v>580.46</v>
      </c>
      <c r="F4279" s="3">
        <f t="shared" si="132"/>
        <v>146.68224200000003</v>
      </c>
      <c r="G4279" s="3">
        <f t="shared" si="133"/>
        <v>727.14224200000012</v>
      </c>
    </row>
    <row r="4280" spans="1:7" x14ac:dyDescent="0.3">
      <c r="A4280" t="s">
        <v>13039</v>
      </c>
      <c r="B4280" t="s">
        <v>8589</v>
      </c>
      <c r="C4280" t="s">
        <v>8590</v>
      </c>
      <c r="D4280" s="1" t="s">
        <v>195</v>
      </c>
      <c r="E4280" s="3">
        <v>366.7</v>
      </c>
      <c r="F4280" s="3">
        <f t="shared" si="132"/>
        <v>92.665090000000006</v>
      </c>
      <c r="G4280" s="3">
        <f t="shared" si="133"/>
        <v>459.36509000000001</v>
      </c>
    </row>
    <row r="4281" spans="1:7" x14ac:dyDescent="0.3">
      <c r="A4281" t="s">
        <v>13039</v>
      </c>
      <c r="B4281" t="s">
        <v>8591</v>
      </c>
      <c r="C4281" t="s">
        <v>8592</v>
      </c>
      <c r="D4281" s="1" t="s">
        <v>195</v>
      </c>
      <c r="E4281" s="3">
        <v>321.75</v>
      </c>
      <c r="F4281" s="3">
        <f t="shared" si="132"/>
        <v>81.306225000000012</v>
      </c>
      <c r="G4281" s="3">
        <f t="shared" si="133"/>
        <v>403.05622500000004</v>
      </c>
    </row>
    <row r="4282" spans="1:7" x14ac:dyDescent="0.3">
      <c r="A4282" t="s">
        <v>13039</v>
      </c>
      <c r="B4282" t="s">
        <v>8593</v>
      </c>
      <c r="C4282" t="s">
        <v>8594</v>
      </c>
      <c r="D4282" s="1" t="s">
        <v>195</v>
      </c>
      <c r="E4282" s="3">
        <v>240.31</v>
      </c>
      <c r="F4282" s="3">
        <f t="shared" si="132"/>
        <v>60.726337000000008</v>
      </c>
      <c r="G4282" s="3">
        <f t="shared" si="133"/>
        <v>301.036337</v>
      </c>
    </row>
    <row r="4283" spans="1:7" x14ac:dyDescent="0.3">
      <c r="A4283" t="s">
        <v>13039</v>
      </c>
      <c r="B4283" t="s">
        <v>8595</v>
      </c>
      <c r="C4283" t="s">
        <v>8596</v>
      </c>
      <c r="D4283" s="1" t="s">
        <v>195</v>
      </c>
      <c r="E4283" s="3">
        <v>70.569999999999993</v>
      </c>
      <c r="F4283" s="3">
        <f t="shared" si="132"/>
        <v>17.833038999999999</v>
      </c>
      <c r="G4283" s="3">
        <f t="shared" si="133"/>
        <v>88.403038999999993</v>
      </c>
    </row>
    <row r="4284" spans="1:7" x14ac:dyDescent="0.3">
      <c r="A4284" t="s">
        <v>13039</v>
      </c>
      <c r="B4284" t="s">
        <v>8597</v>
      </c>
      <c r="C4284" t="s">
        <v>8598</v>
      </c>
      <c r="D4284" s="1" t="s">
        <v>195</v>
      </c>
      <c r="E4284" s="3">
        <v>71.05</v>
      </c>
      <c r="F4284" s="3">
        <f t="shared" si="132"/>
        <v>17.954335</v>
      </c>
      <c r="G4284" s="3">
        <f t="shared" si="133"/>
        <v>89.004334999999998</v>
      </c>
    </row>
    <row r="4285" spans="1:7" x14ac:dyDescent="0.3">
      <c r="A4285" t="s">
        <v>13039</v>
      </c>
      <c r="B4285" t="s">
        <v>8599</v>
      </c>
      <c r="C4285" t="s">
        <v>8600</v>
      </c>
      <c r="D4285" s="1" t="s">
        <v>195</v>
      </c>
      <c r="E4285" s="3">
        <v>98.49</v>
      </c>
      <c r="F4285" s="3">
        <f t="shared" si="132"/>
        <v>24.888423000000003</v>
      </c>
      <c r="G4285" s="3">
        <f t="shared" si="133"/>
        <v>123.378423</v>
      </c>
    </row>
    <row r="4286" spans="1:7" x14ac:dyDescent="0.3">
      <c r="A4286" t="s">
        <v>13039</v>
      </c>
      <c r="B4286" t="s">
        <v>8601</v>
      </c>
      <c r="C4286" t="s">
        <v>8602</v>
      </c>
      <c r="D4286" s="1" t="s">
        <v>195</v>
      </c>
      <c r="E4286" s="3">
        <v>96.68</v>
      </c>
      <c r="F4286" s="3">
        <f t="shared" si="132"/>
        <v>24.431036000000006</v>
      </c>
      <c r="G4286" s="3">
        <f t="shared" si="133"/>
        <v>121.11103600000001</v>
      </c>
    </row>
    <row r="4287" spans="1:7" x14ac:dyDescent="0.3">
      <c r="A4287" t="s">
        <v>13039</v>
      </c>
      <c r="B4287" t="s">
        <v>8603</v>
      </c>
      <c r="C4287" t="s">
        <v>8604</v>
      </c>
      <c r="D4287" s="1" t="s">
        <v>195</v>
      </c>
      <c r="E4287" s="3">
        <v>278.54000000000002</v>
      </c>
      <c r="F4287" s="3">
        <f t="shared" si="132"/>
        <v>70.38705800000001</v>
      </c>
      <c r="G4287" s="3">
        <f t="shared" si="133"/>
        <v>348.92705800000005</v>
      </c>
    </row>
    <row r="4288" spans="1:7" x14ac:dyDescent="0.3">
      <c r="A4288" t="s">
        <v>13039</v>
      </c>
      <c r="B4288" t="s">
        <v>8605</v>
      </c>
      <c r="C4288" t="s">
        <v>8606</v>
      </c>
      <c r="D4288" s="1" t="s">
        <v>195</v>
      </c>
      <c r="E4288" s="3">
        <v>203.42</v>
      </c>
      <c r="F4288" s="3">
        <f t="shared" si="132"/>
        <v>51.404234000000002</v>
      </c>
      <c r="G4288" s="3">
        <f t="shared" si="133"/>
        <v>254.82423399999999</v>
      </c>
    </row>
    <row r="4289" spans="1:7" x14ac:dyDescent="0.3">
      <c r="A4289" t="s">
        <v>13039</v>
      </c>
      <c r="B4289" t="s">
        <v>8607</v>
      </c>
      <c r="C4289" t="s">
        <v>8608</v>
      </c>
      <c r="D4289" s="1" t="s">
        <v>195</v>
      </c>
      <c r="E4289" s="3">
        <v>70.13</v>
      </c>
      <c r="F4289" s="3">
        <f t="shared" si="132"/>
        <v>17.721851000000001</v>
      </c>
      <c r="G4289" s="3">
        <f t="shared" si="133"/>
        <v>87.851850999999996</v>
      </c>
    </row>
    <row r="4290" spans="1:7" x14ac:dyDescent="0.3">
      <c r="A4290" t="s">
        <v>13039</v>
      </c>
      <c r="B4290" t="s">
        <v>8609</v>
      </c>
      <c r="C4290" t="s">
        <v>8610</v>
      </c>
      <c r="D4290" s="1" t="s">
        <v>195</v>
      </c>
      <c r="E4290" s="3">
        <v>70.37</v>
      </c>
      <c r="F4290" s="3">
        <f t="shared" si="132"/>
        <v>17.782499000000005</v>
      </c>
      <c r="G4290" s="3">
        <f t="shared" si="133"/>
        <v>88.152499000000006</v>
      </c>
    </row>
    <row r="4291" spans="1:7" x14ac:dyDescent="0.3">
      <c r="A4291" t="s">
        <v>13039</v>
      </c>
      <c r="B4291" t="s">
        <v>8611</v>
      </c>
      <c r="C4291" t="s">
        <v>8612</v>
      </c>
      <c r="D4291" s="1" t="s">
        <v>195</v>
      </c>
      <c r="E4291" s="3">
        <v>87.58</v>
      </c>
      <c r="F4291" s="3">
        <f t="shared" si="132"/>
        <v>22.131466000000003</v>
      </c>
      <c r="G4291" s="3">
        <f t="shared" si="133"/>
        <v>109.711466</v>
      </c>
    </row>
    <row r="4292" spans="1:7" x14ac:dyDescent="0.3">
      <c r="A4292" t="s">
        <v>13039</v>
      </c>
      <c r="B4292" t="s">
        <v>8613</v>
      </c>
      <c r="C4292" t="s">
        <v>8614</v>
      </c>
      <c r="D4292" s="1" t="s">
        <v>195</v>
      </c>
      <c r="E4292" s="3">
        <v>83.18</v>
      </c>
      <c r="F4292" s="3">
        <f t="shared" si="132"/>
        <v>21.019586000000004</v>
      </c>
      <c r="G4292" s="3">
        <f t="shared" si="133"/>
        <v>104.19958600000001</v>
      </c>
    </row>
    <row r="4293" spans="1:7" x14ac:dyDescent="0.3">
      <c r="A4293" t="s">
        <v>13039</v>
      </c>
      <c r="B4293" t="s">
        <v>8615</v>
      </c>
      <c r="C4293" t="s">
        <v>8616</v>
      </c>
      <c r="D4293" s="1" t="s">
        <v>195</v>
      </c>
      <c r="E4293" s="3">
        <v>33.950000000000003</v>
      </c>
      <c r="F4293" s="3">
        <f t="shared" si="132"/>
        <v>8.5791650000000015</v>
      </c>
      <c r="G4293" s="3">
        <f t="shared" si="133"/>
        <v>42.529165000000006</v>
      </c>
    </row>
    <row r="4294" spans="1:7" x14ac:dyDescent="0.3">
      <c r="A4294" t="s">
        <v>13039</v>
      </c>
      <c r="B4294" t="s">
        <v>8617</v>
      </c>
      <c r="C4294" t="s">
        <v>8618</v>
      </c>
      <c r="D4294" s="1" t="s">
        <v>195</v>
      </c>
      <c r="E4294" s="3">
        <v>32.049999999999997</v>
      </c>
      <c r="F4294" s="3">
        <f t="shared" si="132"/>
        <v>8.0990350000000007</v>
      </c>
      <c r="G4294" s="3">
        <f t="shared" si="133"/>
        <v>40.149034999999998</v>
      </c>
    </row>
    <row r="4295" spans="1:7" x14ac:dyDescent="0.3">
      <c r="A4295" t="s">
        <v>13039</v>
      </c>
      <c r="B4295" t="s">
        <v>8619</v>
      </c>
      <c r="C4295" t="s">
        <v>8620</v>
      </c>
      <c r="D4295" s="1" t="s">
        <v>195</v>
      </c>
      <c r="E4295" s="3">
        <v>27.8</v>
      </c>
      <c r="F4295" s="3">
        <f t="shared" ref="F4295:F4358" si="134">+E4295*$F$4</f>
        <v>7.0250600000000007</v>
      </c>
      <c r="G4295" s="3">
        <f t="shared" ref="G4295:G4358" si="135">+E4295+F4295</f>
        <v>34.825060000000001</v>
      </c>
    </row>
    <row r="4296" spans="1:7" x14ac:dyDescent="0.3">
      <c r="A4296" t="s">
        <v>13039</v>
      </c>
      <c r="B4296" t="s">
        <v>8621</v>
      </c>
      <c r="C4296" t="s">
        <v>8622</v>
      </c>
      <c r="D4296" s="1" t="s">
        <v>195</v>
      </c>
      <c r="E4296" s="3">
        <v>26.98</v>
      </c>
      <c r="F4296" s="3">
        <f t="shared" si="134"/>
        <v>6.8178460000000012</v>
      </c>
      <c r="G4296" s="3">
        <f t="shared" si="135"/>
        <v>33.797846</v>
      </c>
    </row>
    <row r="4297" spans="1:7" x14ac:dyDescent="0.3">
      <c r="A4297" t="s">
        <v>13039</v>
      </c>
      <c r="B4297" t="s">
        <v>8623</v>
      </c>
      <c r="C4297" t="s">
        <v>8624</v>
      </c>
      <c r="D4297" s="1" t="s">
        <v>195</v>
      </c>
      <c r="E4297" s="3">
        <v>23.52</v>
      </c>
      <c r="F4297" s="3">
        <f t="shared" si="134"/>
        <v>5.9435040000000008</v>
      </c>
      <c r="G4297" s="3">
        <f t="shared" si="135"/>
        <v>29.463504</v>
      </c>
    </row>
    <row r="4298" spans="1:7" x14ac:dyDescent="0.3">
      <c r="A4298" t="s">
        <v>13039</v>
      </c>
      <c r="B4298" t="s">
        <v>8625</v>
      </c>
      <c r="C4298" t="s">
        <v>8626</v>
      </c>
      <c r="D4298" s="1" t="s">
        <v>195</v>
      </c>
      <c r="E4298" s="3">
        <v>21.67</v>
      </c>
      <c r="F4298" s="3">
        <f t="shared" si="134"/>
        <v>5.4760090000000012</v>
      </c>
      <c r="G4298" s="3">
        <f t="shared" si="135"/>
        <v>27.146009000000003</v>
      </c>
    </row>
    <row r="4299" spans="1:7" x14ac:dyDescent="0.3">
      <c r="A4299" t="s">
        <v>13039</v>
      </c>
      <c r="B4299" t="s">
        <v>8627</v>
      </c>
      <c r="C4299" t="s">
        <v>8628</v>
      </c>
      <c r="D4299" s="1" t="s">
        <v>195</v>
      </c>
      <c r="E4299" s="3">
        <v>314.68</v>
      </c>
      <c r="F4299" s="3">
        <f t="shared" si="134"/>
        <v>79.51963600000002</v>
      </c>
      <c r="G4299" s="3">
        <f t="shared" si="135"/>
        <v>394.19963600000005</v>
      </c>
    </row>
    <row r="4300" spans="1:7" x14ac:dyDescent="0.3">
      <c r="A4300" t="s">
        <v>13039</v>
      </c>
      <c r="B4300" t="s">
        <v>8629</v>
      </c>
      <c r="C4300" t="s">
        <v>8630</v>
      </c>
      <c r="D4300" s="1" t="s">
        <v>195</v>
      </c>
      <c r="E4300" s="3">
        <v>233.24</v>
      </c>
      <c r="F4300" s="3">
        <f t="shared" si="134"/>
        <v>58.939748000000009</v>
      </c>
      <c r="G4300" s="3">
        <f t="shared" si="135"/>
        <v>292.17974800000002</v>
      </c>
    </row>
    <row r="4301" spans="1:7" x14ac:dyDescent="0.3">
      <c r="A4301" t="s">
        <v>13039</v>
      </c>
      <c r="B4301" t="s">
        <v>8631</v>
      </c>
      <c r="C4301" t="s">
        <v>8632</v>
      </c>
      <c r="D4301" s="1" t="s">
        <v>195</v>
      </c>
      <c r="E4301" s="3">
        <v>271.47000000000003</v>
      </c>
      <c r="F4301" s="3">
        <f t="shared" si="134"/>
        <v>68.600469000000018</v>
      </c>
      <c r="G4301" s="3">
        <f t="shared" si="135"/>
        <v>340.07046900000006</v>
      </c>
    </row>
    <row r="4302" spans="1:7" x14ac:dyDescent="0.3">
      <c r="A4302" t="s">
        <v>13039</v>
      </c>
      <c r="B4302" t="s">
        <v>8633</v>
      </c>
      <c r="C4302" t="s">
        <v>8634</v>
      </c>
      <c r="D4302" s="1" t="s">
        <v>195</v>
      </c>
      <c r="E4302" s="3">
        <v>196.35</v>
      </c>
      <c r="F4302" s="3">
        <f t="shared" si="134"/>
        <v>49.617645000000003</v>
      </c>
      <c r="G4302" s="3">
        <f t="shared" si="135"/>
        <v>245.967645</v>
      </c>
    </row>
    <row r="4303" spans="1:7" x14ac:dyDescent="0.3">
      <c r="A4303" t="s">
        <v>13039</v>
      </c>
      <c r="B4303" t="s">
        <v>8635</v>
      </c>
      <c r="C4303" t="s">
        <v>8636</v>
      </c>
      <c r="D4303" s="1" t="s">
        <v>195</v>
      </c>
      <c r="E4303" s="3">
        <v>944.81</v>
      </c>
      <c r="F4303" s="3">
        <f t="shared" si="134"/>
        <v>238.75348700000001</v>
      </c>
      <c r="G4303" s="3">
        <f t="shared" si="135"/>
        <v>1183.5634869999999</v>
      </c>
    </row>
    <row r="4304" spans="1:7" x14ac:dyDescent="0.3">
      <c r="A4304" t="s">
        <v>13039</v>
      </c>
      <c r="B4304" t="s">
        <v>8637</v>
      </c>
      <c r="C4304" t="s">
        <v>8638</v>
      </c>
      <c r="D4304" s="1" t="s">
        <v>195</v>
      </c>
      <c r="E4304" s="3">
        <v>760.69</v>
      </c>
      <c r="F4304" s="3">
        <f t="shared" si="134"/>
        <v>192.22636300000005</v>
      </c>
      <c r="G4304" s="3">
        <f t="shared" si="135"/>
        <v>952.91636300000005</v>
      </c>
    </row>
    <row r="4305" spans="1:7" x14ac:dyDescent="0.3">
      <c r="A4305" t="s">
        <v>13039</v>
      </c>
      <c r="B4305" t="s">
        <v>8639</v>
      </c>
      <c r="C4305" t="s">
        <v>8640</v>
      </c>
      <c r="D4305" s="1" t="s">
        <v>195</v>
      </c>
      <c r="E4305" s="3">
        <v>492.15</v>
      </c>
      <c r="F4305" s="3">
        <f t="shared" si="134"/>
        <v>124.36630500000001</v>
      </c>
      <c r="G4305" s="3">
        <f t="shared" si="135"/>
        <v>616.51630499999999</v>
      </c>
    </row>
    <row r="4306" spans="1:7" x14ac:dyDescent="0.3">
      <c r="A4306" t="s">
        <v>13039</v>
      </c>
      <c r="B4306" t="s">
        <v>8641</v>
      </c>
      <c r="C4306" t="s">
        <v>8642</v>
      </c>
      <c r="D4306" s="1" t="s">
        <v>195</v>
      </c>
      <c r="E4306" s="3">
        <v>306.20999999999998</v>
      </c>
      <c r="F4306" s="3">
        <f t="shared" si="134"/>
        <v>77.379266999999999</v>
      </c>
      <c r="G4306" s="3">
        <f t="shared" si="135"/>
        <v>383.58926699999995</v>
      </c>
    </row>
    <row r="4307" spans="1:7" x14ac:dyDescent="0.3">
      <c r="A4307" t="s">
        <v>13039</v>
      </c>
      <c r="B4307" t="s">
        <v>8643</v>
      </c>
      <c r="C4307" t="s">
        <v>8644</v>
      </c>
      <c r="D4307" s="1" t="s">
        <v>38</v>
      </c>
      <c r="E4307" s="3">
        <v>51.51</v>
      </c>
      <c r="F4307" s="3">
        <f t="shared" si="134"/>
        <v>13.016577000000002</v>
      </c>
      <c r="G4307" s="3">
        <f t="shared" si="135"/>
        <v>64.526577000000003</v>
      </c>
    </row>
    <row r="4308" spans="1:7" x14ac:dyDescent="0.3">
      <c r="A4308" t="s">
        <v>13039</v>
      </c>
      <c r="B4308" t="s">
        <v>8645</v>
      </c>
      <c r="C4308" t="s">
        <v>8646</v>
      </c>
      <c r="D4308" s="1" t="s">
        <v>38</v>
      </c>
      <c r="E4308" s="3">
        <v>43.45</v>
      </c>
      <c r="F4308" s="3">
        <f t="shared" si="134"/>
        <v>10.979815000000002</v>
      </c>
      <c r="G4308" s="3">
        <f t="shared" si="135"/>
        <v>54.429815000000005</v>
      </c>
    </row>
    <row r="4309" spans="1:7" x14ac:dyDescent="0.3">
      <c r="A4309" t="s">
        <v>13039</v>
      </c>
      <c r="B4309" t="s">
        <v>8647</v>
      </c>
      <c r="C4309" t="s">
        <v>8648</v>
      </c>
      <c r="D4309" s="1" t="s">
        <v>38</v>
      </c>
      <c r="E4309" s="3">
        <v>30.67</v>
      </c>
      <c r="F4309" s="3">
        <f t="shared" si="134"/>
        <v>7.7503090000000014</v>
      </c>
      <c r="G4309" s="3">
        <f t="shared" si="135"/>
        <v>38.420309000000003</v>
      </c>
    </row>
    <row r="4310" spans="1:7" x14ac:dyDescent="0.3">
      <c r="A4310" t="s">
        <v>13039</v>
      </c>
      <c r="B4310" t="s">
        <v>8649</v>
      </c>
      <c r="C4310" t="s">
        <v>8650</v>
      </c>
      <c r="D4310" s="1" t="s">
        <v>38</v>
      </c>
      <c r="E4310" s="3">
        <v>27.18</v>
      </c>
      <c r="F4310" s="3">
        <f t="shared" si="134"/>
        <v>6.868386000000001</v>
      </c>
      <c r="G4310" s="3">
        <f t="shared" si="135"/>
        <v>34.048386000000001</v>
      </c>
    </row>
    <row r="4311" spans="1:7" x14ac:dyDescent="0.3">
      <c r="A4311" t="s">
        <v>13039</v>
      </c>
      <c r="B4311" t="s">
        <v>8651</v>
      </c>
      <c r="C4311" t="s">
        <v>8652</v>
      </c>
      <c r="D4311" s="1" t="s">
        <v>38</v>
      </c>
      <c r="E4311" s="3">
        <v>33.729999999999997</v>
      </c>
      <c r="F4311" s="3">
        <f t="shared" si="134"/>
        <v>8.5235710000000005</v>
      </c>
      <c r="G4311" s="3">
        <f t="shared" si="135"/>
        <v>42.253570999999994</v>
      </c>
    </row>
    <row r="4312" spans="1:7" x14ac:dyDescent="0.3">
      <c r="A4312" t="s">
        <v>13039</v>
      </c>
      <c r="B4312" t="s">
        <v>8653</v>
      </c>
      <c r="C4312" t="s">
        <v>8654</v>
      </c>
      <c r="D4312" s="1" t="s">
        <v>38</v>
      </c>
      <c r="E4312" s="3">
        <v>29.59</v>
      </c>
      <c r="F4312" s="3">
        <f t="shared" si="134"/>
        <v>7.4773930000000011</v>
      </c>
      <c r="G4312" s="3">
        <f t="shared" si="135"/>
        <v>37.067393000000003</v>
      </c>
    </row>
    <row r="4313" spans="1:7" x14ac:dyDescent="0.3">
      <c r="A4313" t="s">
        <v>13039</v>
      </c>
      <c r="B4313" t="s">
        <v>8655</v>
      </c>
      <c r="C4313" t="s">
        <v>8656</v>
      </c>
      <c r="D4313" s="1" t="s">
        <v>38</v>
      </c>
      <c r="E4313" s="3">
        <v>21.34</v>
      </c>
      <c r="F4313" s="3">
        <f t="shared" si="134"/>
        <v>5.3926180000000006</v>
      </c>
      <c r="G4313" s="3">
        <f t="shared" si="135"/>
        <v>26.732618000000002</v>
      </c>
    </row>
    <row r="4314" spans="1:7" x14ac:dyDescent="0.3">
      <c r="A4314" t="s">
        <v>13039</v>
      </c>
      <c r="B4314" t="s">
        <v>8657</v>
      </c>
      <c r="C4314" t="s">
        <v>8658</v>
      </c>
      <c r="D4314" s="1" t="s">
        <v>38</v>
      </c>
      <c r="E4314" s="3">
        <v>19.55</v>
      </c>
      <c r="F4314" s="3">
        <f t="shared" si="134"/>
        <v>4.9402850000000011</v>
      </c>
      <c r="G4314" s="3">
        <f t="shared" si="135"/>
        <v>24.490285</v>
      </c>
    </row>
    <row r="4315" spans="1:7" x14ac:dyDescent="0.3">
      <c r="A4315" t="s">
        <v>13039</v>
      </c>
      <c r="B4315" t="s">
        <v>8659</v>
      </c>
      <c r="C4315" t="s">
        <v>8660</v>
      </c>
      <c r="D4315" s="1" t="s">
        <v>38</v>
      </c>
      <c r="E4315" s="3">
        <v>329890.42</v>
      </c>
      <c r="F4315" s="3">
        <f t="shared" si="134"/>
        <v>83363.30913400001</v>
      </c>
      <c r="G4315" s="3">
        <f t="shared" si="135"/>
        <v>413253.72913400002</v>
      </c>
    </row>
    <row r="4316" spans="1:7" x14ac:dyDescent="0.3">
      <c r="A4316" t="s">
        <v>13039</v>
      </c>
      <c r="B4316" t="s">
        <v>8661</v>
      </c>
      <c r="C4316" t="s">
        <v>8662</v>
      </c>
      <c r="D4316" s="1" t="s">
        <v>38</v>
      </c>
      <c r="E4316" s="3">
        <v>332065.45</v>
      </c>
      <c r="F4316" s="3">
        <f t="shared" si="134"/>
        <v>83912.93921500002</v>
      </c>
      <c r="G4316" s="3">
        <f t="shared" si="135"/>
        <v>415978.38921500003</v>
      </c>
    </row>
    <row r="4317" spans="1:7" x14ac:dyDescent="0.3">
      <c r="A4317" t="s">
        <v>13039</v>
      </c>
      <c r="B4317" t="s">
        <v>8663</v>
      </c>
      <c r="C4317" t="s">
        <v>8664</v>
      </c>
      <c r="D4317" s="1" t="s">
        <v>38</v>
      </c>
      <c r="E4317" s="3">
        <v>333620.09999999998</v>
      </c>
      <c r="F4317" s="3">
        <f t="shared" si="134"/>
        <v>84305.799270000003</v>
      </c>
      <c r="G4317" s="3">
        <f t="shared" si="135"/>
        <v>417925.89926999999</v>
      </c>
    </row>
    <row r="4318" spans="1:7" x14ac:dyDescent="0.3">
      <c r="A4318" t="s">
        <v>13039</v>
      </c>
      <c r="B4318" t="s">
        <v>8665</v>
      </c>
      <c r="C4318" t="s">
        <v>8666</v>
      </c>
      <c r="D4318" s="1" t="s">
        <v>38</v>
      </c>
      <c r="E4318" s="3">
        <v>342427.26</v>
      </c>
      <c r="F4318" s="3">
        <f t="shared" si="134"/>
        <v>86531.368602000017</v>
      </c>
      <c r="G4318" s="3">
        <f t="shared" si="135"/>
        <v>428958.62860200001</v>
      </c>
    </row>
    <row r="4319" spans="1:7" x14ac:dyDescent="0.3">
      <c r="A4319" t="s">
        <v>13039</v>
      </c>
      <c r="B4319" t="s">
        <v>8667</v>
      </c>
      <c r="C4319" t="s">
        <v>8668</v>
      </c>
      <c r="D4319" s="1" t="s">
        <v>38</v>
      </c>
      <c r="E4319" s="3">
        <v>348245.36</v>
      </c>
      <c r="F4319" s="3">
        <f t="shared" si="134"/>
        <v>88001.602472000013</v>
      </c>
      <c r="G4319" s="3">
        <f t="shared" si="135"/>
        <v>436246.96247199998</v>
      </c>
    </row>
    <row r="4320" spans="1:7" x14ac:dyDescent="0.3">
      <c r="A4320" t="s">
        <v>13039</v>
      </c>
      <c r="B4320" t="s">
        <v>8669</v>
      </c>
      <c r="C4320" t="s">
        <v>8670</v>
      </c>
      <c r="D4320" s="1" t="s">
        <v>38</v>
      </c>
      <c r="E4320" s="3">
        <v>275607.31</v>
      </c>
      <c r="F4320" s="3">
        <f t="shared" si="134"/>
        <v>69645.967237000004</v>
      </c>
      <c r="G4320" s="3">
        <f t="shared" si="135"/>
        <v>345253.277237</v>
      </c>
    </row>
    <row r="4321" spans="1:7" x14ac:dyDescent="0.3">
      <c r="A4321" t="s">
        <v>13039</v>
      </c>
      <c r="B4321" t="s">
        <v>8671</v>
      </c>
      <c r="C4321" t="s">
        <v>8672</v>
      </c>
      <c r="D4321" s="1" t="s">
        <v>38</v>
      </c>
      <c r="E4321" s="3">
        <v>289721.53000000003</v>
      </c>
      <c r="F4321" s="3">
        <f t="shared" si="134"/>
        <v>73212.630631000022</v>
      </c>
      <c r="G4321" s="3">
        <f t="shared" si="135"/>
        <v>362934.16063100006</v>
      </c>
    </row>
    <row r="4322" spans="1:7" x14ac:dyDescent="0.3">
      <c r="A4322" t="s">
        <v>13039</v>
      </c>
      <c r="B4322" t="s">
        <v>8673</v>
      </c>
      <c r="C4322" t="s">
        <v>8674</v>
      </c>
      <c r="D4322" s="1" t="s">
        <v>38</v>
      </c>
      <c r="E4322" s="3">
        <v>308251.76</v>
      </c>
      <c r="F4322" s="3">
        <f t="shared" si="134"/>
        <v>77895.219752000019</v>
      </c>
      <c r="G4322" s="3">
        <f t="shared" si="135"/>
        <v>386146.97975200001</v>
      </c>
    </row>
    <row r="4323" spans="1:7" x14ac:dyDescent="0.3">
      <c r="A4323" t="s">
        <v>13039</v>
      </c>
      <c r="B4323" t="s">
        <v>8675</v>
      </c>
      <c r="C4323" t="s">
        <v>8676</v>
      </c>
      <c r="D4323" s="1" t="s">
        <v>38</v>
      </c>
      <c r="E4323" s="3">
        <v>321792.26</v>
      </c>
      <c r="F4323" s="3">
        <f t="shared" si="134"/>
        <v>81316.904102000015</v>
      </c>
      <c r="G4323" s="3">
        <f t="shared" si="135"/>
        <v>403109.16410200001</v>
      </c>
    </row>
    <row r="4324" spans="1:7" x14ac:dyDescent="0.3">
      <c r="A4324" t="s">
        <v>13039</v>
      </c>
      <c r="B4324" t="s">
        <v>8677</v>
      </c>
      <c r="C4324" t="s">
        <v>8678</v>
      </c>
      <c r="D4324" s="1" t="s">
        <v>38</v>
      </c>
      <c r="E4324" s="3">
        <v>323544.53999999998</v>
      </c>
      <c r="F4324" s="3">
        <f t="shared" si="134"/>
        <v>81759.705258000002</v>
      </c>
      <c r="G4324" s="3">
        <f t="shared" si="135"/>
        <v>405304.24525799998</v>
      </c>
    </row>
    <row r="4325" spans="1:7" x14ac:dyDescent="0.3">
      <c r="A4325" t="s">
        <v>13039</v>
      </c>
      <c r="B4325" t="s">
        <v>8679</v>
      </c>
      <c r="C4325" t="s">
        <v>8680</v>
      </c>
      <c r="D4325" s="1" t="s">
        <v>38</v>
      </c>
      <c r="E4325" s="3">
        <v>234998.03</v>
      </c>
      <c r="F4325" s="3">
        <f t="shared" si="134"/>
        <v>59384.002181000011</v>
      </c>
      <c r="G4325" s="3">
        <f t="shared" si="135"/>
        <v>294382.03218099999</v>
      </c>
    </row>
    <row r="4326" spans="1:7" x14ac:dyDescent="0.3">
      <c r="A4326" t="s">
        <v>13039</v>
      </c>
      <c r="B4326" t="s">
        <v>8681</v>
      </c>
      <c r="C4326" t="s">
        <v>8682</v>
      </c>
      <c r="D4326" s="1" t="s">
        <v>38</v>
      </c>
      <c r="E4326" s="3">
        <v>225025.48</v>
      </c>
      <c r="F4326" s="3">
        <f t="shared" si="134"/>
        <v>56863.938796000009</v>
      </c>
      <c r="G4326" s="3">
        <f t="shared" si="135"/>
        <v>281889.41879600001</v>
      </c>
    </row>
    <row r="4327" spans="1:7" x14ac:dyDescent="0.3">
      <c r="A4327" t="s">
        <v>13039</v>
      </c>
      <c r="B4327" t="s">
        <v>8683</v>
      </c>
      <c r="C4327" t="s">
        <v>8684</v>
      </c>
      <c r="D4327" s="1" t="s">
        <v>38</v>
      </c>
      <c r="E4327" s="3">
        <v>6852.63</v>
      </c>
      <c r="F4327" s="3">
        <f t="shared" si="134"/>
        <v>1731.6596010000003</v>
      </c>
      <c r="G4327" s="3">
        <f t="shared" si="135"/>
        <v>8584.2896010000004</v>
      </c>
    </row>
    <row r="4328" spans="1:7" x14ac:dyDescent="0.3">
      <c r="A4328" t="s">
        <v>13039</v>
      </c>
      <c r="B4328" t="s">
        <v>8685</v>
      </c>
      <c r="C4328" t="s">
        <v>8686</v>
      </c>
      <c r="D4328" s="1" t="s">
        <v>195</v>
      </c>
      <c r="E4328" s="3">
        <v>25.37</v>
      </c>
      <c r="F4328" s="3">
        <f t="shared" si="134"/>
        <v>6.4109990000000012</v>
      </c>
      <c r="G4328" s="3">
        <f t="shared" si="135"/>
        <v>31.780999000000001</v>
      </c>
    </row>
    <row r="4329" spans="1:7" x14ac:dyDescent="0.3">
      <c r="A4329" t="s">
        <v>13039</v>
      </c>
      <c r="B4329" t="s">
        <v>8687</v>
      </c>
      <c r="C4329" t="s">
        <v>8688</v>
      </c>
      <c r="D4329" s="1" t="s">
        <v>38</v>
      </c>
      <c r="E4329" s="3">
        <v>15218.94</v>
      </c>
      <c r="F4329" s="3">
        <f t="shared" si="134"/>
        <v>3845.8261380000008</v>
      </c>
      <c r="G4329" s="3">
        <f t="shared" si="135"/>
        <v>19064.766138000003</v>
      </c>
    </row>
    <row r="4330" spans="1:7" x14ac:dyDescent="0.3">
      <c r="A4330" t="s">
        <v>13039</v>
      </c>
      <c r="B4330" t="s">
        <v>8689</v>
      </c>
      <c r="C4330" t="s">
        <v>8690</v>
      </c>
      <c r="D4330" s="1" t="s">
        <v>38</v>
      </c>
      <c r="E4330" s="3">
        <v>418.42</v>
      </c>
      <c r="F4330" s="3">
        <f t="shared" si="134"/>
        <v>105.73473400000002</v>
      </c>
      <c r="G4330" s="3">
        <f t="shared" si="135"/>
        <v>524.15473400000008</v>
      </c>
    </row>
    <row r="4331" spans="1:7" x14ac:dyDescent="0.3">
      <c r="A4331" t="s">
        <v>13039</v>
      </c>
      <c r="B4331" t="s">
        <v>8691</v>
      </c>
      <c r="C4331" t="s">
        <v>8692</v>
      </c>
      <c r="D4331" s="1" t="s">
        <v>38</v>
      </c>
      <c r="E4331" s="3">
        <v>503.87</v>
      </c>
      <c r="F4331" s="3">
        <f t="shared" si="134"/>
        <v>127.32794900000002</v>
      </c>
      <c r="G4331" s="3">
        <f t="shared" si="135"/>
        <v>631.19794899999999</v>
      </c>
    </row>
    <row r="4332" spans="1:7" x14ac:dyDescent="0.3">
      <c r="A4332" t="s">
        <v>13039</v>
      </c>
      <c r="B4332" t="s">
        <v>8693</v>
      </c>
      <c r="C4332" t="s">
        <v>8694</v>
      </c>
      <c r="D4332" s="1" t="s">
        <v>195</v>
      </c>
      <c r="E4332" s="3">
        <v>299.42</v>
      </c>
      <c r="F4332" s="3">
        <f t="shared" si="134"/>
        <v>75.663434000000009</v>
      </c>
      <c r="G4332" s="3">
        <f t="shared" si="135"/>
        <v>375.08343400000001</v>
      </c>
    </row>
    <row r="4333" spans="1:7" x14ac:dyDescent="0.3">
      <c r="A4333" t="s">
        <v>13039</v>
      </c>
      <c r="B4333" t="s">
        <v>8695</v>
      </c>
      <c r="C4333" t="s">
        <v>8696</v>
      </c>
      <c r="D4333" s="1" t="s">
        <v>195</v>
      </c>
      <c r="E4333" s="3">
        <v>303.58999999999997</v>
      </c>
      <c r="F4333" s="3">
        <f t="shared" si="134"/>
        <v>76.717193000000009</v>
      </c>
      <c r="G4333" s="3">
        <f t="shared" si="135"/>
        <v>380.30719299999998</v>
      </c>
    </row>
    <row r="4334" spans="1:7" x14ac:dyDescent="0.3">
      <c r="A4334" t="s">
        <v>13039</v>
      </c>
      <c r="B4334" t="s">
        <v>8697</v>
      </c>
      <c r="C4334" t="s">
        <v>8698</v>
      </c>
      <c r="D4334" s="1" t="s">
        <v>195</v>
      </c>
      <c r="E4334" s="3">
        <v>320.89</v>
      </c>
      <c r="F4334" s="3">
        <f t="shared" si="134"/>
        <v>81.088903000000002</v>
      </c>
      <c r="G4334" s="3">
        <f t="shared" si="135"/>
        <v>401.978903</v>
      </c>
    </row>
    <row r="4335" spans="1:7" x14ac:dyDescent="0.3">
      <c r="A4335" t="s">
        <v>13039</v>
      </c>
      <c r="B4335" t="s">
        <v>8699</v>
      </c>
      <c r="C4335" t="s">
        <v>8700</v>
      </c>
      <c r="D4335" s="1" t="s">
        <v>195</v>
      </c>
      <c r="E4335" s="3">
        <v>322.16000000000003</v>
      </c>
      <c r="F4335" s="3">
        <f t="shared" si="134"/>
        <v>81.409832000000023</v>
      </c>
      <c r="G4335" s="3">
        <f t="shared" si="135"/>
        <v>403.56983200000002</v>
      </c>
    </row>
    <row r="4336" spans="1:7" x14ac:dyDescent="0.3">
      <c r="A4336" t="s">
        <v>13039</v>
      </c>
      <c r="B4336" t="s">
        <v>8701</v>
      </c>
      <c r="C4336" t="s">
        <v>8702</v>
      </c>
      <c r="D4336" s="1" t="s">
        <v>195</v>
      </c>
      <c r="E4336" s="3">
        <v>278.18</v>
      </c>
      <c r="F4336" s="3">
        <f t="shared" si="134"/>
        <v>70.296086000000017</v>
      </c>
      <c r="G4336" s="3">
        <f t="shared" si="135"/>
        <v>348.47608600000001</v>
      </c>
    </row>
    <row r="4337" spans="1:7" x14ac:dyDescent="0.3">
      <c r="A4337" t="s">
        <v>13039</v>
      </c>
      <c r="B4337" t="s">
        <v>8703</v>
      </c>
      <c r="C4337" t="s">
        <v>8704</v>
      </c>
      <c r="D4337" s="1" t="s">
        <v>195</v>
      </c>
      <c r="E4337" s="3">
        <v>276.95</v>
      </c>
      <c r="F4337" s="3">
        <f t="shared" si="134"/>
        <v>69.985265000000012</v>
      </c>
      <c r="G4337" s="3">
        <f t="shared" si="135"/>
        <v>346.93526500000002</v>
      </c>
    </row>
    <row r="4338" spans="1:7" x14ac:dyDescent="0.3">
      <c r="A4338" t="s">
        <v>13039</v>
      </c>
      <c r="B4338" t="s">
        <v>8705</v>
      </c>
      <c r="C4338" t="s">
        <v>8706</v>
      </c>
      <c r="D4338" s="1" t="s">
        <v>195</v>
      </c>
      <c r="E4338" s="3">
        <v>292.01</v>
      </c>
      <c r="F4338" s="3">
        <f t="shared" si="134"/>
        <v>73.790927000000011</v>
      </c>
      <c r="G4338" s="3">
        <f t="shared" si="135"/>
        <v>365.800927</v>
      </c>
    </row>
    <row r="4339" spans="1:7" x14ac:dyDescent="0.3">
      <c r="A4339" t="s">
        <v>13039</v>
      </c>
      <c r="B4339" t="s">
        <v>8707</v>
      </c>
      <c r="C4339" t="s">
        <v>8708</v>
      </c>
      <c r="D4339" s="1" t="s">
        <v>195</v>
      </c>
      <c r="E4339" s="3">
        <v>286.23</v>
      </c>
      <c r="F4339" s="3">
        <f t="shared" si="134"/>
        <v>72.330321000000012</v>
      </c>
      <c r="G4339" s="3">
        <f t="shared" si="135"/>
        <v>358.56032100000004</v>
      </c>
    </row>
    <row r="4340" spans="1:7" x14ac:dyDescent="0.3">
      <c r="A4340" t="s">
        <v>13039</v>
      </c>
      <c r="B4340" t="s">
        <v>8709</v>
      </c>
      <c r="C4340" t="s">
        <v>8710</v>
      </c>
      <c r="D4340" s="1" t="s">
        <v>38</v>
      </c>
      <c r="E4340" s="3">
        <v>67.37</v>
      </c>
      <c r="F4340" s="3">
        <f t="shared" si="134"/>
        <v>17.024399000000003</v>
      </c>
      <c r="G4340" s="3">
        <f t="shared" si="135"/>
        <v>84.394399000000007</v>
      </c>
    </row>
    <row r="4341" spans="1:7" x14ac:dyDescent="0.3">
      <c r="A4341" t="s">
        <v>13039</v>
      </c>
      <c r="B4341" t="s">
        <v>8711</v>
      </c>
      <c r="C4341" t="s">
        <v>8712</v>
      </c>
      <c r="D4341" s="1" t="s">
        <v>2904</v>
      </c>
      <c r="E4341" s="3">
        <v>23.69</v>
      </c>
      <c r="F4341" s="3">
        <f t="shared" si="134"/>
        <v>5.9864630000000014</v>
      </c>
      <c r="G4341" s="3">
        <f t="shared" si="135"/>
        <v>29.676463000000002</v>
      </c>
    </row>
    <row r="4342" spans="1:7" x14ac:dyDescent="0.3">
      <c r="A4342" t="s">
        <v>13039</v>
      </c>
      <c r="B4342" t="s">
        <v>8713</v>
      </c>
      <c r="C4342" t="s">
        <v>8714</v>
      </c>
      <c r="D4342" s="1" t="s">
        <v>38</v>
      </c>
      <c r="E4342" s="3">
        <v>10.68</v>
      </c>
      <c r="F4342" s="3">
        <f t="shared" si="134"/>
        <v>2.6988360000000005</v>
      </c>
      <c r="G4342" s="3">
        <f t="shared" si="135"/>
        <v>13.378836</v>
      </c>
    </row>
    <row r="4343" spans="1:7" x14ac:dyDescent="0.3">
      <c r="A4343" t="s">
        <v>13039</v>
      </c>
      <c r="B4343" t="s">
        <v>8715</v>
      </c>
      <c r="C4343" t="s">
        <v>8716</v>
      </c>
      <c r="D4343" s="1" t="s">
        <v>38</v>
      </c>
      <c r="E4343" s="3">
        <v>13.2</v>
      </c>
      <c r="F4343" s="3">
        <f t="shared" si="134"/>
        <v>3.3356400000000002</v>
      </c>
      <c r="G4343" s="3">
        <f t="shared" si="135"/>
        <v>16.535640000000001</v>
      </c>
    </row>
    <row r="4344" spans="1:7" x14ac:dyDescent="0.3">
      <c r="A4344" t="s">
        <v>13039</v>
      </c>
      <c r="B4344" t="s">
        <v>8717</v>
      </c>
      <c r="C4344" t="s">
        <v>8718</v>
      </c>
      <c r="D4344" s="1" t="s">
        <v>38</v>
      </c>
      <c r="E4344" s="3">
        <v>17.09</v>
      </c>
      <c r="F4344" s="3">
        <f t="shared" si="134"/>
        <v>4.3186430000000007</v>
      </c>
      <c r="G4344" s="3">
        <f t="shared" si="135"/>
        <v>21.408643000000001</v>
      </c>
    </row>
    <row r="4345" spans="1:7" x14ac:dyDescent="0.3">
      <c r="A4345" t="s">
        <v>13039</v>
      </c>
      <c r="B4345" t="s">
        <v>8719</v>
      </c>
      <c r="C4345" t="s">
        <v>8720</v>
      </c>
      <c r="D4345" s="1" t="s">
        <v>38</v>
      </c>
      <c r="E4345" s="3">
        <v>3.13</v>
      </c>
      <c r="F4345" s="3">
        <f t="shared" si="134"/>
        <v>0.79095100000000007</v>
      </c>
      <c r="G4345" s="3">
        <f t="shared" si="135"/>
        <v>3.9209510000000001</v>
      </c>
    </row>
    <row r="4346" spans="1:7" x14ac:dyDescent="0.3">
      <c r="A4346" t="s">
        <v>13039</v>
      </c>
      <c r="B4346" t="s">
        <v>8721</v>
      </c>
      <c r="C4346" t="s">
        <v>8722</v>
      </c>
      <c r="D4346" s="1" t="s">
        <v>38</v>
      </c>
      <c r="E4346" s="3">
        <v>4.18</v>
      </c>
      <c r="F4346" s="3">
        <f t="shared" si="134"/>
        <v>1.0562860000000001</v>
      </c>
      <c r="G4346" s="3">
        <f t="shared" si="135"/>
        <v>5.2362859999999998</v>
      </c>
    </row>
    <row r="4347" spans="1:7" x14ac:dyDescent="0.3">
      <c r="A4347" t="s">
        <v>13039</v>
      </c>
      <c r="B4347" t="s">
        <v>8723</v>
      </c>
      <c r="C4347" t="s">
        <v>8724</v>
      </c>
      <c r="D4347" s="1" t="s">
        <v>195</v>
      </c>
      <c r="E4347" s="3">
        <v>8.7899999999999991</v>
      </c>
      <c r="F4347" s="3">
        <f t="shared" si="134"/>
        <v>2.2212330000000002</v>
      </c>
      <c r="G4347" s="3">
        <f t="shared" si="135"/>
        <v>11.011232999999999</v>
      </c>
    </row>
    <row r="4348" spans="1:7" x14ac:dyDescent="0.3">
      <c r="A4348" t="s">
        <v>13039</v>
      </c>
      <c r="B4348" t="s">
        <v>8725</v>
      </c>
      <c r="C4348" t="s">
        <v>8726</v>
      </c>
      <c r="D4348" s="1" t="s">
        <v>195</v>
      </c>
      <c r="E4348" s="3">
        <v>12.62</v>
      </c>
      <c r="F4348" s="3">
        <f t="shared" si="134"/>
        <v>3.1890740000000002</v>
      </c>
      <c r="G4348" s="3">
        <f t="shared" si="135"/>
        <v>15.809073999999999</v>
      </c>
    </row>
    <row r="4349" spans="1:7" x14ac:dyDescent="0.3">
      <c r="A4349" t="s">
        <v>13039</v>
      </c>
      <c r="B4349" t="s">
        <v>8727</v>
      </c>
      <c r="C4349" t="s">
        <v>8728</v>
      </c>
      <c r="D4349" s="1" t="s">
        <v>195</v>
      </c>
      <c r="E4349" s="3">
        <v>5.16</v>
      </c>
      <c r="F4349" s="3">
        <f t="shared" si="134"/>
        <v>1.3039320000000003</v>
      </c>
      <c r="G4349" s="3">
        <f t="shared" si="135"/>
        <v>6.4639320000000007</v>
      </c>
    </row>
    <row r="4350" spans="1:7" x14ac:dyDescent="0.3">
      <c r="A4350" t="s">
        <v>13039</v>
      </c>
      <c r="B4350" t="s">
        <v>8729</v>
      </c>
      <c r="C4350" t="s">
        <v>8730</v>
      </c>
      <c r="D4350" s="1" t="s">
        <v>195</v>
      </c>
      <c r="E4350" s="3">
        <v>6.75</v>
      </c>
      <c r="F4350" s="3">
        <f t="shared" si="134"/>
        <v>1.7057250000000002</v>
      </c>
      <c r="G4350" s="3">
        <f t="shared" si="135"/>
        <v>8.455725000000001</v>
      </c>
    </row>
    <row r="4351" spans="1:7" x14ac:dyDescent="0.3">
      <c r="A4351" t="s">
        <v>13039</v>
      </c>
      <c r="B4351" t="s">
        <v>8731</v>
      </c>
      <c r="C4351" t="s">
        <v>8732</v>
      </c>
      <c r="D4351" s="1" t="s">
        <v>427</v>
      </c>
      <c r="E4351" s="3">
        <v>698.26</v>
      </c>
      <c r="F4351" s="3">
        <f t="shared" si="134"/>
        <v>176.45030200000002</v>
      </c>
      <c r="G4351" s="3">
        <f t="shared" si="135"/>
        <v>874.71030199999996</v>
      </c>
    </row>
    <row r="4352" spans="1:7" x14ac:dyDescent="0.3">
      <c r="A4352" t="s">
        <v>13039</v>
      </c>
      <c r="B4352" t="s">
        <v>8733</v>
      </c>
      <c r="C4352" t="s">
        <v>8734</v>
      </c>
      <c r="D4352" s="1" t="s">
        <v>38</v>
      </c>
      <c r="E4352" s="3">
        <v>83.16</v>
      </c>
      <c r="F4352" s="3">
        <f t="shared" si="134"/>
        <v>21.014532000000003</v>
      </c>
      <c r="G4352" s="3">
        <f t="shared" si="135"/>
        <v>104.174532</v>
      </c>
    </row>
    <row r="4353" spans="1:7" x14ac:dyDescent="0.3">
      <c r="A4353" t="s">
        <v>13039</v>
      </c>
      <c r="B4353" t="s">
        <v>8735</v>
      </c>
      <c r="C4353" t="s">
        <v>8736</v>
      </c>
      <c r="D4353" s="1" t="s">
        <v>38</v>
      </c>
      <c r="E4353" s="3">
        <v>111.93</v>
      </c>
      <c r="F4353" s="3">
        <f t="shared" si="134"/>
        <v>28.284711000000005</v>
      </c>
      <c r="G4353" s="3">
        <f t="shared" si="135"/>
        <v>140.21471100000002</v>
      </c>
    </row>
    <row r="4354" spans="1:7" x14ac:dyDescent="0.3">
      <c r="A4354" t="s">
        <v>13039</v>
      </c>
      <c r="B4354" t="s">
        <v>8737</v>
      </c>
      <c r="C4354" t="s">
        <v>8738</v>
      </c>
      <c r="D4354" s="1" t="s">
        <v>38</v>
      </c>
      <c r="E4354" s="3">
        <v>93.74</v>
      </c>
      <c r="F4354" s="3">
        <f t="shared" si="134"/>
        <v>23.688098000000004</v>
      </c>
      <c r="G4354" s="3">
        <f t="shared" si="135"/>
        <v>117.42809800000001</v>
      </c>
    </row>
    <row r="4355" spans="1:7" x14ac:dyDescent="0.3">
      <c r="A4355" t="s">
        <v>13039</v>
      </c>
      <c r="B4355" t="s">
        <v>8739</v>
      </c>
      <c r="C4355" t="s">
        <v>8740</v>
      </c>
      <c r="D4355" s="1" t="s">
        <v>38</v>
      </c>
      <c r="E4355" s="3">
        <v>110.67</v>
      </c>
      <c r="F4355" s="3">
        <f t="shared" si="134"/>
        <v>27.966309000000006</v>
      </c>
      <c r="G4355" s="3">
        <f t="shared" si="135"/>
        <v>138.63630900000001</v>
      </c>
    </row>
    <row r="4356" spans="1:7" x14ac:dyDescent="0.3">
      <c r="A4356" t="s">
        <v>13039</v>
      </c>
      <c r="B4356" t="s">
        <v>8741</v>
      </c>
      <c r="C4356" t="s">
        <v>8742</v>
      </c>
      <c r="D4356" s="1" t="s">
        <v>195</v>
      </c>
      <c r="E4356" s="3">
        <v>168.45</v>
      </c>
      <c r="F4356" s="3">
        <f t="shared" si="134"/>
        <v>42.567315000000001</v>
      </c>
      <c r="G4356" s="3">
        <f t="shared" si="135"/>
        <v>211.017315</v>
      </c>
    </row>
    <row r="4357" spans="1:7" x14ac:dyDescent="0.3">
      <c r="A4357" t="s">
        <v>13039</v>
      </c>
      <c r="B4357" t="s">
        <v>8743</v>
      </c>
      <c r="C4357" t="s">
        <v>8744</v>
      </c>
      <c r="D4357" s="1" t="s">
        <v>38</v>
      </c>
      <c r="E4357" s="3">
        <v>161724.25</v>
      </c>
      <c r="F4357" s="3">
        <f t="shared" si="134"/>
        <v>40867.717975000007</v>
      </c>
      <c r="G4357" s="3">
        <f t="shared" si="135"/>
        <v>202591.96797500001</v>
      </c>
    </row>
    <row r="4358" spans="1:7" x14ac:dyDescent="0.3">
      <c r="A4358" t="s">
        <v>13039</v>
      </c>
      <c r="B4358" t="s">
        <v>8745</v>
      </c>
      <c r="C4358" t="s">
        <v>8746</v>
      </c>
      <c r="D4358" s="1" t="s">
        <v>38</v>
      </c>
      <c r="E4358" s="3">
        <v>229621.87</v>
      </c>
      <c r="F4358" s="3">
        <f t="shared" si="134"/>
        <v>58025.446549000008</v>
      </c>
      <c r="G4358" s="3">
        <f t="shared" si="135"/>
        <v>287647.31654899998</v>
      </c>
    </row>
    <row r="4359" spans="1:7" x14ac:dyDescent="0.3">
      <c r="A4359" t="s">
        <v>13039</v>
      </c>
      <c r="B4359" t="s">
        <v>8747</v>
      </c>
      <c r="C4359" t="s">
        <v>8748</v>
      </c>
      <c r="D4359" s="1" t="s">
        <v>38</v>
      </c>
      <c r="E4359" s="3">
        <v>287808.49</v>
      </c>
      <c r="F4359" s="3">
        <f t="shared" ref="F4359:F4422" si="136">+E4359*$F$4</f>
        <v>72729.205423000007</v>
      </c>
      <c r="G4359" s="3">
        <f t="shared" ref="G4359:G4422" si="137">+E4359+F4359</f>
        <v>360537.69542300003</v>
      </c>
    </row>
    <row r="4360" spans="1:7" x14ac:dyDescent="0.3">
      <c r="A4360" t="s">
        <v>13039</v>
      </c>
      <c r="B4360" t="s">
        <v>8749</v>
      </c>
      <c r="C4360" t="s">
        <v>8750</v>
      </c>
      <c r="D4360" s="1" t="s">
        <v>38</v>
      </c>
      <c r="E4360" s="3">
        <v>385348.83</v>
      </c>
      <c r="F4360" s="3">
        <f t="shared" si="136"/>
        <v>97377.649341000011</v>
      </c>
      <c r="G4360" s="3">
        <f t="shared" si="137"/>
        <v>482726.47934100003</v>
      </c>
    </row>
    <row r="4361" spans="1:7" x14ac:dyDescent="0.3">
      <c r="A4361" t="s">
        <v>13039</v>
      </c>
      <c r="B4361" t="s">
        <v>8751</v>
      </c>
      <c r="C4361" t="s">
        <v>8752</v>
      </c>
      <c r="D4361" s="1" t="s">
        <v>38</v>
      </c>
      <c r="E4361" s="3">
        <v>443506.4</v>
      </c>
      <c r="F4361" s="3">
        <f t="shared" si="136"/>
        <v>112074.06728000002</v>
      </c>
      <c r="G4361" s="3">
        <f t="shared" si="137"/>
        <v>555580.46727999998</v>
      </c>
    </row>
    <row r="4362" spans="1:7" x14ac:dyDescent="0.3">
      <c r="A4362" t="s">
        <v>13039</v>
      </c>
      <c r="B4362" t="s">
        <v>8753</v>
      </c>
      <c r="C4362" t="s">
        <v>8754</v>
      </c>
      <c r="D4362" s="1" t="s">
        <v>38</v>
      </c>
      <c r="E4362" s="3">
        <v>11801.09</v>
      </c>
      <c r="F4362" s="3">
        <f t="shared" si="136"/>
        <v>2982.1354430000006</v>
      </c>
      <c r="G4362" s="3">
        <f t="shared" si="137"/>
        <v>14783.225443000001</v>
      </c>
    </row>
    <row r="4363" spans="1:7" x14ac:dyDescent="0.3">
      <c r="A4363" t="s">
        <v>13039</v>
      </c>
      <c r="B4363" t="s">
        <v>8755</v>
      </c>
      <c r="C4363" t="s">
        <v>8756</v>
      </c>
      <c r="D4363" s="1" t="s">
        <v>6421</v>
      </c>
      <c r="E4363" s="3">
        <v>129.9</v>
      </c>
      <c r="F4363" s="3">
        <f t="shared" si="136"/>
        <v>32.825730000000007</v>
      </c>
      <c r="G4363" s="3">
        <f t="shared" si="137"/>
        <v>162.72573</v>
      </c>
    </row>
    <row r="4364" spans="1:7" x14ac:dyDescent="0.3">
      <c r="A4364" t="s">
        <v>13039</v>
      </c>
      <c r="B4364" t="s">
        <v>8757</v>
      </c>
      <c r="C4364" t="s">
        <v>8758</v>
      </c>
      <c r="D4364" s="1" t="s">
        <v>195</v>
      </c>
      <c r="E4364" s="3">
        <v>99.4</v>
      </c>
      <c r="F4364" s="3">
        <f t="shared" si="136"/>
        <v>25.118380000000005</v>
      </c>
      <c r="G4364" s="3">
        <f t="shared" si="137"/>
        <v>124.51838000000001</v>
      </c>
    </row>
    <row r="4365" spans="1:7" x14ac:dyDescent="0.3">
      <c r="A4365" t="s">
        <v>13039</v>
      </c>
      <c r="B4365" t="s">
        <v>8759</v>
      </c>
      <c r="C4365" t="s">
        <v>8760</v>
      </c>
      <c r="D4365" s="1" t="s">
        <v>195</v>
      </c>
      <c r="E4365" s="3">
        <v>89.89</v>
      </c>
      <c r="F4365" s="3">
        <f t="shared" si="136"/>
        <v>22.715203000000002</v>
      </c>
      <c r="G4365" s="3">
        <f t="shared" si="137"/>
        <v>112.605203</v>
      </c>
    </row>
    <row r="4366" spans="1:7" x14ac:dyDescent="0.3">
      <c r="A4366" t="s">
        <v>13039</v>
      </c>
      <c r="B4366" t="s">
        <v>8761</v>
      </c>
      <c r="C4366" t="s">
        <v>8762</v>
      </c>
      <c r="D4366" s="1" t="s">
        <v>195</v>
      </c>
      <c r="E4366" s="3">
        <v>741.53</v>
      </c>
      <c r="F4366" s="3">
        <f t="shared" si="136"/>
        <v>187.38463100000001</v>
      </c>
      <c r="G4366" s="3">
        <f t="shared" si="137"/>
        <v>928.91463099999999</v>
      </c>
    </row>
    <row r="4367" spans="1:7" x14ac:dyDescent="0.3">
      <c r="A4367" t="s">
        <v>13039</v>
      </c>
      <c r="B4367" t="s">
        <v>8763</v>
      </c>
      <c r="C4367" t="s">
        <v>8764</v>
      </c>
      <c r="D4367" s="1" t="s">
        <v>427</v>
      </c>
      <c r="E4367" s="3">
        <v>910.23</v>
      </c>
      <c r="F4367" s="3">
        <f t="shared" si="136"/>
        <v>230.01512100000005</v>
      </c>
      <c r="G4367" s="3">
        <f t="shared" si="137"/>
        <v>1140.2451210000002</v>
      </c>
    </row>
    <row r="4368" spans="1:7" x14ac:dyDescent="0.3">
      <c r="A4368" t="s">
        <v>13039</v>
      </c>
      <c r="B4368" t="s">
        <v>8765</v>
      </c>
      <c r="C4368" t="s">
        <v>8766</v>
      </c>
      <c r="D4368" s="1" t="s">
        <v>8767</v>
      </c>
      <c r="E4368" s="3">
        <v>63.18</v>
      </c>
      <c r="F4368" s="3">
        <f t="shared" si="136"/>
        <v>15.965586000000002</v>
      </c>
      <c r="G4368" s="3">
        <f t="shared" si="137"/>
        <v>79.145586000000009</v>
      </c>
    </row>
    <row r="4369" spans="1:7" x14ac:dyDescent="0.3">
      <c r="A4369" t="s">
        <v>13039</v>
      </c>
      <c r="B4369" t="s">
        <v>8768</v>
      </c>
      <c r="C4369" t="s">
        <v>8769</v>
      </c>
      <c r="D4369" s="1" t="s">
        <v>38</v>
      </c>
      <c r="E4369" s="3">
        <v>14079.82</v>
      </c>
      <c r="F4369" s="3">
        <f t="shared" si="136"/>
        <v>3557.9705140000005</v>
      </c>
      <c r="G4369" s="3">
        <f t="shared" si="137"/>
        <v>17637.790514</v>
      </c>
    </row>
    <row r="4370" spans="1:7" x14ac:dyDescent="0.3">
      <c r="A4370" t="s">
        <v>13039</v>
      </c>
      <c r="B4370" t="s">
        <v>8770</v>
      </c>
      <c r="C4370" t="s">
        <v>8771</v>
      </c>
      <c r="D4370" s="1" t="s">
        <v>38</v>
      </c>
      <c r="E4370" s="3">
        <v>9595.52</v>
      </c>
      <c r="F4370" s="3">
        <f t="shared" si="136"/>
        <v>2424.7879040000003</v>
      </c>
      <c r="G4370" s="3">
        <f t="shared" si="137"/>
        <v>12020.307904000001</v>
      </c>
    </row>
    <row r="4371" spans="1:7" x14ac:dyDescent="0.3">
      <c r="A4371" t="s">
        <v>13039</v>
      </c>
      <c r="B4371" t="s">
        <v>8772</v>
      </c>
      <c r="C4371" t="s">
        <v>8773</v>
      </c>
      <c r="D4371" s="1" t="s">
        <v>38</v>
      </c>
      <c r="E4371" s="3">
        <v>4651.8599999999997</v>
      </c>
      <c r="F4371" s="3">
        <f t="shared" si="136"/>
        <v>1175.525022</v>
      </c>
      <c r="G4371" s="3">
        <f t="shared" si="137"/>
        <v>5827.3850219999995</v>
      </c>
    </row>
    <row r="4372" spans="1:7" x14ac:dyDescent="0.3">
      <c r="A4372" t="s">
        <v>13039</v>
      </c>
      <c r="B4372" t="s">
        <v>8774</v>
      </c>
      <c r="C4372" t="s">
        <v>8775</v>
      </c>
      <c r="D4372" s="1" t="s">
        <v>38</v>
      </c>
      <c r="E4372" s="3">
        <v>8635.99</v>
      </c>
      <c r="F4372" s="3">
        <f t="shared" si="136"/>
        <v>2182.3146730000003</v>
      </c>
      <c r="G4372" s="3">
        <f t="shared" si="137"/>
        <v>10818.304673000001</v>
      </c>
    </row>
    <row r="4373" spans="1:7" x14ac:dyDescent="0.3">
      <c r="A4373" t="s">
        <v>13039</v>
      </c>
      <c r="B4373" t="s">
        <v>8776</v>
      </c>
      <c r="C4373" t="s">
        <v>8777</v>
      </c>
      <c r="D4373" s="1" t="s">
        <v>38</v>
      </c>
      <c r="E4373" s="3">
        <v>3562.54</v>
      </c>
      <c r="F4373" s="3">
        <f t="shared" si="136"/>
        <v>900.25385800000015</v>
      </c>
      <c r="G4373" s="3">
        <f t="shared" si="137"/>
        <v>4462.793858</v>
      </c>
    </row>
    <row r="4374" spans="1:7" x14ac:dyDescent="0.3">
      <c r="A4374" t="s">
        <v>13039</v>
      </c>
      <c r="B4374" t="s">
        <v>8778</v>
      </c>
      <c r="C4374" t="s">
        <v>8779</v>
      </c>
      <c r="D4374" s="1" t="s">
        <v>38</v>
      </c>
      <c r="E4374" s="3">
        <v>5931.95</v>
      </c>
      <c r="F4374" s="3">
        <f t="shared" si="136"/>
        <v>1499.0037650000002</v>
      </c>
      <c r="G4374" s="3">
        <f t="shared" si="137"/>
        <v>7430.9537650000002</v>
      </c>
    </row>
    <row r="4375" spans="1:7" x14ac:dyDescent="0.3">
      <c r="A4375" t="s">
        <v>13039</v>
      </c>
      <c r="B4375" t="s">
        <v>8780</v>
      </c>
      <c r="C4375" t="s">
        <v>8781</v>
      </c>
      <c r="D4375" s="1" t="s">
        <v>38</v>
      </c>
      <c r="E4375" s="3">
        <v>4070.39</v>
      </c>
      <c r="F4375" s="3">
        <f t="shared" si="136"/>
        <v>1028.5875530000001</v>
      </c>
      <c r="G4375" s="3">
        <f t="shared" si="137"/>
        <v>5098.9775529999997</v>
      </c>
    </row>
    <row r="4376" spans="1:7" x14ac:dyDescent="0.3">
      <c r="A4376" t="s">
        <v>13039</v>
      </c>
      <c r="B4376" t="s">
        <v>8782</v>
      </c>
      <c r="C4376" t="s">
        <v>8783</v>
      </c>
      <c r="D4376" s="1" t="s">
        <v>38</v>
      </c>
      <c r="E4376" s="3">
        <v>151.63999999999999</v>
      </c>
      <c r="F4376" s="3">
        <f t="shared" si="136"/>
        <v>38.319428000000002</v>
      </c>
      <c r="G4376" s="3">
        <f t="shared" si="137"/>
        <v>189.959428</v>
      </c>
    </row>
    <row r="4377" spans="1:7" x14ac:dyDescent="0.3">
      <c r="A4377" t="s">
        <v>13039</v>
      </c>
      <c r="B4377" t="s">
        <v>8784</v>
      </c>
      <c r="C4377" t="s">
        <v>8785</v>
      </c>
      <c r="D4377" s="1" t="s">
        <v>427</v>
      </c>
      <c r="E4377" s="3">
        <v>140.80000000000001</v>
      </c>
      <c r="F4377" s="3">
        <f t="shared" si="136"/>
        <v>35.580160000000006</v>
      </c>
      <c r="G4377" s="3">
        <f t="shared" si="137"/>
        <v>176.38016000000002</v>
      </c>
    </row>
    <row r="4378" spans="1:7" x14ac:dyDescent="0.3">
      <c r="A4378" t="s">
        <v>13039</v>
      </c>
      <c r="B4378" t="s">
        <v>8786</v>
      </c>
      <c r="C4378" t="s">
        <v>8787</v>
      </c>
      <c r="D4378" s="1" t="s">
        <v>195</v>
      </c>
      <c r="E4378" s="3">
        <v>6.62</v>
      </c>
      <c r="F4378" s="3">
        <f t="shared" si="136"/>
        <v>1.6728740000000002</v>
      </c>
      <c r="G4378" s="3">
        <f t="shared" si="137"/>
        <v>8.2928740000000012</v>
      </c>
    </row>
    <row r="4379" spans="1:7" x14ac:dyDescent="0.3">
      <c r="A4379" t="s">
        <v>13039</v>
      </c>
      <c r="B4379" t="s">
        <v>8788</v>
      </c>
      <c r="C4379" t="s">
        <v>8789</v>
      </c>
      <c r="D4379" s="1" t="s">
        <v>2904</v>
      </c>
      <c r="E4379" s="3">
        <v>9.18</v>
      </c>
      <c r="F4379" s="3">
        <f t="shared" si="136"/>
        <v>2.3197860000000001</v>
      </c>
      <c r="G4379" s="3">
        <f t="shared" si="137"/>
        <v>11.499786</v>
      </c>
    </row>
    <row r="4380" spans="1:7" x14ac:dyDescent="0.3">
      <c r="A4380" t="s">
        <v>13039</v>
      </c>
      <c r="B4380" t="s">
        <v>8790</v>
      </c>
      <c r="C4380" t="s">
        <v>8791</v>
      </c>
      <c r="D4380" s="1" t="s">
        <v>2904</v>
      </c>
      <c r="E4380" s="3">
        <v>2.65</v>
      </c>
      <c r="F4380" s="3">
        <f t="shared" si="136"/>
        <v>0.66965500000000011</v>
      </c>
      <c r="G4380" s="3">
        <f t="shared" si="137"/>
        <v>3.319655</v>
      </c>
    </row>
    <row r="4381" spans="1:7" x14ac:dyDescent="0.3">
      <c r="A4381" t="s">
        <v>13039</v>
      </c>
      <c r="B4381" t="s">
        <v>8792</v>
      </c>
      <c r="C4381" t="s">
        <v>8793</v>
      </c>
      <c r="D4381" s="1" t="s">
        <v>195</v>
      </c>
      <c r="E4381" s="3">
        <v>182.02</v>
      </c>
      <c r="F4381" s="3">
        <f t="shared" si="136"/>
        <v>45.996454000000007</v>
      </c>
      <c r="G4381" s="3">
        <f t="shared" si="137"/>
        <v>228.01645400000001</v>
      </c>
    </row>
    <row r="4382" spans="1:7" x14ac:dyDescent="0.3">
      <c r="A4382" t="s">
        <v>13039</v>
      </c>
      <c r="B4382" t="s">
        <v>8794</v>
      </c>
      <c r="C4382" t="s">
        <v>8795</v>
      </c>
      <c r="D4382" s="1" t="s">
        <v>2904</v>
      </c>
      <c r="E4382" s="3">
        <v>4.34</v>
      </c>
      <c r="F4382" s="3">
        <f t="shared" si="136"/>
        <v>1.0967180000000001</v>
      </c>
      <c r="G4382" s="3">
        <f t="shared" si="137"/>
        <v>5.4367179999999999</v>
      </c>
    </row>
    <row r="4383" spans="1:7" x14ac:dyDescent="0.3">
      <c r="A4383" t="s">
        <v>13039</v>
      </c>
      <c r="B4383" t="s">
        <v>8796</v>
      </c>
      <c r="C4383" t="s">
        <v>8797</v>
      </c>
      <c r="D4383" s="1" t="s">
        <v>38</v>
      </c>
      <c r="E4383" s="3">
        <v>5848.66</v>
      </c>
      <c r="F4383" s="3">
        <f t="shared" si="136"/>
        <v>1477.9563820000001</v>
      </c>
      <c r="G4383" s="3">
        <f t="shared" si="137"/>
        <v>7326.6163820000002</v>
      </c>
    </row>
    <row r="4384" spans="1:7" x14ac:dyDescent="0.3">
      <c r="A4384" t="s">
        <v>13039</v>
      </c>
      <c r="B4384" t="s">
        <v>8798</v>
      </c>
      <c r="C4384" t="s">
        <v>8799</v>
      </c>
      <c r="D4384" s="1" t="s">
        <v>38</v>
      </c>
      <c r="E4384" s="3">
        <v>3079.54</v>
      </c>
      <c r="F4384" s="3">
        <f t="shared" si="136"/>
        <v>778.19975800000009</v>
      </c>
      <c r="G4384" s="3">
        <f t="shared" si="137"/>
        <v>3857.7397580000002</v>
      </c>
    </row>
    <row r="4385" spans="1:7" x14ac:dyDescent="0.3">
      <c r="A4385" t="s">
        <v>13039</v>
      </c>
      <c r="B4385" t="s">
        <v>8800</v>
      </c>
      <c r="C4385" t="s">
        <v>8801</v>
      </c>
      <c r="D4385" s="1" t="s">
        <v>427</v>
      </c>
      <c r="E4385" s="3">
        <v>19.350000000000001</v>
      </c>
      <c r="F4385" s="3">
        <f t="shared" si="136"/>
        <v>4.8897450000000013</v>
      </c>
      <c r="G4385" s="3">
        <f t="shared" si="137"/>
        <v>24.239745000000003</v>
      </c>
    </row>
    <row r="4386" spans="1:7" x14ac:dyDescent="0.3">
      <c r="A4386" t="s">
        <v>13039</v>
      </c>
      <c r="B4386" t="s">
        <v>8802</v>
      </c>
      <c r="C4386" t="s">
        <v>8803</v>
      </c>
      <c r="D4386" s="1" t="s">
        <v>427</v>
      </c>
      <c r="E4386" s="3">
        <v>12.11</v>
      </c>
      <c r="F4386" s="3">
        <f t="shared" si="136"/>
        <v>3.0601970000000005</v>
      </c>
      <c r="G4386" s="3">
        <f t="shared" si="137"/>
        <v>15.170197</v>
      </c>
    </row>
    <row r="4387" spans="1:7" x14ac:dyDescent="0.3">
      <c r="A4387" t="s">
        <v>13039</v>
      </c>
      <c r="B4387" t="s">
        <v>8804</v>
      </c>
      <c r="C4387" t="s">
        <v>8805</v>
      </c>
      <c r="D4387" s="1" t="s">
        <v>427</v>
      </c>
      <c r="E4387" s="3">
        <v>44.64</v>
      </c>
      <c r="F4387" s="3">
        <f t="shared" si="136"/>
        <v>11.280528000000002</v>
      </c>
      <c r="G4387" s="3">
        <f t="shared" si="137"/>
        <v>55.920528000000004</v>
      </c>
    </row>
    <row r="4388" spans="1:7" x14ac:dyDescent="0.3">
      <c r="A4388" t="s">
        <v>13039</v>
      </c>
      <c r="B4388" t="s">
        <v>8806</v>
      </c>
      <c r="C4388" t="s">
        <v>8807</v>
      </c>
      <c r="D4388" s="1" t="s">
        <v>427</v>
      </c>
      <c r="E4388" s="3">
        <v>59.61</v>
      </c>
      <c r="F4388" s="3">
        <f t="shared" si="136"/>
        <v>15.063447000000002</v>
      </c>
      <c r="G4388" s="3">
        <f t="shared" si="137"/>
        <v>74.673446999999996</v>
      </c>
    </row>
    <row r="4389" spans="1:7" x14ac:dyDescent="0.3">
      <c r="A4389" t="s">
        <v>13039</v>
      </c>
      <c r="B4389" t="s">
        <v>8808</v>
      </c>
      <c r="C4389" t="s">
        <v>8809</v>
      </c>
      <c r="D4389" s="1" t="s">
        <v>427</v>
      </c>
      <c r="E4389" s="3">
        <v>54.27</v>
      </c>
      <c r="F4389" s="3">
        <f t="shared" si="136"/>
        <v>13.714029000000004</v>
      </c>
      <c r="G4389" s="3">
        <f t="shared" si="137"/>
        <v>67.984029000000007</v>
      </c>
    </row>
    <row r="4390" spans="1:7" x14ac:dyDescent="0.3">
      <c r="A4390" t="s">
        <v>13039</v>
      </c>
      <c r="B4390" t="s">
        <v>8810</v>
      </c>
      <c r="C4390" t="s">
        <v>8811</v>
      </c>
      <c r="D4390" s="1" t="s">
        <v>2904</v>
      </c>
      <c r="E4390" s="3">
        <v>66.31</v>
      </c>
      <c r="F4390" s="3">
        <f t="shared" si="136"/>
        <v>16.756537000000002</v>
      </c>
      <c r="G4390" s="3">
        <f t="shared" si="137"/>
        <v>83.066537000000011</v>
      </c>
    </row>
    <row r="4391" spans="1:7" x14ac:dyDescent="0.3">
      <c r="A4391" t="s">
        <v>13039</v>
      </c>
      <c r="B4391" t="s">
        <v>8812</v>
      </c>
      <c r="C4391" t="s">
        <v>8813</v>
      </c>
      <c r="D4391" s="1" t="s">
        <v>6421</v>
      </c>
      <c r="E4391" s="3">
        <v>1233.1600000000001</v>
      </c>
      <c r="F4391" s="3">
        <f t="shared" si="136"/>
        <v>311.61953200000005</v>
      </c>
      <c r="G4391" s="3">
        <f t="shared" si="137"/>
        <v>1544.779532</v>
      </c>
    </row>
    <row r="4392" spans="1:7" x14ac:dyDescent="0.3">
      <c r="A4392" t="s">
        <v>13039</v>
      </c>
      <c r="B4392" t="s">
        <v>8814</v>
      </c>
      <c r="C4392" t="s">
        <v>8815</v>
      </c>
      <c r="D4392" s="1" t="s">
        <v>38</v>
      </c>
      <c r="E4392" s="3">
        <v>103.54</v>
      </c>
      <c r="F4392" s="3">
        <f t="shared" si="136"/>
        <v>26.164558000000007</v>
      </c>
      <c r="G4392" s="3">
        <f t="shared" si="137"/>
        <v>129.70455800000002</v>
      </c>
    </row>
    <row r="4393" spans="1:7" x14ac:dyDescent="0.3">
      <c r="A4393" t="s">
        <v>13039</v>
      </c>
      <c r="B4393" t="s">
        <v>8816</v>
      </c>
      <c r="C4393" t="s">
        <v>8817</v>
      </c>
      <c r="D4393" s="1" t="s">
        <v>38</v>
      </c>
      <c r="E4393" s="3">
        <v>98.31</v>
      </c>
      <c r="F4393" s="3">
        <f t="shared" si="136"/>
        <v>24.842937000000003</v>
      </c>
      <c r="G4393" s="3">
        <f t="shared" si="137"/>
        <v>123.15293700000001</v>
      </c>
    </row>
    <row r="4394" spans="1:7" x14ac:dyDescent="0.3">
      <c r="A4394" t="s">
        <v>13039</v>
      </c>
      <c r="B4394" t="s">
        <v>8818</v>
      </c>
      <c r="C4394" t="s">
        <v>8819</v>
      </c>
      <c r="D4394" s="1" t="s">
        <v>195</v>
      </c>
      <c r="E4394" s="3">
        <v>133.33000000000001</v>
      </c>
      <c r="F4394" s="3">
        <f t="shared" si="136"/>
        <v>33.692491000000011</v>
      </c>
      <c r="G4394" s="3">
        <f t="shared" si="137"/>
        <v>167.02249100000003</v>
      </c>
    </row>
    <row r="4395" spans="1:7" x14ac:dyDescent="0.3">
      <c r="A4395" t="s">
        <v>13039</v>
      </c>
      <c r="B4395" t="s">
        <v>8820</v>
      </c>
      <c r="C4395" t="s">
        <v>8821</v>
      </c>
      <c r="D4395" s="1" t="s">
        <v>195</v>
      </c>
      <c r="E4395" s="3">
        <v>123.82</v>
      </c>
      <c r="F4395" s="3">
        <f t="shared" si="136"/>
        <v>31.289314000000001</v>
      </c>
      <c r="G4395" s="3">
        <f t="shared" si="137"/>
        <v>155.10931399999998</v>
      </c>
    </row>
    <row r="4396" spans="1:7" x14ac:dyDescent="0.3">
      <c r="A4396" t="s">
        <v>13039</v>
      </c>
      <c r="B4396" t="s">
        <v>8822</v>
      </c>
      <c r="C4396" t="s">
        <v>8823</v>
      </c>
      <c r="D4396" s="1" t="s">
        <v>2904</v>
      </c>
      <c r="E4396" s="3">
        <v>75.69</v>
      </c>
      <c r="F4396" s="3">
        <f t="shared" si="136"/>
        <v>19.126863000000004</v>
      </c>
      <c r="G4396" s="3">
        <f t="shared" si="137"/>
        <v>94.816862999999998</v>
      </c>
    </row>
    <row r="4397" spans="1:7" x14ac:dyDescent="0.3">
      <c r="A4397" t="s">
        <v>13039</v>
      </c>
      <c r="B4397" t="s">
        <v>8824</v>
      </c>
      <c r="C4397" t="s">
        <v>8825</v>
      </c>
      <c r="D4397" s="1" t="s">
        <v>2904</v>
      </c>
      <c r="E4397" s="3">
        <v>71.010000000000005</v>
      </c>
      <c r="F4397" s="3">
        <f t="shared" si="136"/>
        <v>17.944227000000005</v>
      </c>
      <c r="G4397" s="3">
        <f t="shared" si="137"/>
        <v>88.954227000000003</v>
      </c>
    </row>
    <row r="4398" spans="1:7" x14ac:dyDescent="0.3">
      <c r="A4398" t="s">
        <v>13039</v>
      </c>
      <c r="B4398" t="s">
        <v>8826</v>
      </c>
      <c r="C4398" t="s">
        <v>8827</v>
      </c>
      <c r="D4398" s="1" t="s">
        <v>2904</v>
      </c>
      <c r="E4398" s="3">
        <v>26.08</v>
      </c>
      <c r="F4398" s="3">
        <f t="shared" si="136"/>
        <v>6.5904160000000003</v>
      </c>
      <c r="G4398" s="3">
        <f t="shared" si="137"/>
        <v>32.670415999999996</v>
      </c>
    </row>
    <row r="4399" spans="1:7" x14ac:dyDescent="0.3">
      <c r="A4399" t="s">
        <v>13039</v>
      </c>
      <c r="B4399" t="s">
        <v>8828</v>
      </c>
      <c r="C4399" t="s">
        <v>8829</v>
      </c>
      <c r="D4399" s="1" t="s">
        <v>427</v>
      </c>
      <c r="E4399" s="3">
        <v>860.37</v>
      </c>
      <c r="F4399" s="3">
        <f t="shared" si="136"/>
        <v>217.41549900000004</v>
      </c>
      <c r="G4399" s="3">
        <f t="shared" si="137"/>
        <v>1077.7854990000001</v>
      </c>
    </row>
    <row r="4400" spans="1:7" x14ac:dyDescent="0.3">
      <c r="A4400" t="s">
        <v>13039</v>
      </c>
      <c r="B4400" t="s">
        <v>8830</v>
      </c>
      <c r="C4400" t="s">
        <v>8831</v>
      </c>
      <c r="D4400" s="1" t="s">
        <v>195</v>
      </c>
      <c r="E4400" s="3">
        <v>64.03</v>
      </c>
      <c r="F4400" s="3">
        <f t="shared" si="136"/>
        <v>16.180381000000004</v>
      </c>
      <c r="G4400" s="3">
        <f t="shared" si="137"/>
        <v>80.210381000000012</v>
      </c>
    </row>
    <row r="4401" spans="1:7" x14ac:dyDescent="0.3">
      <c r="A4401" t="s">
        <v>13039</v>
      </c>
      <c r="B4401" t="s">
        <v>8832</v>
      </c>
      <c r="C4401" t="s">
        <v>8833</v>
      </c>
      <c r="D4401" s="1" t="s">
        <v>195</v>
      </c>
      <c r="E4401" s="3">
        <v>31.64</v>
      </c>
      <c r="F4401" s="3">
        <f t="shared" si="136"/>
        <v>7.9954280000000013</v>
      </c>
      <c r="G4401" s="3">
        <f t="shared" si="137"/>
        <v>39.635428000000005</v>
      </c>
    </row>
    <row r="4402" spans="1:7" x14ac:dyDescent="0.3">
      <c r="A4402" t="s">
        <v>13039</v>
      </c>
      <c r="B4402" t="s">
        <v>8834</v>
      </c>
      <c r="C4402" t="s">
        <v>8835</v>
      </c>
      <c r="D4402" s="1" t="s">
        <v>8767</v>
      </c>
      <c r="E4402" s="3">
        <v>225.88</v>
      </c>
      <c r="F4402" s="3">
        <f t="shared" si="136"/>
        <v>57.079876000000006</v>
      </c>
      <c r="G4402" s="3">
        <f t="shared" si="137"/>
        <v>282.95987600000001</v>
      </c>
    </row>
    <row r="4403" spans="1:7" x14ac:dyDescent="0.3">
      <c r="A4403" t="s">
        <v>13039</v>
      </c>
      <c r="B4403" t="s">
        <v>8836</v>
      </c>
      <c r="C4403" t="s">
        <v>8837</v>
      </c>
      <c r="D4403" s="1" t="s">
        <v>8767</v>
      </c>
      <c r="E4403" s="3">
        <v>142.6</v>
      </c>
      <c r="F4403" s="3">
        <f t="shared" si="136"/>
        <v>36.035020000000003</v>
      </c>
      <c r="G4403" s="3">
        <f t="shared" si="137"/>
        <v>178.63502</v>
      </c>
    </row>
    <row r="4404" spans="1:7" x14ac:dyDescent="0.3">
      <c r="A4404" t="s">
        <v>13039</v>
      </c>
      <c r="B4404" t="s">
        <v>8838</v>
      </c>
      <c r="C4404" t="s">
        <v>8839</v>
      </c>
      <c r="D4404" s="1" t="s">
        <v>8767</v>
      </c>
      <c r="E4404" s="3">
        <v>212.19</v>
      </c>
      <c r="F4404" s="3">
        <f t="shared" si="136"/>
        <v>53.620413000000006</v>
      </c>
      <c r="G4404" s="3">
        <f t="shared" si="137"/>
        <v>265.81041299999998</v>
      </c>
    </row>
    <row r="4405" spans="1:7" x14ac:dyDescent="0.3">
      <c r="A4405" t="s">
        <v>13039</v>
      </c>
      <c r="B4405" t="s">
        <v>8840</v>
      </c>
      <c r="C4405" t="s">
        <v>8841</v>
      </c>
      <c r="D4405" s="1" t="s">
        <v>8767</v>
      </c>
      <c r="E4405" s="3">
        <v>127.09</v>
      </c>
      <c r="F4405" s="3">
        <f t="shared" si="136"/>
        <v>32.115643000000006</v>
      </c>
      <c r="G4405" s="3">
        <f t="shared" si="137"/>
        <v>159.20564300000001</v>
      </c>
    </row>
    <row r="4406" spans="1:7" x14ac:dyDescent="0.3">
      <c r="A4406" t="s">
        <v>13039</v>
      </c>
      <c r="B4406" t="s">
        <v>8842</v>
      </c>
      <c r="C4406" t="s">
        <v>8843</v>
      </c>
      <c r="D4406" s="1" t="s">
        <v>8767</v>
      </c>
      <c r="E4406" s="3">
        <v>215.53</v>
      </c>
      <c r="F4406" s="3">
        <f t="shared" si="136"/>
        <v>54.464431000000005</v>
      </c>
      <c r="G4406" s="3">
        <f t="shared" si="137"/>
        <v>269.99443100000002</v>
      </c>
    </row>
    <row r="4407" spans="1:7" x14ac:dyDescent="0.3">
      <c r="A4407" t="s">
        <v>13039</v>
      </c>
      <c r="B4407" t="s">
        <v>8844</v>
      </c>
      <c r="C4407" t="s">
        <v>8845</v>
      </c>
      <c r="D4407" s="1" t="s">
        <v>8767</v>
      </c>
      <c r="E4407" s="3">
        <v>128.03</v>
      </c>
      <c r="F4407" s="3">
        <f t="shared" si="136"/>
        <v>32.353181000000006</v>
      </c>
      <c r="G4407" s="3">
        <f t="shared" si="137"/>
        <v>160.38318100000001</v>
      </c>
    </row>
    <row r="4408" spans="1:7" x14ac:dyDescent="0.3">
      <c r="A4408" t="s">
        <v>13039</v>
      </c>
      <c r="B4408" t="s">
        <v>8846</v>
      </c>
      <c r="C4408" t="s">
        <v>8847</v>
      </c>
      <c r="D4408" s="1" t="s">
        <v>8767</v>
      </c>
      <c r="E4408" s="3">
        <v>223.29</v>
      </c>
      <c r="F4408" s="3">
        <f t="shared" si="136"/>
        <v>56.425383000000004</v>
      </c>
      <c r="G4408" s="3">
        <f t="shared" si="137"/>
        <v>279.71538299999997</v>
      </c>
    </row>
    <row r="4409" spans="1:7" x14ac:dyDescent="0.3">
      <c r="A4409" t="s">
        <v>13039</v>
      </c>
      <c r="B4409" t="s">
        <v>8848</v>
      </c>
      <c r="C4409" t="s">
        <v>8849</v>
      </c>
      <c r="D4409" s="1" t="s">
        <v>8767</v>
      </c>
      <c r="E4409" s="3">
        <v>137.35</v>
      </c>
      <c r="F4409" s="3">
        <f t="shared" si="136"/>
        <v>34.708345000000001</v>
      </c>
      <c r="G4409" s="3">
        <f t="shared" si="137"/>
        <v>172.058345</v>
      </c>
    </row>
    <row r="4410" spans="1:7" x14ac:dyDescent="0.3">
      <c r="A4410" t="s">
        <v>13039</v>
      </c>
      <c r="B4410" t="s">
        <v>8850</v>
      </c>
      <c r="C4410" t="s">
        <v>8851</v>
      </c>
      <c r="D4410" s="1" t="s">
        <v>8767</v>
      </c>
      <c r="E4410" s="3">
        <v>228.34</v>
      </c>
      <c r="F4410" s="3">
        <f t="shared" si="136"/>
        <v>57.701518000000007</v>
      </c>
      <c r="G4410" s="3">
        <f t="shared" si="137"/>
        <v>286.041518</v>
      </c>
    </row>
    <row r="4411" spans="1:7" x14ac:dyDescent="0.3">
      <c r="A4411" t="s">
        <v>13039</v>
      </c>
      <c r="B4411" t="s">
        <v>8852</v>
      </c>
      <c r="C4411" t="s">
        <v>8853</v>
      </c>
      <c r="D4411" s="1" t="s">
        <v>8767</v>
      </c>
      <c r="E4411" s="3">
        <v>143.5</v>
      </c>
      <c r="F4411" s="3">
        <f t="shared" si="136"/>
        <v>36.262450000000008</v>
      </c>
      <c r="G4411" s="3">
        <f t="shared" si="137"/>
        <v>179.76245</v>
      </c>
    </row>
    <row r="4412" spans="1:7" x14ac:dyDescent="0.3">
      <c r="A4412" t="s">
        <v>13039</v>
      </c>
      <c r="B4412" t="s">
        <v>8854</v>
      </c>
      <c r="C4412" t="s">
        <v>8855</v>
      </c>
      <c r="D4412" s="1" t="s">
        <v>427</v>
      </c>
      <c r="E4412" s="3">
        <v>16.66</v>
      </c>
      <c r="F4412" s="3">
        <f t="shared" si="136"/>
        <v>4.209982000000001</v>
      </c>
      <c r="G4412" s="3">
        <f t="shared" si="137"/>
        <v>20.869982</v>
      </c>
    </row>
    <row r="4413" spans="1:7" x14ac:dyDescent="0.3">
      <c r="A4413" t="s">
        <v>13039</v>
      </c>
      <c r="B4413" t="s">
        <v>8856</v>
      </c>
      <c r="C4413" t="s">
        <v>8857</v>
      </c>
      <c r="D4413" s="1" t="s">
        <v>427</v>
      </c>
      <c r="E4413" s="3">
        <v>64.739999999999995</v>
      </c>
      <c r="F4413" s="3">
        <f t="shared" si="136"/>
        <v>16.359798000000001</v>
      </c>
      <c r="G4413" s="3">
        <f t="shared" si="137"/>
        <v>81.099797999999993</v>
      </c>
    </row>
    <row r="4414" spans="1:7" x14ac:dyDescent="0.3">
      <c r="A4414" t="s">
        <v>13039</v>
      </c>
      <c r="B4414" t="s">
        <v>8858</v>
      </c>
      <c r="C4414" t="s">
        <v>8859</v>
      </c>
      <c r="D4414" s="1" t="s">
        <v>427</v>
      </c>
      <c r="E4414" s="3">
        <v>53.88</v>
      </c>
      <c r="F4414" s="3">
        <f t="shared" si="136"/>
        <v>13.615476000000003</v>
      </c>
      <c r="G4414" s="3">
        <f t="shared" si="137"/>
        <v>67.495476000000011</v>
      </c>
    </row>
    <row r="4415" spans="1:7" x14ac:dyDescent="0.3">
      <c r="A4415" t="s">
        <v>13039</v>
      </c>
      <c r="B4415" t="s">
        <v>8860</v>
      </c>
      <c r="C4415" t="s">
        <v>8861</v>
      </c>
      <c r="D4415" s="1" t="s">
        <v>427</v>
      </c>
      <c r="E4415" s="3">
        <v>116.07</v>
      </c>
      <c r="F4415" s="3">
        <f t="shared" si="136"/>
        <v>29.330889000000003</v>
      </c>
      <c r="G4415" s="3">
        <f t="shared" si="137"/>
        <v>145.40088900000001</v>
      </c>
    </row>
    <row r="4416" spans="1:7" x14ac:dyDescent="0.3">
      <c r="A4416" t="s">
        <v>13039</v>
      </c>
      <c r="B4416" t="s">
        <v>8862</v>
      </c>
      <c r="C4416" t="s">
        <v>8863</v>
      </c>
      <c r="D4416" s="1" t="s">
        <v>427</v>
      </c>
      <c r="E4416" s="3">
        <v>17.62</v>
      </c>
      <c r="F4416" s="3">
        <f t="shared" si="136"/>
        <v>4.4525740000000011</v>
      </c>
      <c r="G4416" s="3">
        <f t="shared" si="137"/>
        <v>22.072574000000003</v>
      </c>
    </row>
    <row r="4417" spans="1:7" x14ac:dyDescent="0.3">
      <c r="A4417" t="s">
        <v>13039</v>
      </c>
      <c r="B4417" t="s">
        <v>8864</v>
      </c>
      <c r="C4417" t="s">
        <v>8865</v>
      </c>
      <c r="D4417" s="1" t="s">
        <v>427</v>
      </c>
      <c r="E4417" s="3">
        <v>39.47</v>
      </c>
      <c r="F4417" s="3">
        <f t="shared" si="136"/>
        <v>9.9740690000000019</v>
      </c>
      <c r="G4417" s="3">
        <f t="shared" si="137"/>
        <v>49.444068999999999</v>
      </c>
    </row>
    <row r="4418" spans="1:7" x14ac:dyDescent="0.3">
      <c r="A4418" t="s">
        <v>13039</v>
      </c>
      <c r="B4418" t="s">
        <v>8866</v>
      </c>
      <c r="C4418" t="s">
        <v>8867</v>
      </c>
      <c r="D4418" s="1" t="s">
        <v>427</v>
      </c>
      <c r="E4418" s="3">
        <v>278.52</v>
      </c>
      <c r="F4418" s="3">
        <f t="shared" si="136"/>
        <v>70.382004000000009</v>
      </c>
      <c r="G4418" s="3">
        <f t="shared" si="137"/>
        <v>348.90200399999998</v>
      </c>
    </row>
    <row r="4419" spans="1:7" x14ac:dyDescent="0.3">
      <c r="A4419" t="s">
        <v>13039</v>
      </c>
      <c r="B4419" t="s">
        <v>8868</v>
      </c>
      <c r="C4419" t="s">
        <v>8869</v>
      </c>
      <c r="D4419" s="1" t="s">
        <v>427</v>
      </c>
      <c r="E4419" s="3">
        <v>118.53</v>
      </c>
      <c r="F4419" s="3">
        <f t="shared" si="136"/>
        <v>29.952531000000004</v>
      </c>
      <c r="G4419" s="3">
        <f t="shared" si="137"/>
        <v>148.48253099999999</v>
      </c>
    </row>
    <row r="4420" spans="1:7" x14ac:dyDescent="0.3">
      <c r="A4420" t="s">
        <v>13039</v>
      </c>
      <c r="B4420" t="s">
        <v>8870</v>
      </c>
      <c r="C4420" t="s">
        <v>8871</v>
      </c>
      <c r="D4420" s="1" t="s">
        <v>427</v>
      </c>
      <c r="E4420" s="3">
        <v>279.74</v>
      </c>
      <c r="F4420" s="3">
        <f t="shared" si="136"/>
        <v>70.690298000000013</v>
      </c>
      <c r="G4420" s="3">
        <f t="shared" si="137"/>
        <v>350.43029799999999</v>
      </c>
    </row>
    <row r="4421" spans="1:7" x14ac:dyDescent="0.3">
      <c r="A4421" t="s">
        <v>13039</v>
      </c>
      <c r="B4421" t="s">
        <v>8872</v>
      </c>
      <c r="C4421" t="s">
        <v>8873</v>
      </c>
      <c r="D4421" s="1" t="s">
        <v>427</v>
      </c>
      <c r="E4421" s="3">
        <v>119.75</v>
      </c>
      <c r="F4421" s="3">
        <f t="shared" si="136"/>
        <v>30.260825000000004</v>
      </c>
      <c r="G4421" s="3">
        <f t="shared" si="137"/>
        <v>150.01082500000001</v>
      </c>
    </row>
    <row r="4422" spans="1:7" x14ac:dyDescent="0.3">
      <c r="A4422" t="s">
        <v>13039</v>
      </c>
      <c r="B4422" t="s">
        <v>8874</v>
      </c>
      <c r="C4422" t="s">
        <v>8875</v>
      </c>
      <c r="D4422" s="1" t="s">
        <v>427</v>
      </c>
      <c r="E4422" s="3">
        <v>315.70999999999998</v>
      </c>
      <c r="F4422" s="3">
        <f t="shared" si="136"/>
        <v>79.779917000000012</v>
      </c>
      <c r="G4422" s="3">
        <f t="shared" si="137"/>
        <v>395.48991699999999</v>
      </c>
    </row>
    <row r="4423" spans="1:7" x14ac:dyDescent="0.3">
      <c r="A4423" t="s">
        <v>13039</v>
      </c>
      <c r="B4423" t="s">
        <v>8876</v>
      </c>
      <c r="C4423" t="s">
        <v>8877</v>
      </c>
      <c r="D4423" s="1" t="s">
        <v>427</v>
      </c>
      <c r="E4423" s="3">
        <v>159.19</v>
      </c>
      <c r="F4423" s="3">
        <f t="shared" ref="F4423:F4486" si="138">+E4423*$F$4</f>
        <v>40.227313000000002</v>
      </c>
      <c r="G4423" s="3">
        <f t="shared" ref="G4423:G4486" si="139">+E4423+F4423</f>
        <v>199.41731300000001</v>
      </c>
    </row>
    <row r="4424" spans="1:7" x14ac:dyDescent="0.3">
      <c r="A4424" t="s">
        <v>13039</v>
      </c>
      <c r="B4424" t="s">
        <v>8878</v>
      </c>
      <c r="C4424" t="s">
        <v>8879</v>
      </c>
      <c r="D4424" s="1" t="s">
        <v>427</v>
      </c>
      <c r="E4424" s="3">
        <v>316.93</v>
      </c>
      <c r="F4424" s="3">
        <f t="shared" si="138"/>
        <v>80.088211000000015</v>
      </c>
      <c r="G4424" s="3">
        <f t="shared" si="139"/>
        <v>397.01821100000001</v>
      </c>
    </row>
    <row r="4425" spans="1:7" x14ac:dyDescent="0.3">
      <c r="A4425" t="s">
        <v>13039</v>
      </c>
      <c r="B4425" t="s">
        <v>8880</v>
      </c>
      <c r="C4425" t="s">
        <v>8881</v>
      </c>
      <c r="D4425" s="1" t="s">
        <v>427</v>
      </c>
      <c r="E4425" s="3">
        <v>160.41</v>
      </c>
      <c r="F4425" s="3">
        <f t="shared" si="138"/>
        <v>40.535607000000006</v>
      </c>
      <c r="G4425" s="3">
        <f t="shared" si="139"/>
        <v>200.945607</v>
      </c>
    </row>
    <row r="4426" spans="1:7" x14ac:dyDescent="0.3">
      <c r="A4426" t="s">
        <v>13039</v>
      </c>
      <c r="B4426" t="s">
        <v>8882</v>
      </c>
      <c r="C4426" t="s">
        <v>8883</v>
      </c>
      <c r="D4426" s="1" t="s">
        <v>427</v>
      </c>
      <c r="E4426" s="3">
        <v>249.96</v>
      </c>
      <c r="F4426" s="3">
        <f t="shared" si="138"/>
        <v>63.164892000000009</v>
      </c>
      <c r="G4426" s="3">
        <f t="shared" si="139"/>
        <v>313.12489200000005</v>
      </c>
    </row>
    <row r="4427" spans="1:7" x14ac:dyDescent="0.3">
      <c r="A4427" t="s">
        <v>13039</v>
      </c>
      <c r="B4427" t="s">
        <v>8884</v>
      </c>
      <c r="C4427" t="s">
        <v>8885</v>
      </c>
      <c r="D4427" s="1" t="s">
        <v>427</v>
      </c>
      <c r="E4427" s="3">
        <v>105.83</v>
      </c>
      <c r="F4427" s="3">
        <f t="shared" si="138"/>
        <v>26.743241000000005</v>
      </c>
      <c r="G4427" s="3">
        <f t="shared" si="139"/>
        <v>132.573241</v>
      </c>
    </row>
    <row r="4428" spans="1:7" x14ac:dyDescent="0.3">
      <c r="A4428" t="s">
        <v>13039</v>
      </c>
      <c r="B4428" t="s">
        <v>8886</v>
      </c>
      <c r="C4428" t="s">
        <v>8887</v>
      </c>
      <c r="D4428" s="1" t="s">
        <v>427</v>
      </c>
      <c r="E4428" s="3">
        <v>240.25</v>
      </c>
      <c r="F4428" s="3">
        <f t="shared" si="138"/>
        <v>60.711175000000011</v>
      </c>
      <c r="G4428" s="3">
        <f t="shared" si="139"/>
        <v>300.96117500000003</v>
      </c>
    </row>
    <row r="4429" spans="1:7" x14ac:dyDescent="0.3">
      <c r="A4429" t="s">
        <v>13039</v>
      </c>
      <c r="B4429" t="s">
        <v>8888</v>
      </c>
      <c r="C4429" t="s">
        <v>8889</v>
      </c>
      <c r="D4429" s="1" t="s">
        <v>427</v>
      </c>
      <c r="E4429" s="3">
        <v>96.12</v>
      </c>
      <c r="F4429" s="3">
        <f t="shared" si="138"/>
        <v>24.289524000000004</v>
      </c>
      <c r="G4429" s="3">
        <f t="shared" si="139"/>
        <v>120.409524</v>
      </c>
    </row>
    <row r="4430" spans="1:7" x14ac:dyDescent="0.3">
      <c r="A4430" t="s">
        <v>13039</v>
      </c>
      <c r="B4430" t="s">
        <v>8890</v>
      </c>
      <c r="C4430" t="s">
        <v>8891</v>
      </c>
      <c r="D4430" s="1" t="s">
        <v>427</v>
      </c>
      <c r="E4430" s="3">
        <v>102.72</v>
      </c>
      <c r="F4430" s="3">
        <f t="shared" si="138"/>
        <v>25.957344000000003</v>
      </c>
      <c r="G4430" s="3">
        <f t="shared" si="139"/>
        <v>128.67734400000001</v>
      </c>
    </row>
    <row r="4431" spans="1:7" x14ac:dyDescent="0.3">
      <c r="A4431" t="s">
        <v>13039</v>
      </c>
      <c r="B4431" t="s">
        <v>8892</v>
      </c>
      <c r="C4431" t="s">
        <v>8893</v>
      </c>
      <c r="D4431" s="1" t="s">
        <v>427</v>
      </c>
      <c r="E4431" s="3">
        <v>98.49</v>
      </c>
      <c r="F4431" s="3">
        <f t="shared" si="138"/>
        <v>24.888423000000003</v>
      </c>
      <c r="G4431" s="3">
        <f t="shared" si="139"/>
        <v>123.378423</v>
      </c>
    </row>
    <row r="4432" spans="1:7" x14ac:dyDescent="0.3">
      <c r="A4432" t="s">
        <v>13039</v>
      </c>
      <c r="B4432" t="s">
        <v>8894</v>
      </c>
      <c r="C4432" t="s">
        <v>8895</v>
      </c>
      <c r="D4432" s="1" t="s">
        <v>427</v>
      </c>
      <c r="E4432" s="3">
        <v>136.88</v>
      </c>
      <c r="F4432" s="3">
        <f t="shared" si="138"/>
        <v>34.589576000000001</v>
      </c>
      <c r="G4432" s="3">
        <f t="shared" si="139"/>
        <v>171.46957599999999</v>
      </c>
    </row>
    <row r="4433" spans="1:7" x14ac:dyDescent="0.3">
      <c r="A4433" t="s">
        <v>13039</v>
      </c>
      <c r="B4433" t="s">
        <v>8896</v>
      </c>
      <c r="C4433" t="s">
        <v>8897</v>
      </c>
      <c r="D4433" s="1" t="s">
        <v>427</v>
      </c>
      <c r="E4433" s="3">
        <v>91.91</v>
      </c>
      <c r="F4433" s="3">
        <f t="shared" si="138"/>
        <v>23.225657000000002</v>
      </c>
      <c r="G4433" s="3">
        <f t="shared" si="139"/>
        <v>115.13565699999999</v>
      </c>
    </row>
    <row r="4434" spans="1:7" x14ac:dyDescent="0.3">
      <c r="A4434" t="s">
        <v>13039</v>
      </c>
      <c r="B4434" t="s">
        <v>8898</v>
      </c>
      <c r="C4434" t="s">
        <v>8899</v>
      </c>
      <c r="D4434" s="1" t="s">
        <v>427</v>
      </c>
      <c r="E4434" s="3">
        <v>103.52</v>
      </c>
      <c r="F4434" s="3">
        <f t="shared" si="138"/>
        <v>26.159504000000002</v>
      </c>
      <c r="G4434" s="3">
        <f t="shared" si="139"/>
        <v>129.67950400000001</v>
      </c>
    </row>
    <row r="4435" spans="1:7" x14ac:dyDescent="0.3">
      <c r="A4435" t="s">
        <v>13039</v>
      </c>
      <c r="B4435" t="s">
        <v>8900</v>
      </c>
      <c r="C4435" t="s">
        <v>8901</v>
      </c>
      <c r="D4435" s="1" t="s">
        <v>427</v>
      </c>
      <c r="E4435" s="3">
        <v>57.15</v>
      </c>
      <c r="F4435" s="3">
        <f t="shared" si="138"/>
        <v>14.441805000000002</v>
      </c>
      <c r="G4435" s="3">
        <f t="shared" si="139"/>
        <v>71.591804999999994</v>
      </c>
    </row>
    <row r="4436" spans="1:7" x14ac:dyDescent="0.3">
      <c r="A4436" t="s">
        <v>13039</v>
      </c>
      <c r="B4436" t="s">
        <v>8902</v>
      </c>
      <c r="C4436" t="s">
        <v>8903</v>
      </c>
      <c r="D4436" s="1" t="s">
        <v>427</v>
      </c>
      <c r="E4436" s="3">
        <v>87.17</v>
      </c>
      <c r="F4436" s="3">
        <f t="shared" si="138"/>
        <v>22.027859000000003</v>
      </c>
      <c r="G4436" s="3">
        <f t="shared" si="139"/>
        <v>109.19785900000001</v>
      </c>
    </row>
    <row r="4437" spans="1:7" x14ac:dyDescent="0.3">
      <c r="A4437" t="s">
        <v>13039</v>
      </c>
      <c r="B4437" t="s">
        <v>8904</v>
      </c>
      <c r="C4437" t="s">
        <v>8905</v>
      </c>
      <c r="D4437" s="1" t="s">
        <v>427</v>
      </c>
      <c r="E4437" s="3">
        <v>40.799999999999997</v>
      </c>
      <c r="F4437" s="3">
        <f t="shared" si="138"/>
        <v>10.310160000000002</v>
      </c>
      <c r="G4437" s="3">
        <f t="shared" si="139"/>
        <v>51.11016</v>
      </c>
    </row>
    <row r="4438" spans="1:7" x14ac:dyDescent="0.3">
      <c r="A4438" t="s">
        <v>13039</v>
      </c>
      <c r="B4438" t="s">
        <v>8906</v>
      </c>
      <c r="C4438" t="s">
        <v>8907</v>
      </c>
      <c r="D4438" s="1" t="s">
        <v>427</v>
      </c>
      <c r="E4438" s="3">
        <v>43.47</v>
      </c>
      <c r="F4438" s="3">
        <f t="shared" si="138"/>
        <v>10.984869000000002</v>
      </c>
      <c r="G4438" s="3">
        <f t="shared" si="139"/>
        <v>54.454869000000002</v>
      </c>
    </row>
    <row r="4439" spans="1:7" x14ac:dyDescent="0.3">
      <c r="A4439" t="s">
        <v>13039</v>
      </c>
      <c r="B4439" t="s">
        <v>8908</v>
      </c>
      <c r="C4439" t="s">
        <v>8909</v>
      </c>
      <c r="D4439" s="1" t="s">
        <v>427</v>
      </c>
      <c r="E4439" s="3">
        <v>27.18</v>
      </c>
      <c r="F4439" s="3">
        <f t="shared" si="138"/>
        <v>6.868386000000001</v>
      </c>
      <c r="G4439" s="3">
        <f t="shared" si="139"/>
        <v>34.048386000000001</v>
      </c>
    </row>
    <row r="4440" spans="1:7" x14ac:dyDescent="0.3">
      <c r="A4440" t="s">
        <v>13039</v>
      </c>
      <c r="B4440" t="s">
        <v>8910</v>
      </c>
      <c r="C4440" t="s">
        <v>8911</v>
      </c>
      <c r="D4440" s="1" t="s">
        <v>8767</v>
      </c>
      <c r="E4440" s="3">
        <v>211.59</v>
      </c>
      <c r="F4440" s="3">
        <f t="shared" si="138"/>
        <v>53.468793000000005</v>
      </c>
      <c r="G4440" s="3">
        <f t="shared" si="139"/>
        <v>265.05879300000004</v>
      </c>
    </row>
    <row r="4441" spans="1:7" x14ac:dyDescent="0.3">
      <c r="A4441" t="s">
        <v>13039</v>
      </c>
      <c r="B4441" t="s">
        <v>8912</v>
      </c>
      <c r="C4441" t="s">
        <v>8913</v>
      </c>
      <c r="D4441" s="1" t="s">
        <v>8767</v>
      </c>
      <c r="E4441" s="3">
        <v>141.16999999999999</v>
      </c>
      <c r="F4441" s="3">
        <f t="shared" si="138"/>
        <v>35.673659000000001</v>
      </c>
      <c r="G4441" s="3">
        <f t="shared" si="139"/>
        <v>176.843659</v>
      </c>
    </row>
    <row r="4442" spans="1:7" x14ac:dyDescent="0.3">
      <c r="A4442" t="s">
        <v>13039</v>
      </c>
      <c r="B4442" t="s">
        <v>8914</v>
      </c>
      <c r="C4442" t="s">
        <v>8915</v>
      </c>
      <c r="D4442" s="1" t="s">
        <v>8767</v>
      </c>
      <c r="E4442" s="3">
        <v>20.309999999999999</v>
      </c>
      <c r="F4442" s="3">
        <f t="shared" si="138"/>
        <v>5.1323370000000006</v>
      </c>
      <c r="G4442" s="3">
        <f t="shared" si="139"/>
        <v>25.442336999999998</v>
      </c>
    </row>
    <row r="4443" spans="1:7" x14ac:dyDescent="0.3">
      <c r="A4443" t="s">
        <v>13039</v>
      </c>
      <c r="B4443" t="s">
        <v>8916</v>
      </c>
      <c r="C4443" t="s">
        <v>8917</v>
      </c>
      <c r="D4443" s="1" t="s">
        <v>8767</v>
      </c>
      <c r="E4443" s="3">
        <v>210.76</v>
      </c>
      <c r="F4443" s="3">
        <f t="shared" si="138"/>
        <v>53.259052000000004</v>
      </c>
      <c r="G4443" s="3">
        <f t="shared" si="139"/>
        <v>264.01905199999999</v>
      </c>
    </row>
    <row r="4444" spans="1:7" x14ac:dyDescent="0.3">
      <c r="A4444" t="s">
        <v>13039</v>
      </c>
      <c r="B4444" t="s">
        <v>8918</v>
      </c>
      <c r="C4444" t="s">
        <v>8919</v>
      </c>
      <c r="D4444" s="1" t="s">
        <v>8767</v>
      </c>
      <c r="E4444" s="3">
        <v>141.38</v>
      </c>
      <c r="F4444" s="3">
        <f t="shared" si="138"/>
        <v>35.726726000000006</v>
      </c>
      <c r="G4444" s="3">
        <f t="shared" si="139"/>
        <v>177.10672600000001</v>
      </c>
    </row>
    <row r="4445" spans="1:7" x14ac:dyDescent="0.3">
      <c r="A4445" t="s">
        <v>13039</v>
      </c>
      <c r="B4445" t="s">
        <v>8920</v>
      </c>
      <c r="C4445" t="s">
        <v>8921</v>
      </c>
      <c r="D4445" s="1" t="s">
        <v>8767</v>
      </c>
      <c r="E4445" s="3">
        <v>20.9</v>
      </c>
      <c r="F4445" s="3">
        <f t="shared" si="138"/>
        <v>5.2814300000000003</v>
      </c>
      <c r="G4445" s="3">
        <f t="shared" si="139"/>
        <v>26.181429999999999</v>
      </c>
    </row>
    <row r="4446" spans="1:7" x14ac:dyDescent="0.3">
      <c r="A4446" t="s">
        <v>13039</v>
      </c>
      <c r="B4446" t="s">
        <v>8922</v>
      </c>
      <c r="C4446" t="s">
        <v>8923</v>
      </c>
      <c r="D4446" s="1" t="s">
        <v>8767</v>
      </c>
      <c r="E4446" s="3">
        <v>209.18</v>
      </c>
      <c r="F4446" s="3">
        <f t="shared" si="138"/>
        <v>52.859786000000007</v>
      </c>
      <c r="G4446" s="3">
        <f t="shared" si="139"/>
        <v>262.03978599999999</v>
      </c>
    </row>
    <row r="4447" spans="1:7" x14ac:dyDescent="0.3">
      <c r="A4447" t="s">
        <v>13039</v>
      </c>
      <c r="B4447" t="s">
        <v>8924</v>
      </c>
      <c r="C4447" t="s">
        <v>8925</v>
      </c>
      <c r="D4447" s="1" t="s">
        <v>8767</v>
      </c>
      <c r="E4447" s="3">
        <v>140.97</v>
      </c>
      <c r="F4447" s="3">
        <f t="shared" si="138"/>
        <v>35.623119000000003</v>
      </c>
      <c r="G4447" s="3">
        <f t="shared" si="139"/>
        <v>176.593119</v>
      </c>
    </row>
    <row r="4448" spans="1:7" x14ac:dyDescent="0.3">
      <c r="A4448" t="s">
        <v>13039</v>
      </c>
      <c r="B4448" t="s">
        <v>8926</v>
      </c>
      <c r="C4448" t="s">
        <v>8927</v>
      </c>
      <c r="D4448" s="1" t="s">
        <v>8767</v>
      </c>
      <c r="E4448" s="3">
        <v>20.9</v>
      </c>
      <c r="F4448" s="3">
        <f t="shared" si="138"/>
        <v>5.2814300000000003</v>
      </c>
      <c r="G4448" s="3">
        <f t="shared" si="139"/>
        <v>26.181429999999999</v>
      </c>
    </row>
    <row r="4449" spans="1:7" x14ac:dyDescent="0.3">
      <c r="A4449" t="s">
        <v>13039</v>
      </c>
      <c r="B4449" t="s">
        <v>8928</v>
      </c>
      <c r="C4449" t="s">
        <v>8929</v>
      </c>
      <c r="D4449" s="1" t="s">
        <v>8767</v>
      </c>
      <c r="E4449" s="3">
        <v>207.66</v>
      </c>
      <c r="F4449" s="3">
        <f t="shared" si="138"/>
        <v>52.475682000000006</v>
      </c>
      <c r="G4449" s="3">
        <f t="shared" si="139"/>
        <v>260.13568199999997</v>
      </c>
    </row>
    <row r="4450" spans="1:7" x14ac:dyDescent="0.3">
      <c r="A4450" t="s">
        <v>13039</v>
      </c>
      <c r="B4450" t="s">
        <v>8930</v>
      </c>
      <c r="C4450" t="s">
        <v>8931</v>
      </c>
      <c r="D4450" s="1" t="s">
        <v>8767</v>
      </c>
      <c r="E4450" s="3">
        <v>141.01</v>
      </c>
      <c r="F4450" s="3">
        <f t="shared" si="138"/>
        <v>35.633227000000005</v>
      </c>
      <c r="G4450" s="3">
        <f t="shared" si="139"/>
        <v>176.643227</v>
      </c>
    </row>
    <row r="4451" spans="1:7" x14ac:dyDescent="0.3">
      <c r="A4451" t="s">
        <v>13039</v>
      </c>
      <c r="B4451" t="s">
        <v>8932</v>
      </c>
      <c r="C4451" t="s">
        <v>8933</v>
      </c>
      <c r="D4451" s="1" t="s">
        <v>8767</v>
      </c>
      <c r="E4451" s="3">
        <v>20.9</v>
      </c>
      <c r="F4451" s="3">
        <f t="shared" si="138"/>
        <v>5.2814300000000003</v>
      </c>
      <c r="G4451" s="3">
        <f t="shared" si="139"/>
        <v>26.181429999999999</v>
      </c>
    </row>
    <row r="4452" spans="1:7" x14ac:dyDescent="0.3">
      <c r="A4452" t="s">
        <v>13039</v>
      </c>
      <c r="B4452" t="s">
        <v>8934</v>
      </c>
      <c r="C4452" t="s">
        <v>8935</v>
      </c>
      <c r="D4452" s="1" t="s">
        <v>8767</v>
      </c>
      <c r="E4452" s="3">
        <v>229.94</v>
      </c>
      <c r="F4452" s="3">
        <f t="shared" si="138"/>
        <v>58.105838000000006</v>
      </c>
      <c r="G4452" s="3">
        <f t="shared" si="139"/>
        <v>288.045838</v>
      </c>
    </row>
    <row r="4453" spans="1:7" x14ac:dyDescent="0.3">
      <c r="A4453" t="s">
        <v>13039</v>
      </c>
      <c r="B4453" t="s">
        <v>8936</v>
      </c>
      <c r="C4453" t="s">
        <v>8937</v>
      </c>
      <c r="D4453" s="1" t="s">
        <v>8767</v>
      </c>
      <c r="E4453" s="3">
        <v>151.61000000000001</v>
      </c>
      <c r="F4453" s="3">
        <f t="shared" si="138"/>
        <v>38.311847000000007</v>
      </c>
      <c r="G4453" s="3">
        <f t="shared" si="139"/>
        <v>189.92184700000001</v>
      </c>
    </row>
    <row r="4454" spans="1:7" x14ac:dyDescent="0.3">
      <c r="A4454" t="s">
        <v>13039</v>
      </c>
      <c r="B4454" t="s">
        <v>8938</v>
      </c>
      <c r="C4454" t="s">
        <v>8939</v>
      </c>
      <c r="D4454" s="1" t="s">
        <v>8767</v>
      </c>
      <c r="E4454" s="3">
        <v>233.67</v>
      </c>
      <c r="F4454" s="3">
        <f t="shared" si="138"/>
        <v>59.048409000000007</v>
      </c>
      <c r="G4454" s="3">
        <f t="shared" si="139"/>
        <v>292.71840900000001</v>
      </c>
    </row>
    <row r="4455" spans="1:7" x14ac:dyDescent="0.3">
      <c r="A4455" t="s">
        <v>13039</v>
      </c>
      <c r="B4455" t="s">
        <v>8940</v>
      </c>
      <c r="C4455" t="s">
        <v>8941</v>
      </c>
      <c r="D4455" s="1" t="s">
        <v>8767</v>
      </c>
      <c r="E4455" s="3">
        <v>155.88999999999999</v>
      </c>
      <c r="F4455" s="3">
        <f t="shared" si="138"/>
        <v>39.393402999999999</v>
      </c>
      <c r="G4455" s="3">
        <f t="shared" si="139"/>
        <v>195.28340299999999</v>
      </c>
    </row>
    <row r="4456" spans="1:7" x14ac:dyDescent="0.3">
      <c r="A4456" t="s">
        <v>13039</v>
      </c>
      <c r="B4456" t="s">
        <v>8942</v>
      </c>
      <c r="C4456" t="s">
        <v>8943</v>
      </c>
      <c r="D4456" s="1" t="s">
        <v>8767</v>
      </c>
      <c r="E4456" s="3">
        <v>241.27</v>
      </c>
      <c r="F4456" s="3">
        <f t="shared" si="138"/>
        <v>60.96892900000001</v>
      </c>
      <c r="G4456" s="3">
        <f t="shared" si="139"/>
        <v>302.23892900000004</v>
      </c>
    </row>
    <row r="4457" spans="1:7" x14ac:dyDescent="0.3">
      <c r="A4457" t="s">
        <v>13039</v>
      </c>
      <c r="B4457" t="s">
        <v>8944</v>
      </c>
      <c r="C4457" t="s">
        <v>8945</v>
      </c>
      <c r="D4457" s="1" t="s">
        <v>8767</v>
      </c>
      <c r="E4457" s="3">
        <v>161.59</v>
      </c>
      <c r="F4457" s="3">
        <f t="shared" si="138"/>
        <v>40.833793000000007</v>
      </c>
      <c r="G4457" s="3">
        <f t="shared" si="139"/>
        <v>202.42379300000002</v>
      </c>
    </row>
    <row r="4458" spans="1:7" x14ac:dyDescent="0.3">
      <c r="A4458" t="s">
        <v>13039</v>
      </c>
      <c r="B4458" t="s">
        <v>8946</v>
      </c>
      <c r="C4458" t="s">
        <v>8947</v>
      </c>
      <c r="D4458" s="1" t="s">
        <v>8767</v>
      </c>
      <c r="E4458" s="3">
        <v>266.33</v>
      </c>
      <c r="F4458" s="3">
        <f t="shared" si="138"/>
        <v>67.301591000000002</v>
      </c>
      <c r="G4458" s="3">
        <f t="shared" si="139"/>
        <v>333.63159099999996</v>
      </c>
    </row>
    <row r="4459" spans="1:7" x14ac:dyDescent="0.3">
      <c r="A4459" t="s">
        <v>13039</v>
      </c>
      <c r="B4459" t="s">
        <v>8948</v>
      </c>
      <c r="C4459" t="s">
        <v>8949</v>
      </c>
      <c r="D4459" s="1" t="s">
        <v>8767</v>
      </c>
      <c r="E4459" s="3">
        <v>199.96</v>
      </c>
      <c r="F4459" s="3">
        <f t="shared" si="138"/>
        <v>50.529892000000011</v>
      </c>
      <c r="G4459" s="3">
        <f t="shared" si="139"/>
        <v>250.48989200000003</v>
      </c>
    </row>
    <row r="4460" spans="1:7" x14ac:dyDescent="0.3">
      <c r="A4460" t="s">
        <v>13039</v>
      </c>
      <c r="B4460" t="s">
        <v>8950</v>
      </c>
      <c r="C4460" t="s">
        <v>8951</v>
      </c>
      <c r="D4460" s="1" t="s">
        <v>8767</v>
      </c>
      <c r="E4460" s="3">
        <v>271.07</v>
      </c>
      <c r="F4460" s="3">
        <f t="shared" si="138"/>
        <v>68.499389000000008</v>
      </c>
      <c r="G4460" s="3">
        <f t="shared" si="139"/>
        <v>339.569389</v>
      </c>
    </row>
    <row r="4461" spans="1:7" x14ac:dyDescent="0.3">
      <c r="A4461" t="s">
        <v>13039</v>
      </c>
      <c r="B4461" t="s">
        <v>8952</v>
      </c>
      <c r="C4461" t="s">
        <v>8953</v>
      </c>
      <c r="D4461" s="1" t="s">
        <v>8767</v>
      </c>
      <c r="E4461" s="3">
        <v>205.68</v>
      </c>
      <c r="F4461" s="3">
        <f t="shared" si="138"/>
        <v>51.975336000000006</v>
      </c>
      <c r="G4461" s="3">
        <f t="shared" si="139"/>
        <v>257.65533600000003</v>
      </c>
    </row>
    <row r="4462" spans="1:7" x14ac:dyDescent="0.3">
      <c r="A4462" t="s">
        <v>13039</v>
      </c>
      <c r="B4462" t="s">
        <v>8954</v>
      </c>
      <c r="C4462" t="s">
        <v>8955</v>
      </c>
      <c r="D4462" s="1" t="s">
        <v>8767</v>
      </c>
      <c r="E4462" s="3">
        <v>272.05</v>
      </c>
      <c r="F4462" s="3">
        <f t="shared" si="138"/>
        <v>68.747035000000011</v>
      </c>
      <c r="G4462" s="3">
        <f t="shared" si="139"/>
        <v>340.79703500000005</v>
      </c>
    </row>
    <row r="4463" spans="1:7" x14ac:dyDescent="0.3">
      <c r="A4463" t="s">
        <v>13039</v>
      </c>
      <c r="B4463" t="s">
        <v>8956</v>
      </c>
      <c r="C4463" t="s">
        <v>8957</v>
      </c>
      <c r="D4463" s="1" t="s">
        <v>8767</v>
      </c>
      <c r="E4463" s="3">
        <v>208.52</v>
      </c>
      <c r="F4463" s="3">
        <f t="shared" si="138"/>
        <v>52.693004000000009</v>
      </c>
      <c r="G4463" s="3">
        <f t="shared" si="139"/>
        <v>261.21300400000001</v>
      </c>
    </row>
    <row r="4464" spans="1:7" x14ac:dyDescent="0.3">
      <c r="A4464" t="s">
        <v>13039</v>
      </c>
      <c r="B4464" t="s">
        <v>8958</v>
      </c>
      <c r="C4464" t="s">
        <v>8959</v>
      </c>
      <c r="D4464" s="1" t="s">
        <v>8767</v>
      </c>
      <c r="E4464" s="3">
        <v>268.75</v>
      </c>
      <c r="F4464" s="3">
        <f t="shared" si="138"/>
        <v>67.913125000000008</v>
      </c>
      <c r="G4464" s="3">
        <f t="shared" si="139"/>
        <v>336.66312500000004</v>
      </c>
    </row>
    <row r="4465" spans="1:7" x14ac:dyDescent="0.3">
      <c r="A4465" t="s">
        <v>13039</v>
      </c>
      <c r="B4465" t="s">
        <v>8960</v>
      </c>
      <c r="C4465" t="s">
        <v>8961</v>
      </c>
      <c r="D4465" s="1" t="s">
        <v>8767</v>
      </c>
      <c r="E4465" s="3">
        <v>199.7</v>
      </c>
      <c r="F4465" s="3">
        <f t="shared" si="138"/>
        <v>50.464190000000002</v>
      </c>
      <c r="G4465" s="3">
        <f t="shared" si="139"/>
        <v>250.16418999999999</v>
      </c>
    </row>
    <row r="4466" spans="1:7" x14ac:dyDescent="0.3">
      <c r="A4466" t="s">
        <v>13039</v>
      </c>
      <c r="B4466" t="s">
        <v>8962</v>
      </c>
      <c r="C4466" t="s">
        <v>8963</v>
      </c>
      <c r="D4466" s="1" t="s">
        <v>8767</v>
      </c>
      <c r="E4466" s="3">
        <v>194.12</v>
      </c>
      <c r="F4466" s="3">
        <f t="shared" si="138"/>
        <v>49.054124000000009</v>
      </c>
      <c r="G4466" s="3">
        <f t="shared" si="139"/>
        <v>243.17412400000001</v>
      </c>
    </row>
    <row r="4467" spans="1:7" x14ac:dyDescent="0.3">
      <c r="A4467" t="s">
        <v>13039</v>
      </c>
      <c r="B4467" t="s">
        <v>8964</v>
      </c>
      <c r="C4467" t="s">
        <v>8965</v>
      </c>
      <c r="D4467" s="1" t="s">
        <v>8767</v>
      </c>
      <c r="E4467" s="3">
        <v>149.22999999999999</v>
      </c>
      <c r="F4467" s="3">
        <f t="shared" si="138"/>
        <v>37.710421000000004</v>
      </c>
      <c r="G4467" s="3">
        <f t="shared" si="139"/>
        <v>186.94042099999999</v>
      </c>
    </row>
    <row r="4468" spans="1:7" x14ac:dyDescent="0.3">
      <c r="A4468" t="s">
        <v>13039</v>
      </c>
      <c r="B4468" t="s">
        <v>8966</v>
      </c>
      <c r="C4468" t="s">
        <v>8967</v>
      </c>
      <c r="D4468" s="1" t="s">
        <v>2904</v>
      </c>
      <c r="E4468" s="3">
        <v>0.37</v>
      </c>
      <c r="F4468" s="3">
        <f t="shared" si="138"/>
        <v>9.3499000000000013E-2</v>
      </c>
      <c r="G4468" s="3">
        <f t="shared" si="139"/>
        <v>0.46349899999999999</v>
      </c>
    </row>
    <row r="4469" spans="1:7" x14ac:dyDescent="0.3">
      <c r="A4469" t="s">
        <v>13039</v>
      </c>
      <c r="B4469" t="s">
        <v>8968</v>
      </c>
      <c r="C4469" t="s">
        <v>8969</v>
      </c>
      <c r="D4469" s="1" t="s">
        <v>2904</v>
      </c>
      <c r="E4469" s="3">
        <v>0.56999999999999995</v>
      </c>
      <c r="F4469" s="3">
        <f t="shared" si="138"/>
        <v>0.144039</v>
      </c>
      <c r="G4469" s="3">
        <f t="shared" si="139"/>
        <v>0.71403899999999998</v>
      </c>
    </row>
    <row r="4470" spans="1:7" x14ac:dyDescent="0.3">
      <c r="A4470" t="s">
        <v>13039</v>
      </c>
      <c r="B4470" t="s">
        <v>8970</v>
      </c>
      <c r="C4470" t="s">
        <v>8971</v>
      </c>
      <c r="D4470" s="1" t="s">
        <v>427</v>
      </c>
      <c r="E4470" s="3">
        <v>1.63</v>
      </c>
      <c r="F4470" s="3">
        <f t="shared" si="138"/>
        <v>0.41190100000000002</v>
      </c>
      <c r="G4470" s="3">
        <f t="shared" si="139"/>
        <v>2.0419009999999997</v>
      </c>
    </row>
    <row r="4471" spans="1:7" x14ac:dyDescent="0.3">
      <c r="A4471" t="s">
        <v>13039</v>
      </c>
      <c r="B4471" t="s">
        <v>8972</v>
      </c>
      <c r="C4471" t="s">
        <v>8973</v>
      </c>
      <c r="D4471" s="1" t="s">
        <v>427</v>
      </c>
      <c r="E4471" s="3">
        <v>5.82</v>
      </c>
      <c r="F4471" s="3">
        <f t="shared" si="138"/>
        <v>1.4707140000000003</v>
      </c>
      <c r="G4471" s="3">
        <f t="shared" si="139"/>
        <v>7.2907140000000004</v>
      </c>
    </row>
    <row r="4472" spans="1:7" x14ac:dyDescent="0.3">
      <c r="A4472" t="s">
        <v>13039</v>
      </c>
      <c r="B4472" t="s">
        <v>8974</v>
      </c>
      <c r="C4472" t="s">
        <v>8975</v>
      </c>
      <c r="D4472" s="1" t="s">
        <v>427</v>
      </c>
      <c r="E4472" s="3">
        <v>7.16</v>
      </c>
      <c r="F4472" s="3">
        <f t="shared" si="138"/>
        <v>1.8093320000000004</v>
      </c>
      <c r="G4472" s="3">
        <f t="shared" si="139"/>
        <v>8.9693320000000014</v>
      </c>
    </row>
    <row r="4473" spans="1:7" x14ac:dyDescent="0.3">
      <c r="A4473" t="s">
        <v>13039</v>
      </c>
      <c r="B4473" t="s">
        <v>8976</v>
      </c>
      <c r="C4473" t="s">
        <v>8977</v>
      </c>
      <c r="D4473" s="1" t="s">
        <v>427</v>
      </c>
      <c r="E4473" s="3">
        <v>15.26</v>
      </c>
      <c r="F4473" s="3">
        <f t="shared" si="138"/>
        <v>3.8562020000000006</v>
      </c>
      <c r="G4473" s="3">
        <f t="shared" si="139"/>
        <v>19.116202000000001</v>
      </c>
    </row>
    <row r="4474" spans="1:7" x14ac:dyDescent="0.3">
      <c r="A4474" t="s">
        <v>13039</v>
      </c>
      <c r="B4474" t="s">
        <v>8978</v>
      </c>
      <c r="C4474" t="s">
        <v>8979</v>
      </c>
      <c r="D4474" s="1" t="s">
        <v>2904</v>
      </c>
      <c r="E4474" s="3">
        <v>43.53</v>
      </c>
      <c r="F4474" s="3">
        <f t="shared" si="138"/>
        <v>11.000031000000002</v>
      </c>
      <c r="G4474" s="3">
        <f t="shared" si="139"/>
        <v>54.530031000000001</v>
      </c>
    </row>
    <row r="4475" spans="1:7" x14ac:dyDescent="0.3">
      <c r="A4475" t="s">
        <v>13039</v>
      </c>
      <c r="B4475" t="s">
        <v>8980</v>
      </c>
      <c r="C4475" t="s">
        <v>8981</v>
      </c>
      <c r="D4475" s="1" t="s">
        <v>2904</v>
      </c>
      <c r="E4475" s="3">
        <v>0.63</v>
      </c>
      <c r="F4475" s="3">
        <f t="shared" si="138"/>
        <v>0.15920100000000004</v>
      </c>
      <c r="G4475" s="3">
        <f t="shared" si="139"/>
        <v>0.78920100000000004</v>
      </c>
    </row>
    <row r="4476" spans="1:7" x14ac:dyDescent="0.3">
      <c r="A4476" t="s">
        <v>13039</v>
      </c>
      <c r="B4476" t="s">
        <v>8982</v>
      </c>
      <c r="C4476" t="s">
        <v>8983</v>
      </c>
      <c r="D4476" s="1" t="s">
        <v>2904</v>
      </c>
      <c r="E4476" s="3">
        <v>0.68</v>
      </c>
      <c r="F4476" s="3">
        <f t="shared" si="138"/>
        <v>0.17183600000000004</v>
      </c>
      <c r="G4476" s="3">
        <f t="shared" si="139"/>
        <v>0.85183600000000004</v>
      </c>
    </row>
    <row r="4477" spans="1:7" x14ac:dyDescent="0.3">
      <c r="A4477" t="s">
        <v>13039</v>
      </c>
      <c r="B4477" t="s">
        <v>8984</v>
      </c>
      <c r="C4477" t="s">
        <v>8985</v>
      </c>
      <c r="D4477" s="1" t="s">
        <v>2904</v>
      </c>
      <c r="E4477" s="3">
        <v>1.1100000000000001</v>
      </c>
      <c r="F4477" s="3">
        <f t="shared" si="138"/>
        <v>0.28049700000000005</v>
      </c>
      <c r="G4477" s="3">
        <f t="shared" si="139"/>
        <v>1.3904970000000001</v>
      </c>
    </row>
    <row r="4478" spans="1:7" x14ac:dyDescent="0.3">
      <c r="A4478" t="s">
        <v>13039</v>
      </c>
      <c r="B4478" t="s">
        <v>8986</v>
      </c>
      <c r="C4478" t="s">
        <v>8987</v>
      </c>
      <c r="D4478" s="1" t="s">
        <v>2904</v>
      </c>
      <c r="E4478" s="3">
        <v>0.73</v>
      </c>
      <c r="F4478" s="3">
        <f t="shared" si="138"/>
        <v>0.18447100000000002</v>
      </c>
      <c r="G4478" s="3">
        <f t="shared" si="139"/>
        <v>0.91447100000000003</v>
      </c>
    </row>
    <row r="4479" spans="1:7" x14ac:dyDescent="0.3">
      <c r="A4479" t="s">
        <v>13039</v>
      </c>
      <c r="B4479" t="s">
        <v>8988</v>
      </c>
      <c r="C4479" t="s">
        <v>8989</v>
      </c>
      <c r="D4479" s="1" t="s">
        <v>2904</v>
      </c>
      <c r="E4479" s="3">
        <v>0.78</v>
      </c>
      <c r="F4479" s="3">
        <f t="shared" si="138"/>
        <v>0.19710600000000003</v>
      </c>
      <c r="G4479" s="3">
        <f t="shared" si="139"/>
        <v>0.97710600000000003</v>
      </c>
    </row>
    <row r="4480" spans="1:7" x14ac:dyDescent="0.3">
      <c r="A4480" t="s">
        <v>13039</v>
      </c>
      <c r="B4480" t="s">
        <v>8990</v>
      </c>
      <c r="C4480" t="s">
        <v>8991</v>
      </c>
      <c r="D4480" s="1" t="s">
        <v>2904</v>
      </c>
      <c r="E4480" s="3">
        <v>0.51</v>
      </c>
      <c r="F4480" s="3">
        <f t="shared" si="138"/>
        <v>0.12887700000000002</v>
      </c>
      <c r="G4480" s="3">
        <f t="shared" si="139"/>
        <v>0.63887700000000003</v>
      </c>
    </row>
    <row r="4481" spans="1:7" x14ac:dyDescent="0.3">
      <c r="A4481" t="s">
        <v>13039</v>
      </c>
      <c r="B4481" t="s">
        <v>8992</v>
      </c>
      <c r="C4481" t="s">
        <v>8993</v>
      </c>
      <c r="D4481" s="1" t="s">
        <v>2904</v>
      </c>
      <c r="E4481" s="3">
        <v>1.45</v>
      </c>
      <c r="F4481" s="3">
        <f t="shared" si="138"/>
        <v>0.36641500000000005</v>
      </c>
      <c r="G4481" s="3">
        <f t="shared" si="139"/>
        <v>1.8164150000000001</v>
      </c>
    </row>
    <row r="4482" spans="1:7" x14ac:dyDescent="0.3">
      <c r="A4482" t="s">
        <v>13039</v>
      </c>
      <c r="B4482" t="s">
        <v>8994</v>
      </c>
      <c r="C4482" t="s">
        <v>8995</v>
      </c>
      <c r="D4482" s="1" t="s">
        <v>2904</v>
      </c>
      <c r="E4482" s="3">
        <v>0.96</v>
      </c>
      <c r="F4482" s="3">
        <f t="shared" si="138"/>
        <v>0.24259200000000003</v>
      </c>
      <c r="G4482" s="3">
        <f t="shared" si="139"/>
        <v>1.2025920000000001</v>
      </c>
    </row>
    <row r="4483" spans="1:7" x14ac:dyDescent="0.3">
      <c r="A4483" t="s">
        <v>13039</v>
      </c>
      <c r="B4483" t="s">
        <v>8996</v>
      </c>
      <c r="C4483" t="s">
        <v>8997</v>
      </c>
      <c r="D4483" s="1" t="s">
        <v>427</v>
      </c>
      <c r="E4483" s="3">
        <v>289.98</v>
      </c>
      <c r="F4483" s="3">
        <f t="shared" si="138"/>
        <v>73.277946000000014</v>
      </c>
      <c r="G4483" s="3">
        <f t="shared" si="139"/>
        <v>363.25794600000006</v>
      </c>
    </row>
    <row r="4484" spans="1:7" x14ac:dyDescent="0.3">
      <c r="A4484" t="s">
        <v>13039</v>
      </c>
      <c r="B4484" t="s">
        <v>8998</v>
      </c>
      <c r="C4484" t="s">
        <v>8999</v>
      </c>
      <c r="D4484" s="1" t="s">
        <v>427</v>
      </c>
      <c r="E4484" s="3">
        <v>148.72999999999999</v>
      </c>
      <c r="F4484" s="3">
        <f t="shared" si="138"/>
        <v>37.584071000000002</v>
      </c>
      <c r="G4484" s="3">
        <f t="shared" si="139"/>
        <v>186.31407099999998</v>
      </c>
    </row>
    <row r="4485" spans="1:7" x14ac:dyDescent="0.3">
      <c r="A4485" t="s">
        <v>13039</v>
      </c>
      <c r="B4485" t="s">
        <v>9000</v>
      </c>
      <c r="C4485" t="s">
        <v>9001</v>
      </c>
      <c r="D4485" s="1" t="s">
        <v>427</v>
      </c>
      <c r="E4485" s="3">
        <v>290.87</v>
      </c>
      <c r="F4485" s="3">
        <f t="shared" si="138"/>
        <v>73.502849000000012</v>
      </c>
      <c r="G4485" s="3">
        <f t="shared" si="139"/>
        <v>364.37284900000003</v>
      </c>
    </row>
    <row r="4486" spans="1:7" x14ac:dyDescent="0.3">
      <c r="A4486" t="s">
        <v>13039</v>
      </c>
      <c r="B4486" t="s">
        <v>9002</v>
      </c>
      <c r="C4486" t="s">
        <v>9003</v>
      </c>
      <c r="D4486" s="1" t="s">
        <v>427</v>
      </c>
      <c r="E4486" s="3">
        <v>149.66999999999999</v>
      </c>
      <c r="F4486" s="3">
        <f t="shared" si="138"/>
        <v>37.821609000000002</v>
      </c>
      <c r="G4486" s="3">
        <f t="shared" si="139"/>
        <v>187.49160899999998</v>
      </c>
    </row>
    <row r="4487" spans="1:7" x14ac:dyDescent="0.3">
      <c r="A4487" t="s">
        <v>13039</v>
      </c>
      <c r="B4487" t="s">
        <v>9004</v>
      </c>
      <c r="C4487" t="s">
        <v>9005</v>
      </c>
      <c r="D4487" s="1" t="s">
        <v>427</v>
      </c>
      <c r="E4487" s="3">
        <v>295.89</v>
      </c>
      <c r="F4487" s="3">
        <f t="shared" ref="F4487:F4550" si="140">+E4487*$F$4</f>
        <v>74.771403000000007</v>
      </c>
      <c r="G4487" s="3">
        <f t="shared" ref="G4487:G4550" si="141">+E4487+F4487</f>
        <v>370.66140300000001</v>
      </c>
    </row>
    <row r="4488" spans="1:7" x14ac:dyDescent="0.3">
      <c r="A4488" t="s">
        <v>13039</v>
      </c>
      <c r="B4488" t="s">
        <v>9006</v>
      </c>
      <c r="C4488" t="s">
        <v>9007</v>
      </c>
      <c r="D4488" s="1" t="s">
        <v>427</v>
      </c>
      <c r="E4488" s="3">
        <v>150.72</v>
      </c>
      <c r="F4488" s="3">
        <f t="shared" si="140"/>
        <v>38.086944000000003</v>
      </c>
      <c r="G4488" s="3">
        <f t="shared" si="141"/>
        <v>188.80694399999999</v>
      </c>
    </row>
    <row r="4489" spans="1:7" x14ac:dyDescent="0.3">
      <c r="A4489" t="s">
        <v>13039</v>
      </c>
      <c r="B4489" t="s">
        <v>9008</v>
      </c>
      <c r="C4489" t="s">
        <v>9009</v>
      </c>
      <c r="D4489" s="1" t="s">
        <v>427</v>
      </c>
      <c r="E4489" s="3">
        <v>297.82</v>
      </c>
      <c r="F4489" s="3">
        <f t="shared" si="140"/>
        <v>75.259114000000011</v>
      </c>
      <c r="G4489" s="3">
        <f t="shared" si="141"/>
        <v>373.079114</v>
      </c>
    </row>
    <row r="4490" spans="1:7" x14ac:dyDescent="0.3">
      <c r="A4490" t="s">
        <v>13039</v>
      </c>
      <c r="B4490" t="s">
        <v>9010</v>
      </c>
      <c r="C4490" t="s">
        <v>9011</v>
      </c>
      <c r="D4490" s="1" t="s">
        <v>427</v>
      </c>
      <c r="E4490" s="3">
        <v>151.16</v>
      </c>
      <c r="F4490" s="3">
        <f t="shared" si="140"/>
        <v>38.198132000000001</v>
      </c>
      <c r="G4490" s="3">
        <f t="shared" si="141"/>
        <v>189.35813200000001</v>
      </c>
    </row>
    <row r="4491" spans="1:7" x14ac:dyDescent="0.3">
      <c r="A4491" t="s">
        <v>13039</v>
      </c>
      <c r="B4491" t="s">
        <v>9012</v>
      </c>
      <c r="C4491" t="s">
        <v>9013</v>
      </c>
      <c r="D4491" s="1" t="s">
        <v>427</v>
      </c>
      <c r="E4491" s="3">
        <v>315.26</v>
      </c>
      <c r="F4491" s="3">
        <f t="shared" si="140"/>
        <v>79.666202000000013</v>
      </c>
      <c r="G4491" s="3">
        <f t="shared" si="141"/>
        <v>394.92620199999999</v>
      </c>
    </row>
    <row r="4492" spans="1:7" x14ac:dyDescent="0.3">
      <c r="A4492" t="s">
        <v>13039</v>
      </c>
      <c r="B4492" t="s">
        <v>9014</v>
      </c>
      <c r="C4492" t="s">
        <v>9015</v>
      </c>
      <c r="D4492" s="1" t="s">
        <v>427</v>
      </c>
      <c r="E4492" s="3">
        <v>177.94</v>
      </c>
      <c r="F4492" s="3">
        <f t="shared" si="140"/>
        <v>44.965438000000006</v>
      </c>
      <c r="G4492" s="3">
        <f t="shared" si="141"/>
        <v>222.905438</v>
      </c>
    </row>
    <row r="4493" spans="1:7" x14ac:dyDescent="0.3">
      <c r="A4493" t="s">
        <v>13039</v>
      </c>
      <c r="B4493" t="s">
        <v>9016</v>
      </c>
      <c r="C4493" t="s">
        <v>9017</v>
      </c>
      <c r="D4493" s="1" t="s">
        <v>2904</v>
      </c>
      <c r="E4493" s="3">
        <v>5.33</v>
      </c>
      <c r="F4493" s="3">
        <f t="shared" si="140"/>
        <v>1.3468910000000003</v>
      </c>
      <c r="G4493" s="3">
        <f t="shared" si="141"/>
        <v>6.6768910000000004</v>
      </c>
    </row>
    <row r="4494" spans="1:7" x14ac:dyDescent="0.3">
      <c r="A4494" t="s">
        <v>13039</v>
      </c>
      <c r="B4494" t="s">
        <v>9018</v>
      </c>
      <c r="C4494" t="s">
        <v>9019</v>
      </c>
      <c r="D4494" s="1" t="s">
        <v>2904</v>
      </c>
      <c r="E4494" s="3">
        <v>1.81</v>
      </c>
      <c r="F4494" s="3">
        <f t="shared" si="140"/>
        <v>0.4573870000000001</v>
      </c>
      <c r="G4494" s="3">
        <f t="shared" si="141"/>
        <v>2.2673870000000003</v>
      </c>
    </row>
    <row r="4495" spans="1:7" x14ac:dyDescent="0.3">
      <c r="A4495" t="s">
        <v>13039</v>
      </c>
      <c r="B4495" t="s">
        <v>9020</v>
      </c>
      <c r="C4495" t="s">
        <v>9021</v>
      </c>
      <c r="D4495" s="1" t="s">
        <v>8767</v>
      </c>
      <c r="E4495" s="3">
        <v>215.45</v>
      </c>
      <c r="F4495" s="3">
        <f t="shared" si="140"/>
        <v>54.444215000000007</v>
      </c>
      <c r="G4495" s="3">
        <f t="shared" si="141"/>
        <v>269.89421499999997</v>
      </c>
    </row>
    <row r="4496" spans="1:7" x14ac:dyDescent="0.3">
      <c r="A4496" t="s">
        <v>13039</v>
      </c>
      <c r="B4496" t="s">
        <v>9022</v>
      </c>
      <c r="C4496" t="s">
        <v>9023</v>
      </c>
      <c r="D4496" s="1" t="s">
        <v>8767</v>
      </c>
      <c r="E4496" s="3">
        <v>152.13999999999999</v>
      </c>
      <c r="F4496" s="3">
        <f t="shared" si="140"/>
        <v>38.445778000000004</v>
      </c>
      <c r="G4496" s="3">
        <f t="shared" si="141"/>
        <v>190.585778</v>
      </c>
    </row>
    <row r="4497" spans="1:7" x14ac:dyDescent="0.3">
      <c r="A4497" t="s">
        <v>13039</v>
      </c>
      <c r="B4497" t="s">
        <v>9024</v>
      </c>
      <c r="C4497" t="s">
        <v>9025</v>
      </c>
      <c r="D4497" s="1" t="s">
        <v>2904</v>
      </c>
      <c r="E4497" s="3">
        <v>2.9</v>
      </c>
      <c r="F4497" s="3">
        <f t="shared" si="140"/>
        <v>0.73283000000000009</v>
      </c>
      <c r="G4497" s="3">
        <f t="shared" si="141"/>
        <v>3.6328300000000002</v>
      </c>
    </row>
    <row r="4498" spans="1:7" x14ac:dyDescent="0.3">
      <c r="A4498" t="s">
        <v>13039</v>
      </c>
      <c r="B4498" t="s">
        <v>9026</v>
      </c>
      <c r="C4498" t="s">
        <v>9027</v>
      </c>
      <c r="D4498" s="1" t="s">
        <v>2904</v>
      </c>
      <c r="E4498" s="3">
        <v>2.1</v>
      </c>
      <c r="F4498" s="3">
        <f t="shared" si="140"/>
        <v>0.53067000000000009</v>
      </c>
      <c r="G4498" s="3">
        <f t="shared" si="141"/>
        <v>2.6306700000000003</v>
      </c>
    </row>
    <row r="4499" spans="1:7" x14ac:dyDescent="0.3">
      <c r="A4499" t="s">
        <v>13039</v>
      </c>
      <c r="B4499" t="s">
        <v>9028</v>
      </c>
      <c r="C4499" t="s">
        <v>9029</v>
      </c>
      <c r="D4499" s="1" t="s">
        <v>2904</v>
      </c>
      <c r="E4499" s="3">
        <v>5.6</v>
      </c>
      <c r="F4499" s="3">
        <f t="shared" si="140"/>
        <v>1.4151200000000002</v>
      </c>
      <c r="G4499" s="3">
        <f t="shared" si="141"/>
        <v>7.0151199999999996</v>
      </c>
    </row>
    <row r="4500" spans="1:7" x14ac:dyDescent="0.3">
      <c r="A4500" t="s">
        <v>13039</v>
      </c>
      <c r="B4500" t="s">
        <v>9030</v>
      </c>
      <c r="C4500" t="s">
        <v>9031</v>
      </c>
      <c r="D4500" s="1" t="s">
        <v>2904</v>
      </c>
      <c r="E4500" s="3">
        <v>4.09</v>
      </c>
      <c r="F4500" s="3">
        <f t="shared" si="140"/>
        <v>1.0335430000000001</v>
      </c>
      <c r="G4500" s="3">
        <f t="shared" si="141"/>
        <v>5.1235429999999997</v>
      </c>
    </row>
    <row r="4501" spans="1:7" x14ac:dyDescent="0.3">
      <c r="A4501" t="s">
        <v>13039</v>
      </c>
      <c r="B4501" t="s">
        <v>9032</v>
      </c>
      <c r="C4501" t="s">
        <v>9033</v>
      </c>
      <c r="D4501" s="1" t="s">
        <v>2904</v>
      </c>
      <c r="E4501" s="3">
        <v>7.47</v>
      </c>
      <c r="F4501" s="3">
        <f t="shared" si="140"/>
        <v>1.8876690000000003</v>
      </c>
      <c r="G4501" s="3">
        <f t="shared" si="141"/>
        <v>9.3576689999999996</v>
      </c>
    </row>
    <row r="4502" spans="1:7" x14ac:dyDescent="0.3">
      <c r="A4502" t="s">
        <v>13039</v>
      </c>
      <c r="B4502" t="s">
        <v>9034</v>
      </c>
      <c r="C4502" t="s">
        <v>9035</v>
      </c>
      <c r="D4502" s="1" t="s">
        <v>2904</v>
      </c>
      <c r="E4502" s="3">
        <v>5.46</v>
      </c>
      <c r="F4502" s="3">
        <f t="shared" si="140"/>
        <v>1.3797420000000002</v>
      </c>
      <c r="G4502" s="3">
        <f t="shared" si="141"/>
        <v>6.8397420000000002</v>
      </c>
    </row>
    <row r="4503" spans="1:7" x14ac:dyDescent="0.3">
      <c r="A4503" t="s">
        <v>13039</v>
      </c>
      <c r="B4503" t="s">
        <v>9036</v>
      </c>
      <c r="C4503" t="s">
        <v>9037</v>
      </c>
      <c r="D4503" s="1" t="s">
        <v>427</v>
      </c>
      <c r="E4503" s="3">
        <v>577.15</v>
      </c>
      <c r="F4503" s="3">
        <f t="shared" si="140"/>
        <v>145.84580500000001</v>
      </c>
      <c r="G4503" s="3">
        <f t="shared" si="141"/>
        <v>722.99580500000002</v>
      </c>
    </row>
    <row r="4504" spans="1:7" x14ac:dyDescent="0.3">
      <c r="A4504" t="s">
        <v>13039</v>
      </c>
      <c r="B4504" t="s">
        <v>9038</v>
      </c>
      <c r="C4504" t="s">
        <v>9039</v>
      </c>
      <c r="D4504" s="1" t="s">
        <v>427</v>
      </c>
      <c r="E4504" s="3">
        <v>410.35</v>
      </c>
      <c r="F4504" s="3">
        <f t="shared" si="140"/>
        <v>103.69544500000002</v>
      </c>
      <c r="G4504" s="3">
        <f t="shared" si="141"/>
        <v>514.04544500000009</v>
      </c>
    </row>
    <row r="4505" spans="1:7" x14ac:dyDescent="0.3">
      <c r="A4505" t="s">
        <v>13039</v>
      </c>
      <c r="B4505" t="s">
        <v>9040</v>
      </c>
      <c r="C4505" t="s">
        <v>9041</v>
      </c>
      <c r="D4505" s="1" t="s">
        <v>427</v>
      </c>
      <c r="E4505" s="3">
        <v>433.59</v>
      </c>
      <c r="F4505" s="3">
        <f t="shared" si="140"/>
        <v>109.56819300000001</v>
      </c>
      <c r="G4505" s="3">
        <f t="shared" si="141"/>
        <v>543.15819299999998</v>
      </c>
    </row>
    <row r="4506" spans="1:7" x14ac:dyDescent="0.3">
      <c r="A4506" t="s">
        <v>13039</v>
      </c>
      <c r="B4506" t="s">
        <v>9042</v>
      </c>
      <c r="C4506" t="s">
        <v>9043</v>
      </c>
      <c r="D4506" s="1" t="s">
        <v>427</v>
      </c>
      <c r="E4506" s="3">
        <v>279.22000000000003</v>
      </c>
      <c r="F4506" s="3">
        <f t="shared" si="140"/>
        <v>70.558894000000024</v>
      </c>
      <c r="G4506" s="3">
        <f t="shared" si="141"/>
        <v>349.77889400000004</v>
      </c>
    </row>
    <row r="4507" spans="1:7" x14ac:dyDescent="0.3">
      <c r="A4507" t="s">
        <v>13039</v>
      </c>
      <c r="B4507" t="s">
        <v>9044</v>
      </c>
      <c r="C4507" t="s">
        <v>9045</v>
      </c>
      <c r="D4507" s="1" t="s">
        <v>427</v>
      </c>
      <c r="E4507" s="3">
        <v>448.22</v>
      </c>
      <c r="F4507" s="3">
        <f t="shared" si="140"/>
        <v>113.26519400000002</v>
      </c>
      <c r="G4507" s="3">
        <f t="shared" si="141"/>
        <v>561.48519400000009</v>
      </c>
    </row>
    <row r="4508" spans="1:7" x14ac:dyDescent="0.3">
      <c r="A4508" t="s">
        <v>13039</v>
      </c>
      <c r="B4508" t="s">
        <v>9046</v>
      </c>
      <c r="C4508" t="s">
        <v>9047</v>
      </c>
      <c r="D4508" s="1" t="s">
        <v>427</v>
      </c>
      <c r="E4508" s="3">
        <v>293.85000000000002</v>
      </c>
      <c r="F4508" s="3">
        <f t="shared" si="140"/>
        <v>74.25589500000001</v>
      </c>
      <c r="G4508" s="3">
        <f t="shared" si="141"/>
        <v>368.10589500000003</v>
      </c>
    </row>
    <row r="4509" spans="1:7" x14ac:dyDescent="0.3">
      <c r="A4509" t="s">
        <v>13039</v>
      </c>
      <c r="B4509" t="s">
        <v>9048</v>
      </c>
      <c r="C4509" t="s">
        <v>9049</v>
      </c>
      <c r="D4509" s="1" t="s">
        <v>427</v>
      </c>
      <c r="E4509" s="3">
        <v>374.04</v>
      </c>
      <c r="F4509" s="3">
        <f t="shared" si="140"/>
        <v>94.519908000000015</v>
      </c>
      <c r="G4509" s="3">
        <f t="shared" si="141"/>
        <v>468.55990800000006</v>
      </c>
    </row>
    <row r="4510" spans="1:7" x14ac:dyDescent="0.3">
      <c r="A4510" t="s">
        <v>13039</v>
      </c>
      <c r="B4510" t="s">
        <v>9050</v>
      </c>
      <c r="C4510" t="s">
        <v>9051</v>
      </c>
      <c r="D4510" s="1" t="s">
        <v>427</v>
      </c>
      <c r="E4510" s="3">
        <v>218.14</v>
      </c>
      <c r="F4510" s="3">
        <f t="shared" si="140"/>
        <v>55.123978000000001</v>
      </c>
      <c r="G4510" s="3">
        <f t="shared" si="141"/>
        <v>273.26397800000001</v>
      </c>
    </row>
    <row r="4511" spans="1:7" x14ac:dyDescent="0.3">
      <c r="A4511" t="s">
        <v>13039</v>
      </c>
      <c r="B4511" t="s">
        <v>9052</v>
      </c>
      <c r="C4511" t="s">
        <v>9053</v>
      </c>
      <c r="D4511" s="1" t="s">
        <v>2904</v>
      </c>
      <c r="E4511" s="3">
        <v>0.47</v>
      </c>
      <c r="F4511" s="3">
        <f t="shared" si="140"/>
        <v>0.11876900000000001</v>
      </c>
      <c r="G4511" s="3">
        <f t="shared" si="141"/>
        <v>0.58876899999999999</v>
      </c>
    </row>
    <row r="4512" spans="1:7" x14ac:dyDescent="0.3">
      <c r="A4512" t="s">
        <v>13039</v>
      </c>
      <c r="B4512" t="s">
        <v>9054</v>
      </c>
      <c r="C4512" t="s">
        <v>9055</v>
      </c>
      <c r="D4512" s="1" t="s">
        <v>2904</v>
      </c>
      <c r="E4512" s="3">
        <v>0.47</v>
      </c>
      <c r="F4512" s="3">
        <f t="shared" si="140"/>
        <v>0.11876900000000001</v>
      </c>
      <c r="G4512" s="3">
        <f t="shared" si="141"/>
        <v>0.58876899999999999</v>
      </c>
    </row>
    <row r="4513" spans="1:7" x14ac:dyDescent="0.3">
      <c r="A4513" t="s">
        <v>13039</v>
      </c>
      <c r="B4513" t="s">
        <v>9056</v>
      </c>
      <c r="C4513" t="s">
        <v>9057</v>
      </c>
      <c r="D4513" s="1" t="s">
        <v>427</v>
      </c>
      <c r="E4513" s="3">
        <v>402.52</v>
      </c>
      <c r="F4513" s="3">
        <f t="shared" si="140"/>
        <v>101.71680400000001</v>
      </c>
      <c r="G4513" s="3">
        <f t="shared" si="141"/>
        <v>504.23680400000001</v>
      </c>
    </row>
    <row r="4514" spans="1:7" x14ac:dyDescent="0.3">
      <c r="A4514" t="s">
        <v>13039</v>
      </c>
      <c r="B4514" t="s">
        <v>9058</v>
      </c>
      <c r="C4514" t="s">
        <v>9059</v>
      </c>
      <c r="D4514" s="1" t="s">
        <v>427</v>
      </c>
      <c r="E4514" s="3">
        <v>224.4</v>
      </c>
      <c r="F4514" s="3">
        <f t="shared" si="140"/>
        <v>56.705880000000008</v>
      </c>
      <c r="G4514" s="3">
        <f t="shared" si="141"/>
        <v>281.10588000000001</v>
      </c>
    </row>
    <row r="4515" spans="1:7" x14ac:dyDescent="0.3">
      <c r="A4515" t="s">
        <v>13039</v>
      </c>
      <c r="B4515" t="s">
        <v>9060</v>
      </c>
      <c r="C4515" t="s">
        <v>9061</v>
      </c>
      <c r="D4515" s="1" t="s">
        <v>427</v>
      </c>
      <c r="E4515" s="3">
        <v>405.46</v>
      </c>
      <c r="F4515" s="3">
        <f t="shared" si="140"/>
        <v>102.45974200000001</v>
      </c>
      <c r="G4515" s="3">
        <f t="shared" si="141"/>
        <v>507.91974199999999</v>
      </c>
    </row>
    <row r="4516" spans="1:7" x14ac:dyDescent="0.3">
      <c r="A4516" t="s">
        <v>13039</v>
      </c>
      <c r="B4516" t="s">
        <v>9062</v>
      </c>
      <c r="C4516" t="s">
        <v>9063</v>
      </c>
      <c r="D4516" s="1" t="s">
        <v>427</v>
      </c>
      <c r="E4516" s="3">
        <v>221.21</v>
      </c>
      <c r="F4516" s="3">
        <f t="shared" si="140"/>
        <v>55.899767000000011</v>
      </c>
      <c r="G4516" s="3">
        <f t="shared" si="141"/>
        <v>277.10976700000003</v>
      </c>
    </row>
    <row r="4517" spans="1:7" x14ac:dyDescent="0.3">
      <c r="A4517" t="s">
        <v>13039</v>
      </c>
      <c r="B4517" t="s">
        <v>9064</v>
      </c>
      <c r="C4517" t="s">
        <v>9065</v>
      </c>
      <c r="D4517" s="1" t="s">
        <v>427</v>
      </c>
      <c r="E4517" s="3">
        <v>420.26</v>
      </c>
      <c r="F4517" s="3">
        <f t="shared" si="140"/>
        <v>106.19970200000002</v>
      </c>
      <c r="G4517" s="3">
        <f t="shared" si="141"/>
        <v>526.45970199999999</v>
      </c>
    </row>
    <row r="4518" spans="1:7" x14ac:dyDescent="0.3">
      <c r="A4518" t="s">
        <v>13039</v>
      </c>
      <c r="B4518" t="s">
        <v>9066</v>
      </c>
      <c r="C4518" t="s">
        <v>9067</v>
      </c>
      <c r="D4518" s="1" t="s">
        <v>427</v>
      </c>
      <c r="E4518" s="3">
        <v>241.59</v>
      </c>
      <c r="F4518" s="3">
        <f t="shared" si="140"/>
        <v>61.049793000000008</v>
      </c>
      <c r="G4518" s="3">
        <f t="shared" si="141"/>
        <v>302.639793</v>
      </c>
    </row>
    <row r="4519" spans="1:7" x14ac:dyDescent="0.3">
      <c r="A4519" t="s">
        <v>13039</v>
      </c>
      <c r="B4519" t="s">
        <v>9068</v>
      </c>
      <c r="C4519" t="s">
        <v>9069</v>
      </c>
      <c r="D4519" s="1" t="s">
        <v>427</v>
      </c>
      <c r="E4519" s="3">
        <v>423.62</v>
      </c>
      <c r="F4519" s="3">
        <f t="shared" si="140"/>
        <v>107.04877400000002</v>
      </c>
      <c r="G4519" s="3">
        <f t="shared" si="141"/>
        <v>530.66877399999998</v>
      </c>
    </row>
    <row r="4520" spans="1:7" x14ac:dyDescent="0.3">
      <c r="A4520" t="s">
        <v>13039</v>
      </c>
      <c r="B4520" t="s">
        <v>9070</v>
      </c>
      <c r="C4520" t="s">
        <v>9071</v>
      </c>
      <c r="D4520" s="1" t="s">
        <v>427</v>
      </c>
      <c r="E4520" s="3">
        <v>238.4</v>
      </c>
      <c r="F4520" s="3">
        <f t="shared" si="140"/>
        <v>60.243680000000012</v>
      </c>
      <c r="G4520" s="3">
        <f t="shared" si="141"/>
        <v>298.64368000000002</v>
      </c>
    </row>
    <row r="4521" spans="1:7" x14ac:dyDescent="0.3">
      <c r="A4521" t="s">
        <v>13039</v>
      </c>
      <c r="B4521" t="s">
        <v>9072</v>
      </c>
      <c r="C4521" t="s">
        <v>9073</v>
      </c>
      <c r="D4521" s="1" t="s">
        <v>427</v>
      </c>
      <c r="E4521" s="3">
        <v>402.52</v>
      </c>
      <c r="F4521" s="3">
        <f t="shared" si="140"/>
        <v>101.71680400000001</v>
      </c>
      <c r="G4521" s="3">
        <f t="shared" si="141"/>
        <v>504.23680400000001</v>
      </c>
    </row>
    <row r="4522" spans="1:7" x14ac:dyDescent="0.3">
      <c r="A4522" t="s">
        <v>13039</v>
      </c>
      <c r="B4522" t="s">
        <v>9074</v>
      </c>
      <c r="C4522" t="s">
        <v>9075</v>
      </c>
      <c r="D4522" s="1" t="s">
        <v>427</v>
      </c>
      <c r="E4522" s="3">
        <v>224.4</v>
      </c>
      <c r="F4522" s="3">
        <f t="shared" si="140"/>
        <v>56.705880000000008</v>
      </c>
      <c r="G4522" s="3">
        <f t="shared" si="141"/>
        <v>281.10588000000001</v>
      </c>
    </row>
    <row r="4523" spans="1:7" x14ac:dyDescent="0.3">
      <c r="A4523" t="s">
        <v>13039</v>
      </c>
      <c r="B4523" t="s">
        <v>9076</v>
      </c>
      <c r="C4523" t="s">
        <v>9077</v>
      </c>
      <c r="D4523" s="1" t="s">
        <v>427</v>
      </c>
      <c r="E4523" s="3">
        <v>405.46</v>
      </c>
      <c r="F4523" s="3">
        <f t="shared" si="140"/>
        <v>102.45974200000001</v>
      </c>
      <c r="G4523" s="3">
        <f t="shared" si="141"/>
        <v>507.91974199999999</v>
      </c>
    </row>
    <row r="4524" spans="1:7" x14ac:dyDescent="0.3">
      <c r="A4524" t="s">
        <v>13039</v>
      </c>
      <c r="B4524" t="s">
        <v>9078</v>
      </c>
      <c r="C4524" t="s">
        <v>9079</v>
      </c>
      <c r="D4524" s="1" t="s">
        <v>427</v>
      </c>
      <c r="E4524" s="3">
        <v>221.21</v>
      </c>
      <c r="F4524" s="3">
        <f t="shared" si="140"/>
        <v>55.899767000000011</v>
      </c>
      <c r="G4524" s="3">
        <f t="shared" si="141"/>
        <v>277.10976700000003</v>
      </c>
    </row>
    <row r="4525" spans="1:7" x14ac:dyDescent="0.3">
      <c r="A4525" t="s">
        <v>13039</v>
      </c>
      <c r="B4525" t="s">
        <v>9080</v>
      </c>
      <c r="C4525" t="s">
        <v>9081</v>
      </c>
      <c r="D4525" s="1" t="s">
        <v>427</v>
      </c>
      <c r="E4525" s="3">
        <v>418.78</v>
      </c>
      <c r="F4525" s="3">
        <f t="shared" si="140"/>
        <v>105.82570600000001</v>
      </c>
      <c r="G4525" s="3">
        <f t="shared" si="141"/>
        <v>524.60570599999994</v>
      </c>
    </row>
    <row r="4526" spans="1:7" x14ac:dyDescent="0.3">
      <c r="A4526" t="s">
        <v>13039</v>
      </c>
      <c r="B4526" t="s">
        <v>9082</v>
      </c>
      <c r="C4526" t="s">
        <v>9083</v>
      </c>
      <c r="D4526" s="1" t="s">
        <v>427</v>
      </c>
      <c r="E4526" s="3">
        <v>240.96</v>
      </c>
      <c r="F4526" s="3">
        <f t="shared" si="140"/>
        <v>60.890592000000012</v>
      </c>
      <c r="G4526" s="3">
        <f t="shared" si="141"/>
        <v>301.85059200000001</v>
      </c>
    </row>
    <row r="4527" spans="1:7" x14ac:dyDescent="0.3">
      <c r="A4527" t="s">
        <v>13039</v>
      </c>
      <c r="B4527" t="s">
        <v>9084</v>
      </c>
      <c r="C4527" t="s">
        <v>9085</v>
      </c>
      <c r="D4527" s="1" t="s">
        <v>427</v>
      </c>
      <c r="E4527" s="3">
        <v>422.13</v>
      </c>
      <c r="F4527" s="3">
        <f t="shared" si="140"/>
        <v>106.67225100000002</v>
      </c>
      <c r="G4527" s="3">
        <f t="shared" si="141"/>
        <v>528.80225100000007</v>
      </c>
    </row>
    <row r="4528" spans="1:7" x14ac:dyDescent="0.3">
      <c r="A4528" t="s">
        <v>13039</v>
      </c>
      <c r="B4528" t="s">
        <v>9086</v>
      </c>
      <c r="C4528" t="s">
        <v>9087</v>
      </c>
      <c r="D4528" s="1" t="s">
        <v>427</v>
      </c>
      <c r="E4528" s="3">
        <v>237.78</v>
      </c>
      <c r="F4528" s="3">
        <f t="shared" si="140"/>
        <v>60.087006000000009</v>
      </c>
      <c r="G4528" s="3">
        <f t="shared" si="141"/>
        <v>297.867006</v>
      </c>
    </row>
    <row r="4529" spans="1:7" x14ac:dyDescent="0.3">
      <c r="A4529" t="s">
        <v>13039</v>
      </c>
      <c r="B4529" t="s">
        <v>9088</v>
      </c>
      <c r="C4529" t="s">
        <v>9089</v>
      </c>
      <c r="D4529" s="1" t="s">
        <v>8767</v>
      </c>
      <c r="E4529" s="3">
        <v>229.76</v>
      </c>
      <c r="F4529" s="3">
        <f t="shared" si="140"/>
        <v>58.060352000000009</v>
      </c>
      <c r="G4529" s="3">
        <f t="shared" si="141"/>
        <v>287.82035200000001</v>
      </c>
    </row>
    <row r="4530" spans="1:7" x14ac:dyDescent="0.3">
      <c r="A4530" t="s">
        <v>13039</v>
      </c>
      <c r="B4530" t="s">
        <v>9090</v>
      </c>
      <c r="C4530" t="s">
        <v>9091</v>
      </c>
      <c r="D4530" s="1" t="s">
        <v>8767</v>
      </c>
      <c r="E4530" s="3">
        <v>149.88999999999999</v>
      </c>
      <c r="F4530" s="3">
        <f t="shared" si="140"/>
        <v>37.877203000000002</v>
      </c>
      <c r="G4530" s="3">
        <f t="shared" si="141"/>
        <v>187.76720299999999</v>
      </c>
    </row>
    <row r="4531" spans="1:7" x14ac:dyDescent="0.3">
      <c r="A4531" t="s">
        <v>13039</v>
      </c>
      <c r="B4531" t="s">
        <v>9092</v>
      </c>
      <c r="C4531" t="s">
        <v>9093</v>
      </c>
      <c r="D4531" s="1" t="s">
        <v>8767</v>
      </c>
      <c r="E4531" s="3">
        <v>218.87</v>
      </c>
      <c r="F4531" s="3">
        <f t="shared" si="140"/>
        <v>55.30844900000001</v>
      </c>
      <c r="G4531" s="3">
        <f t="shared" si="141"/>
        <v>274.178449</v>
      </c>
    </row>
    <row r="4532" spans="1:7" x14ac:dyDescent="0.3">
      <c r="A4532" t="s">
        <v>13039</v>
      </c>
      <c r="B4532" t="s">
        <v>9094</v>
      </c>
      <c r="C4532" t="s">
        <v>9095</v>
      </c>
      <c r="D4532" s="1" t="s">
        <v>8767</v>
      </c>
      <c r="E4532" s="3">
        <v>137.13999999999999</v>
      </c>
      <c r="F4532" s="3">
        <f t="shared" si="140"/>
        <v>34.655278000000003</v>
      </c>
      <c r="G4532" s="3">
        <f t="shared" si="141"/>
        <v>171.795278</v>
      </c>
    </row>
    <row r="4533" spans="1:7" x14ac:dyDescent="0.3">
      <c r="A4533" t="s">
        <v>13039</v>
      </c>
      <c r="B4533" t="s">
        <v>9096</v>
      </c>
      <c r="C4533" t="s">
        <v>9097</v>
      </c>
      <c r="D4533" s="1" t="s">
        <v>8767</v>
      </c>
      <c r="E4533" s="3">
        <v>230.15</v>
      </c>
      <c r="F4533" s="3">
        <f t="shared" si="140"/>
        <v>58.158905000000011</v>
      </c>
      <c r="G4533" s="3">
        <f t="shared" si="141"/>
        <v>288.30890500000004</v>
      </c>
    </row>
    <row r="4534" spans="1:7" x14ac:dyDescent="0.3">
      <c r="A4534" t="s">
        <v>13039</v>
      </c>
      <c r="B4534" t="s">
        <v>9098</v>
      </c>
      <c r="C4534" t="s">
        <v>9099</v>
      </c>
      <c r="D4534" s="1" t="s">
        <v>8767</v>
      </c>
      <c r="E4534" s="3">
        <v>148.91999999999999</v>
      </c>
      <c r="F4534" s="3">
        <f t="shared" si="140"/>
        <v>37.632083999999999</v>
      </c>
      <c r="G4534" s="3">
        <f t="shared" si="141"/>
        <v>186.55208399999998</v>
      </c>
    </row>
    <row r="4535" spans="1:7" x14ac:dyDescent="0.3">
      <c r="A4535" t="s">
        <v>13039</v>
      </c>
      <c r="B4535" t="s">
        <v>9100</v>
      </c>
      <c r="C4535" t="s">
        <v>9101</v>
      </c>
      <c r="D4535" s="1" t="s">
        <v>8767</v>
      </c>
      <c r="E4535" s="3">
        <v>233.69</v>
      </c>
      <c r="F4535" s="3">
        <f t="shared" si="140"/>
        <v>59.053463000000008</v>
      </c>
      <c r="G4535" s="3">
        <f t="shared" si="141"/>
        <v>292.74346300000002</v>
      </c>
    </row>
    <row r="4536" spans="1:7" x14ac:dyDescent="0.3">
      <c r="A4536" t="s">
        <v>13039</v>
      </c>
      <c r="B4536" t="s">
        <v>9102</v>
      </c>
      <c r="C4536" t="s">
        <v>9103</v>
      </c>
      <c r="D4536" s="1" t="s">
        <v>8767</v>
      </c>
      <c r="E4536" s="3">
        <v>155.16</v>
      </c>
      <c r="F4536" s="3">
        <f t="shared" si="140"/>
        <v>39.208932000000004</v>
      </c>
      <c r="G4536" s="3">
        <f t="shared" si="141"/>
        <v>194.368932</v>
      </c>
    </row>
    <row r="4537" spans="1:7" x14ac:dyDescent="0.3">
      <c r="A4537" t="s">
        <v>13039</v>
      </c>
      <c r="B4537" t="s">
        <v>9104</v>
      </c>
      <c r="C4537" t="s">
        <v>9105</v>
      </c>
      <c r="D4537" s="1" t="s">
        <v>8767</v>
      </c>
      <c r="E4537" s="3">
        <v>232.38</v>
      </c>
      <c r="F4537" s="3">
        <f t="shared" si="140"/>
        <v>58.722426000000006</v>
      </c>
      <c r="G4537" s="3">
        <f t="shared" si="141"/>
        <v>291.10242599999998</v>
      </c>
    </row>
    <row r="4538" spans="1:7" x14ac:dyDescent="0.3">
      <c r="A4538" t="s">
        <v>13039</v>
      </c>
      <c r="B4538" t="s">
        <v>9106</v>
      </c>
      <c r="C4538" t="s">
        <v>9107</v>
      </c>
      <c r="D4538" s="1" t="s">
        <v>8767</v>
      </c>
      <c r="E4538" s="3">
        <v>154.74</v>
      </c>
      <c r="F4538" s="3">
        <f t="shared" si="140"/>
        <v>39.102798000000007</v>
      </c>
      <c r="G4538" s="3">
        <f t="shared" si="141"/>
        <v>193.84279800000002</v>
      </c>
    </row>
    <row r="4539" spans="1:7" x14ac:dyDescent="0.3">
      <c r="A4539" t="s">
        <v>13039</v>
      </c>
      <c r="B4539" t="s">
        <v>9108</v>
      </c>
      <c r="C4539" t="s">
        <v>9109</v>
      </c>
      <c r="D4539" s="1" t="s">
        <v>427</v>
      </c>
      <c r="E4539" s="3">
        <v>88.76</v>
      </c>
      <c r="F4539" s="3">
        <f t="shared" si="140"/>
        <v>22.429652000000004</v>
      </c>
      <c r="G4539" s="3">
        <f t="shared" si="141"/>
        <v>111.18965200000001</v>
      </c>
    </row>
    <row r="4540" spans="1:7" x14ac:dyDescent="0.3">
      <c r="A4540" t="s">
        <v>13039</v>
      </c>
      <c r="B4540" t="s">
        <v>9110</v>
      </c>
      <c r="C4540" t="s">
        <v>9111</v>
      </c>
      <c r="D4540" s="1" t="s">
        <v>427</v>
      </c>
      <c r="E4540" s="3">
        <v>136.34</v>
      </c>
      <c r="F4540" s="3">
        <f t="shared" si="140"/>
        <v>34.453118000000003</v>
      </c>
      <c r="G4540" s="3">
        <f t="shared" si="141"/>
        <v>170.79311799999999</v>
      </c>
    </row>
    <row r="4541" spans="1:7" x14ac:dyDescent="0.3">
      <c r="A4541" t="s">
        <v>13039</v>
      </c>
      <c r="B4541" t="s">
        <v>9112</v>
      </c>
      <c r="C4541" t="s">
        <v>9113</v>
      </c>
      <c r="D4541" s="1" t="s">
        <v>427</v>
      </c>
      <c r="E4541" s="3">
        <v>108.25</v>
      </c>
      <c r="F4541" s="3">
        <f t="shared" si="140"/>
        <v>27.354775000000004</v>
      </c>
      <c r="G4541" s="3">
        <f t="shared" si="141"/>
        <v>135.60477500000002</v>
      </c>
    </row>
    <row r="4542" spans="1:7" x14ac:dyDescent="0.3">
      <c r="A4542" t="s">
        <v>13039</v>
      </c>
      <c r="B4542" t="s">
        <v>9114</v>
      </c>
      <c r="C4542" t="s">
        <v>9115</v>
      </c>
      <c r="D4542" s="1" t="s">
        <v>427</v>
      </c>
      <c r="E4542" s="3">
        <v>100.64</v>
      </c>
      <c r="F4542" s="3">
        <f t="shared" si="140"/>
        <v>25.431728000000003</v>
      </c>
      <c r="G4542" s="3">
        <f t="shared" si="141"/>
        <v>126.07172800000001</v>
      </c>
    </row>
    <row r="4543" spans="1:7" x14ac:dyDescent="0.3">
      <c r="A4543" t="s">
        <v>13039</v>
      </c>
      <c r="B4543" t="s">
        <v>9116</v>
      </c>
      <c r="C4543" t="s">
        <v>9117</v>
      </c>
      <c r="D4543" s="1" t="s">
        <v>427</v>
      </c>
      <c r="E4543" s="3">
        <v>72.55</v>
      </c>
      <c r="F4543" s="3">
        <f t="shared" si="140"/>
        <v>18.333385000000003</v>
      </c>
      <c r="G4543" s="3">
        <f t="shared" si="141"/>
        <v>90.883385000000004</v>
      </c>
    </row>
    <row r="4544" spans="1:7" x14ac:dyDescent="0.3">
      <c r="A4544" t="s">
        <v>13039</v>
      </c>
      <c r="B4544" t="s">
        <v>9118</v>
      </c>
      <c r="C4544" t="s">
        <v>9119</v>
      </c>
      <c r="D4544" s="1" t="s">
        <v>427</v>
      </c>
      <c r="E4544" s="3">
        <v>73.78</v>
      </c>
      <c r="F4544" s="3">
        <f t="shared" si="140"/>
        <v>18.644206000000004</v>
      </c>
      <c r="G4544" s="3">
        <f t="shared" si="141"/>
        <v>92.424205999999998</v>
      </c>
    </row>
    <row r="4545" spans="1:7" x14ac:dyDescent="0.3">
      <c r="A4545" t="s">
        <v>13039</v>
      </c>
      <c r="B4545" t="s">
        <v>9120</v>
      </c>
      <c r="C4545" t="s">
        <v>9121</v>
      </c>
      <c r="D4545" s="1" t="s">
        <v>427</v>
      </c>
      <c r="E4545" s="3">
        <v>108.85</v>
      </c>
      <c r="F4545" s="3">
        <f t="shared" si="140"/>
        <v>27.506395000000001</v>
      </c>
      <c r="G4545" s="3">
        <f t="shared" si="141"/>
        <v>136.35639499999999</v>
      </c>
    </row>
    <row r="4546" spans="1:7" x14ac:dyDescent="0.3">
      <c r="A4546" t="s">
        <v>13039</v>
      </c>
      <c r="B4546" t="s">
        <v>9122</v>
      </c>
      <c r="C4546" t="s">
        <v>9123</v>
      </c>
      <c r="D4546" s="1" t="s">
        <v>427</v>
      </c>
      <c r="E4546" s="3">
        <v>184.86</v>
      </c>
      <c r="F4546" s="3">
        <f t="shared" si="140"/>
        <v>46.71412200000001</v>
      </c>
      <c r="G4546" s="3">
        <f t="shared" si="141"/>
        <v>231.57412200000002</v>
      </c>
    </row>
    <row r="4547" spans="1:7" x14ac:dyDescent="0.3">
      <c r="A4547" t="s">
        <v>13039</v>
      </c>
      <c r="B4547" t="s">
        <v>9124</v>
      </c>
      <c r="C4547" t="s">
        <v>9125</v>
      </c>
      <c r="D4547" s="1" t="s">
        <v>427</v>
      </c>
      <c r="E4547" s="3">
        <v>130.56</v>
      </c>
      <c r="F4547" s="3">
        <f t="shared" si="140"/>
        <v>32.992512000000005</v>
      </c>
      <c r="G4547" s="3">
        <f t="shared" si="141"/>
        <v>163.55251200000001</v>
      </c>
    </row>
    <row r="4548" spans="1:7" x14ac:dyDescent="0.3">
      <c r="A4548" t="s">
        <v>13039</v>
      </c>
      <c r="B4548" t="s">
        <v>9126</v>
      </c>
      <c r="C4548" t="s">
        <v>9127</v>
      </c>
      <c r="D4548" s="1" t="s">
        <v>427</v>
      </c>
      <c r="E4548" s="3">
        <v>53.05</v>
      </c>
      <c r="F4548" s="3">
        <f t="shared" si="140"/>
        <v>13.405735000000002</v>
      </c>
      <c r="G4548" s="3">
        <f t="shared" si="141"/>
        <v>66.455735000000004</v>
      </c>
    </row>
    <row r="4549" spans="1:7" x14ac:dyDescent="0.3">
      <c r="A4549" t="s">
        <v>13039</v>
      </c>
      <c r="B4549" t="s">
        <v>9128</v>
      </c>
      <c r="C4549" t="s">
        <v>9129</v>
      </c>
      <c r="D4549" s="1" t="s">
        <v>427</v>
      </c>
      <c r="E4549" s="3">
        <v>72.8</v>
      </c>
      <c r="F4549" s="3">
        <f t="shared" si="140"/>
        <v>18.396560000000001</v>
      </c>
      <c r="G4549" s="3">
        <f t="shared" si="141"/>
        <v>91.196560000000005</v>
      </c>
    </row>
    <row r="4550" spans="1:7" x14ac:dyDescent="0.3">
      <c r="A4550" t="s">
        <v>13039</v>
      </c>
      <c r="B4550" t="s">
        <v>9130</v>
      </c>
      <c r="C4550" t="s">
        <v>9131</v>
      </c>
      <c r="D4550" s="1" t="s">
        <v>427</v>
      </c>
      <c r="E4550" s="3">
        <v>114.51</v>
      </c>
      <c r="F4550" s="3">
        <f t="shared" si="140"/>
        <v>28.936677000000007</v>
      </c>
      <c r="G4550" s="3">
        <f t="shared" si="141"/>
        <v>143.44667700000002</v>
      </c>
    </row>
    <row r="4551" spans="1:7" x14ac:dyDescent="0.3">
      <c r="A4551" t="s">
        <v>13039</v>
      </c>
      <c r="B4551" t="s">
        <v>9132</v>
      </c>
      <c r="C4551" t="s">
        <v>9133</v>
      </c>
      <c r="D4551" s="1" t="s">
        <v>427</v>
      </c>
      <c r="E4551" s="3">
        <v>68.150000000000006</v>
      </c>
      <c r="F4551" s="3">
        <f t="shared" ref="F4551:F4614" si="142">+E4551*$F$4</f>
        <v>17.221505000000004</v>
      </c>
      <c r="G4551" s="3">
        <f t="shared" ref="G4551:G4614" si="143">+E4551+F4551</f>
        <v>85.371505000000013</v>
      </c>
    </row>
    <row r="4552" spans="1:7" x14ac:dyDescent="0.3">
      <c r="A4552" t="s">
        <v>13039</v>
      </c>
      <c r="B4552" t="s">
        <v>9134</v>
      </c>
      <c r="C4552" t="s">
        <v>9135</v>
      </c>
      <c r="D4552" s="1" t="s">
        <v>427</v>
      </c>
      <c r="E4552" s="3">
        <v>17.48</v>
      </c>
      <c r="F4552" s="3">
        <f t="shared" si="142"/>
        <v>4.4171960000000006</v>
      </c>
      <c r="G4552" s="3">
        <f t="shared" si="143"/>
        <v>21.897196000000001</v>
      </c>
    </row>
    <row r="4553" spans="1:7" x14ac:dyDescent="0.3">
      <c r="A4553" t="s">
        <v>13039</v>
      </c>
      <c r="B4553" t="s">
        <v>9136</v>
      </c>
      <c r="C4553" t="s">
        <v>9137</v>
      </c>
      <c r="D4553" s="1" t="s">
        <v>427</v>
      </c>
      <c r="E4553" s="3">
        <v>13.21</v>
      </c>
      <c r="F4553" s="3">
        <f t="shared" si="142"/>
        <v>3.3381670000000008</v>
      </c>
      <c r="G4553" s="3">
        <f t="shared" si="143"/>
        <v>16.548167000000003</v>
      </c>
    </row>
    <row r="4554" spans="1:7" x14ac:dyDescent="0.3">
      <c r="A4554" t="s">
        <v>13039</v>
      </c>
      <c r="B4554" t="s">
        <v>9138</v>
      </c>
      <c r="C4554" t="s">
        <v>9139</v>
      </c>
      <c r="D4554" s="1" t="s">
        <v>427</v>
      </c>
      <c r="E4554" s="3">
        <v>15.26</v>
      </c>
      <c r="F4554" s="3">
        <f t="shared" si="142"/>
        <v>3.8562020000000006</v>
      </c>
      <c r="G4554" s="3">
        <f t="shared" si="143"/>
        <v>19.116202000000001</v>
      </c>
    </row>
    <row r="4555" spans="1:7" x14ac:dyDescent="0.3">
      <c r="A4555" t="s">
        <v>13039</v>
      </c>
      <c r="B4555" t="s">
        <v>9140</v>
      </c>
      <c r="C4555" t="s">
        <v>9141</v>
      </c>
      <c r="D4555" s="1" t="s">
        <v>427</v>
      </c>
      <c r="E4555" s="3">
        <v>74.150000000000006</v>
      </c>
      <c r="F4555" s="3">
        <f t="shared" si="142"/>
        <v>18.737705000000005</v>
      </c>
      <c r="G4555" s="3">
        <f t="shared" si="143"/>
        <v>92.887705000000011</v>
      </c>
    </row>
    <row r="4556" spans="1:7" x14ac:dyDescent="0.3">
      <c r="A4556" t="s">
        <v>13039</v>
      </c>
      <c r="B4556" t="s">
        <v>9142</v>
      </c>
      <c r="C4556" t="s">
        <v>9143</v>
      </c>
      <c r="D4556" s="1" t="s">
        <v>2904</v>
      </c>
      <c r="E4556" s="3">
        <v>1.81</v>
      </c>
      <c r="F4556" s="3">
        <f t="shared" si="142"/>
        <v>0.4573870000000001</v>
      </c>
      <c r="G4556" s="3">
        <f t="shared" si="143"/>
        <v>2.2673870000000003</v>
      </c>
    </row>
    <row r="4557" spans="1:7" x14ac:dyDescent="0.3">
      <c r="A4557" t="s">
        <v>13039</v>
      </c>
      <c r="B4557" t="s">
        <v>9144</v>
      </c>
      <c r="C4557" t="s">
        <v>9145</v>
      </c>
      <c r="D4557" s="1" t="s">
        <v>2904</v>
      </c>
      <c r="E4557" s="3">
        <v>2.12</v>
      </c>
      <c r="F4557" s="3">
        <f t="shared" si="142"/>
        <v>0.53572400000000009</v>
      </c>
      <c r="G4557" s="3">
        <f t="shared" si="143"/>
        <v>2.6557240000000002</v>
      </c>
    </row>
    <row r="4558" spans="1:7" x14ac:dyDescent="0.3">
      <c r="A4558" t="s">
        <v>13039</v>
      </c>
      <c r="B4558" t="s">
        <v>9146</v>
      </c>
      <c r="C4558" t="s">
        <v>9147</v>
      </c>
      <c r="D4558" s="1" t="s">
        <v>195</v>
      </c>
      <c r="E4558" s="3">
        <v>20.25</v>
      </c>
      <c r="F4558" s="3">
        <f t="shared" si="142"/>
        <v>5.1171750000000005</v>
      </c>
      <c r="G4558" s="3">
        <f t="shared" si="143"/>
        <v>25.367175</v>
      </c>
    </row>
    <row r="4559" spans="1:7" x14ac:dyDescent="0.3">
      <c r="A4559" t="s">
        <v>13039</v>
      </c>
      <c r="B4559" t="s">
        <v>9148</v>
      </c>
      <c r="C4559" t="s">
        <v>9149</v>
      </c>
      <c r="D4559" s="1" t="s">
        <v>427</v>
      </c>
      <c r="E4559" s="3">
        <v>511.76</v>
      </c>
      <c r="F4559" s="3">
        <f t="shared" si="142"/>
        <v>129.321752</v>
      </c>
      <c r="G4559" s="3">
        <f t="shared" si="143"/>
        <v>641.08175200000005</v>
      </c>
    </row>
    <row r="4560" spans="1:7" x14ac:dyDescent="0.3">
      <c r="A4560" t="s">
        <v>13039</v>
      </c>
      <c r="B4560" t="s">
        <v>9150</v>
      </c>
      <c r="C4560" t="s">
        <v>9151</v>
      </c>
      <c r="D4560" s="1" t="s">
        <v>427</v>
      </c>
      <c r="E4560" s="3">
        <v>330.11</v>
      </c>
      <c r="F4560" s="3">
        <f t="shared" si="142"/>
        <v>83.418797000000012</v>
      </c>
      <c r="G4560" s="3">
        <f t="shared" si="143"/>
        <v>413.52879700000005</v>
      </c>
    </row>
    <row r="4561" spans="1:7" x14ac:dyDescent="0.3">
      <c r="A4561" t="s">
        <v>13039</v>
      </c>
      <c r="B4561" t="s">
        <v>9152</v>
      </c>
      <c r="C4561" t="s">
        <v>9153</v>
      </c>
      <c r="D4561" s="1" t="s">
        <v>427</v>
      </c>
      <c r="E4561" s="3">
        <v>334.92</v>
      </c>
      <c r="F4561" s="3">
        <f t="shared" si="142"/>
        <v>84.634284000000022</v>
      </c>
      <c r="G4561" s="3">
        <f t="shared" si="143"/>
        <v>419.55428400000005</v>
      </c>
    </row>
    <row r="4562" spans="1:7" x14ac:dyDescent="0.3">
      <c r="A4562" t="s">
        <v>13039</v>
      </c>
      <c r="B4562" t="s">
        <v>9154</v>
      </c>
      <c r="C4562" t="s">
        <v>9155</v>
      </c>
      <c r="D4562" s="1" t="s">
        <v>427</v>
      </c>
      <c r="E4562" s="3">
        <v>171.93</v>
      </c>
      <c r="F4562" s="3">
        <f t="shared" si="142"/>
        <v>43.446711000000008</v>
      </c>
      <c r="G4562" s="3">
        <f t="shared" si="143"/>
        <v>215.376711</v>
      </c>
    </row>
    <row r="4563" spans="1:7" x14ac:dyDescent="0.3">
      <c r="A4563" t="s">
        <v>13039</v>
      </c>
      <c r="B4563" t="s">
        <v>9156</v>
      </c>
      <c r="C4563" t="s">
        <v>9157</v>
      </c>
      <c r="D4563" s="1" t="s">
        <v>427</v>
      </c>
      <c r="E4563" s="3">
        <v>15.26</v>
      </c>
      <c r="F4563" s="3">
        <f t="shared" si="142"/>
        <v>3.8562020000000006</v>
      </c>
      <c r="G4563" s="3">
        <f t="shared" si="143"/>
        <v>19.116202000000001</v>
      </c>
    </row>
    <row r="4564" spans="1:7" x14ac:dyDescent="0.3">
      <c r="A4564" t="s">
        <v>13039</v>
      </c>
      <c r="B4564" t="s">
        <v>9158</v>
      </c>
      <c r="C4564" t="s">
        <v>9159</v>
      </c>
      <c r="D4564" s="1" t="s">
        <v>427</v>
      </c>
      <c r="E4564" s="3">
        <v>61.95</v>
      </c>
      <c r="F4564" s="3">
        <f t="shared" si="142"/>
        <v>15.654765000000003</v>
      </c>
      <c r="G4564" s="3">
        <f t="shared" si="143"/>
        <v>77.604765</v>
      </c>
    </row>
    <row r="4565" spans="1:7" x14ac:dyDescent="0.3">
      <c r="A4565" t="s">
        <v>13039</v>
      </c>
      <c r="B4565" t="s">
        <v>9160</v>
      </c>
      <c r="C4565" t="s">
        <v>9161</v>
      </c>
      <c r="D4565" s="1" t="s">
        <v>427</v>
      </c>
      <c r="E4565" s="3">
        <v>53.43</v>
      </c>
      <c r="F4565" s="3">
        <f t="shared" si="142"/>
        <v>13.501761000000002</v>
      </c>
      <c r="G4565" s="3">
        <f t="shared" si="143"/>
        <v>66.931760999999995</v>
      </c>
    </row>
    <row r="4566" spans="1:7" x14ac:dyDescent="0.3">
      <c r="A4566" t="s">
        <v>13039</v>
      </c>
      <c r="B4566" t="s">
        <v>9162</v>
      </c>
      <c r="C4566" t="s">
        <v>9163</v>
      </c>
      <c r="D4566" s="1" t="s">
        <v>427</v>
      </c>
      <c r="E4566" s="3">
        <v>113.76</v>
      </c>
      <c r="F4566" s="3">
        <f t="shared" si="142"/>
        <v>28.747152000000007</v>
      </c>
      <c r="G4566" s="3">
        <f t="shared" si="143"/>
        <v>142.50715200000002</v>
      </c>
    </row>
    <row r="4567" spans="1:7" x14ac:dyDescent="0.3">
      <c r="A4567" t="s">
        <v>13039</v>
      </c>
      <c r="B4567" t="s">
        <v>9164</v>
      </c>
      <c r="C4567" t="s">
        <v>9165</v>
      </c>
      <c r="D4567" s="1" t="s">
        <v>427</v>
      </c>
      <c r="E4567" s="3">
        <v>17.18</v>
      </c>
      <c r="F4567" s="3">
        <f t="shared" si="142"/>
        <v>4.3413860000000009</v>
      </c>
      <c r="G4567" s="3">
        <f t="shared" si="143"/>
        <v>21.521386</v>
      </c>
    </row>
    <row r="4568" spans="1:7" x14ac:dyDescent="0.3">
      <c r="A4568" t="s">
        <v>13039</v>
      </c>
      <c r="B4568" t="s">
        <v>9166</v>
      </c>
      <c r="C4568" t="s">
        <v>9167</v>
      </c>
      <c r="D4568" s="1" t="s">
        <v>427</v>
      </c>
      <c r="E4568" s="3">
        <v>36.68</v>
      </c>
      <c r="F4568" s="3">
        <f t="shared" si="142"/>
        <v>9.2690360000000016</v>
      </c>
      <c r="G4568" s="3">
        <f t="shared" si="143"/>
        <v>45.949036</v>
      </c>
    </row>
    <row r="4569" spans="1:7" x14ac:dyDescent="0.3">
      <c r="A4569" t="s">
        <v>13039</v>
      </c>
      <c r="B4569" t="s">
        <v>9168</v>
      </c>
      <c r="C4569" t="s">
        <v>9169</v>
      </c>
      <c r="D4569" s="1" t="s">
        <v>2904</v>
      </c>
      <c r="E4569" s="3">
        <v>7.89</v>
      </c>
      <c r="F4569" s="3">
        <f t="shared" si="142"/>
        <v>1.9938030000000002</v>
      </c>
      <c r="G4569" s="3">
        <f t="shared" si="143"/>
        <v>9.8838030000000003</v>
      </c>
    </row>
    <row r="4570" spans="1:7" x14ac:dyDescent="0.3">
      <c r="A4570" t="s">
        <v>13039</v>
      </c>
      <c r="B4570" t="s">
        <v>9170</v>
      </c>
      <c r="C4570" t="s">
        <v>9171</v>
      </c>
      <c r="D4570" s="1" t="s">
        <v>2904</v>
      </c>
      <c r="E4570" s="3">
        <v>5.3</v>
      </c>
      <c r="F4570" s="3">
        <f t="shared" si="142"/>
        <v>1.3393100000000002</v>
      </c>
      <c r="G4570" s="3">
        <f t="shared" si="143"/>
        <v>6.63931</v>
      </c>
    </row>
    <row r="4571" spans="1:7" x14ac:dyDescent="0.3">
      <c r="A4571" t="s">
        <v>13039</v>
      </c>
      <c r="B4571" t="s">
        <v>9172</v>
      </c>
      <c r="C4571" t="s">
        <v>9173</v>
      </c>
      <c r="D4571" s="1" t="s">
        <v>2904</v>
      </c>
      <c r="E4571" s="3">
        <v>7.89</v>
      </c>
      <c r="F4571" s="3">
        <f t="shared" si="142"/>
        <v>1.9938030000000002</v>
      </c>
      <c r="G4571" s="3">
        <f t="shared" si="143"/>
        <v>9.8838030000000003</v>
      </c>
    </row>
    <row r="4572" spans="1:7" x14ac:dyDescent="0.3">
      <c r="A4572" t="s">
        <v>13039</v>
      </c>
      <c r="B4572" t="s">
        <v>9174</v>
      </c>
      <c r="C4572" t="s">
        <v>9175</v>
      </c>
      <c r="D4572" s="1" t="s">
        <v>2904</v>
      </c>
      <c r="E4572" s="3">
        <v>5.3</v>
      </c>
      <c r="F4572" s="3">
        <f t="shared" si="142"/>
        <v>1.3393100000000002</v>
      </c>
      <c r="G4572" s="3">
        <f t="shared" si="143"/>
        <v>6.63931</v>
      </c>
    </row>
    <row r="4573" spans="1:7" x14ac:dyDescent="0.3">
      <c r="A4573" t="s">
        <v>13039</v>
      </c>
      <c r="B4573" t="s">
        <v>9176</v>
      </c>
      <c r="C4573" t="s">
        <v>9177</v>
      </c>
      <c r="D4573" s="1" t="s">
        <v>2904</v>
      </c>
      <c r="E4573" s="3">
        <v>6.18</v>
      </c>
      <c r="F4573" s="3">
        <f t="shared" si="142"/>
        <v>1.5616860000000001</v>
      </c>
      <c r="G4573" s="3">
        <f t="shared" si="143"/>
        <v>7.7416859999999996</v>
      </c>
    </row>
    <row r="4574" spans="1:7" x14ac:dyDescent="0.3">
      <c r="A4574" t="s">
        <v>13039</v>
      </c>
      <c r="B4574" t="s">
        <v>9178</v>
      </c>
      <c r="C4574" t="s">
        <v>9179</v>
      </c>
      <c r="D4574" s="1" t="s">
        <v>2904</v>
      </c>
      <c r="E4574" s="3">
        <v>3.59</v>
      </c>
      <c r="F4574" s="3">
        <f t="shared" si="142"/>
        <v>0.90719300000000014</v>
      </c>
      <c r="G4574" s="3">
        <f t="shared" si="143"/>
        <v>4.4971930000000002</v>
      </c>
    </row>
    <row r="4575" spans="1:7" x14ac:dyDescent="0.3">
      <c r="A4575" t="s">
        <v>13039</v>
      </c>
      <c r="B4575" t="s">
        <v>9180</v>
      </c>
      <c r="C4575" t="s">
        <v>9181</v>
      </c>
      <c r="D4575" s="1" t="s">
        <v>2904</v>
      </c>
      <c r="E4575" s="3">
        <v>6.18</v>
      </c>
      <c r="F4575" s="3">
        <f t="shared" si="142"/>
        <v>1.5616860000000001</v>
      </c>
      <c r="G4575" s="3">
        <f t="shared" si="143"/>
        <v>7.7416859999999996</v>
      </c>
    </row>
    <row r="4576" spans="1:7" x14ac:dyDescent="0.3">
      <c r="A4576" t="s">
        <v>13039</v>
      </c>
      <c r="B4576" t="s">
        <v>9182</v>
      </c>
      <c r="C4576" t="s">
        <v>9183</v>
      </c>
      <c r="D4576" s="1" t="s">
        <v>2904</v>
      </c>
      <c r="E4576" s="3">
        <v>3.59</v>
      </c>
      <c r="F4576" s="3">
        <f t="shared" si="142"/>
        <v>0.90719300000000014</v>
      </c>
      <c r="G4576" s="3">
        <f t="shared" si="143"/>
        <v>4.4971930000000002</v>
      </c>
    </row>
    <row r="4577" spans="1:7" x14ac:dyDescent="0.3">
      <c r="A4577" t="s">
        <v>13039</v>
      </c>
      <c r="B4577" t="s">
        <v>9184</v>
      </c>
      <c r="C4577" t="s">
        <v>9185</v>
      </c>
      <c r="D4577" s="1" t="s">
        <v>2904</v>
      </c>
      <c r="E4577" s="3">
        <v>7.11</v>
      </c>
      <c r="F4577" s="3">
        <f t="shared" si="142"/>
        <v>1.7966970000000004</v>
      </c>
      <c r="G4577" s="3">
        <f t="shared" si="143"/>
        <v>8.9066970000000012</v>
      </c>
    </row>
    <row r="4578" spans="1:7" x14ac:dyDescent="0.3">
      <c r="A4578" t="s">
        <v>13039</v>
      </c>
      <c r="B4578" t="s">
        <v>9186</v>
      </c>
      <c r="C4578" t="s">
        <v>9187</v>
      </c>
      <c r="D4578" s="1" t="s">
        <v>2904</v>
      </c>
      <c r="E4578" s="3">
        <v>4.5199999999999996</v>
      </c>
      <c r="F4578" s="3">
        <f t="shared" si="142"/>
        <v>1.142204</v>
      </c>
      <c r="G4578" s="3">
        <f t="shared" si="143"/>
        <v>5.6622039999999991</v>
      </c>
    </row>
    <row r="4579" spans="1:7" x14ac:dyDescent="0.3">
      <c r="A4579" t="s">
        <v>13039</v>
      </c>
      <c r="B4579" t="s">
        <v>9188</v>
      </c>
      <c r="C4579" t="s">
        <v>9189</v>
      </c>
      <c r="D4579" s="1" t="s">
        <v>2904</v>
      </c>
      <c r="E4579" s="3">
        <v>7.11</v>
      </c>
      <c r="F4579" s="3">
        <f t="shared" si="142"/>
        <v>1.7966970000000004</v>
      </c>
      <c r="G4579" s="3">
        <f t="shared" si="143"/>
        <v>8.9066970000000012</v>
      </c>
    </row>
    <row r="4580" spans="1:7" x14ac:dyDescent="0.3">
      <c r="A4580" t="s">
        <v>13039</v>
      </c>
      <c r="B4580" t="s">
        <v>9190</v>
      </c>
      <c r="C4580" t="s">
        <v>9191</v>
      </c>
      <c r="D4580" s="1" t="s">
        <v>2904</v>
      </c>
      <c r="E4580" s="3">
        <v>4.5199999999999996</v>
      </c>
      <c r="F4580" s="3">
        <f t="shared" si="142"/>
        <v>1.142204</v>
      </c>
      <c r="G4580" s="3">
        <f t="shared" si="143"/>
        <v>5.6622039999999991</v>
      </c>
    </row>
    <row r="4581" spans="1:7" x14ac:dyDescent="0.3">
      <c r="A4581" t="s">
        <v>13039</v>
      </c>
      <c r="B4581" t="s">
        <v>9192</v>
      </c>
      <c r="C4581" t="s">
        <v>9193</v>
      </c>
      <c r="D4581" s="1" t="s">
        <v>2904</v>
      </c>
      <c r="E4581" s="3">
        <v>2.8</v>
      </c>
      <c r="F4581" s="3">
        <f t="shared" si="142"/>
        <v>0.70756000000000008</v>
      </c>
      <c r="G4581" s="3">
        <f t="shared" si="143"/>
        <v>3.5075599999999998</v>
      </c>
    </row>
    <row r="4582" spans="1:7" x14ac:dyDescent="0.3">
      <c r="A4582" t="s">
        <v>13039</v>
      </c>
      <c r="B4582" t="s">
        <v>9194</v>
      </c>
      <c r="C4582" t="s">
        <v>9195</v>
      </c>
      <c r="D4582" s="1" t="s">
        <v>2904</v>
      </c>
      <c r="E4582" s="3">
        <v>1.98</v>
      </c>
      <c r="F4582" s="3">
        <f t="shared" si="142"/>
        <v>0.50034600000000007</v>
      </c>
      <c r="G4582" s="3">
        <f t="shared" si="143"/>
        <v>2.4803459999999999</v>
      </c>
    </row>
    <row r="4583" spans="1:7" x14ac:dyDescent="0.3">
      <c r="A4583" t="s">
        <v>13039</v>
      </c>
      <c r="B4583" t="s">
        <v>9196</v>
      </c>
      <c r="C4583" t="s">
        <v>9197</v>
      </c>
      <c r="D4583" s="1" t="s">
        <v>2904</v>
      </c>
      <c r="E4583" s="3">
        <v>2.8</v>
      </c>
      <c r="F4583" s="3">
        <f t="shared" si="142"/>
        <v>0.70756000000000008</v>
      </c>
      <c r="G4583" s="3">
        <f t="shared" si="143"/>
        <v>3.5075599999999998</v>
      </c>
    </row>
    <row r="4584" spans="1:7" x14ac:dyDescent="0.3">
      <c r="A4584" t="s">
        <v>13039</v>
      </c>
      <c r="B4584" t="s">
        <v>9198</v>
      </c>
      <c r="C4584" t="s">
        <v>9199</v>
      </c>
      <c r="D4584" s="1" t="s">
        <v>2904</v>
      </c>
      <c r="E4584" s="3">
        <v>1.98</v>
      </c>
      <c r="F4584" s="3">
        <f t="shared" si="142"/>
        <v>0.50034600000000007</v>
      </c>
      <c r="G4584" s="3">
        <f t="shared" si="143"/>
        <v>2.4803459999999999</v>
      </c>
    </row>
    <row r="4585" spans="1:7" x14ac:dyDescent="0.3">
      <c r="A4585" t="s">
        <v>13039</v>
      </c>
      <c r="B4585" t="s">
        <v>9200</v>
      </c>
      <c r="C4585" t="s">
        <v>9201</v>
      </c>
      <c r="D4585" s="1" t="s">
        <v>2904</v>
      </c>
      <c r="E4585" s="3">
        <v>2.09</v>
      </c>
      <c r="F4585" s="3">
        <f t="shared" si="142"/>
        <v>0.52814300000000003</v>
      </c>
      <c r="G4585" s="3">
        <f t="shared" si="143"/>
        <v>2.6181429999999999</v>
      </c>
    </row>
    <row r="4586" spans="1:7" x14ac:dyDescent="0.3">
      <c r="A4586" t="s">
        <v>13039</v>
      </c>
      <c r="B4586" t="s">
        <v>9202</v>
      </c>
      <c r="C4586" t="s">
        <v>9203</v>
      </c>
      <c r="D4586" s="1" t="s">
        <v>2904</v>
      </c>
      <c r="E4586" s="3">
        <v>1.27</v>
      </c>
      <c r="F4586" s="3">
        <f t="shared" si="142"/>
        <v>0.32092900000000008</v>
      </c>
      <c r="G4586" s="3">
        <f t="shared" si="143"/>
        <v>1.590929</v>
      </c>
    </row>
    <row r="4587" spans="1:7" x14ac:dyDescent="0.3">
      <c r="A4587" t="s">
        <v>13039</v>
      </c>
      <c r="B4587" t="s">
        <v>9204</v>
      </c>
      <c r="C4587" t="s">
        <v>9205</v>
      </c>
      <c r="D4587" s="1" t="s">
        <v>2904</v>
      </c>
      <c r="E4587" s="3">
        <v>2.09</v>
      </c>
      <c r="F4587" s="3">
        <f t="shared" si="142"/>
        <v>0.52814300000000003</v>
      </c>
      <c r="G4587" s="3">
        <f t="shared" si="143"/>
        <v>2.6181429999999999</v>
      </c>
    </row>
    <row r="4588" spans="1:7" x14ac:dyDescent="0.3">
      <c r="A4588" t="s">
        <v>13039</v>
      </c>
      <c r="B4588" t="s">
        <v>9206</v>
      </c>
      <c r="C4588" t="s">
        <v>9207</v>
      </c>
      <c r="D4588" s="1" t="s">
        <v>2904</v>
      </c>
      <c r="E4588" s="3">
        <v>1.27</v>
      </c>
      <c r="F4588" s="3">
        <f t="shared" si="142"/>
        <v>0.32092900000000008</v>
      </c>
      <c r="G4588" s="3">
        <f t="shared" si="143"/>
        <v>1.590929</v>
      </c>
    </row>
    <row r="4589" spans="1:7" x14ac:dyDescent="0.3">
      <c r="A4589" t="s">
        <v>13039</v>
      </c>
      <c r="B4589" t="s">
        <v>9208</v>
      </c>
      <c r="C4589" t="s">
        <v>9209</v>
      </c>
      <c r="D4589" s="1" t="s">
        <v>2904</v>
      </c>
      <c r="E4589" s="3">
        <v>2.46</v>
      </c>
      <c r="F4589" s="3">
        <f t="shared" si="142"/>
        <v>0.62164200000000003</v>
      </c>
      <c r="G4589" s="3">
        <f t="shared" si="143"/>
        <v>3.081642</v>
      </c>
    </row>
    <row r="4590" spans="1:7" x14ac:dyDescent="0.3">
      <c r="A4590" t="s">
        <v>13039</v>
      </c>
      <c r="B4590" t="s">
        <v>9210</v>
      </c>
      <c r="C4590" t="s">
        <v>9211</v>
      </c>
      <c r="D4590" s="1" t="s">
        <v>2904</v>
      </c>
      <c r="E4590" s="3">
        <v>1.64</v>
      </c>
      <c r="F4590" s="3">
        <f t="shared" si="142"/>
        <v>0.41442800000000002</v>
      </c>
      <c r="G4590" s="3">
        <f t="shared" si="143"/>
        <v>2.0544279999999997</v>
      </c>
    </row>
    <row r="4591" spans="1:7" x14ac:dyDescent="0.3">
      <c r="A4591" t="s">
        <v>13039</v>
      </c>
      <c r="B4591" t="s">
        <v>9212</v>
      </c>
      <c r="C4591" t="s">
        <v>9213</v>
      </c>
      <c r="D4591" s="1" t="s">
        <v>2904</v>
      </c>
      <c r="E4591" s="3">
        <v>2.46</v>
      </c>
      <c r="F4591" s="3">
        <f t="shared" si="142"/>
        <v>0.62164200000000003</v>
      </c>
      <c r="G4591" s="3">
        <f t="shared" si="143"/>
        <v>3.081642</v>
      </c>
    </row>
    <row r="4592" spans="1:7" x14ac:dyDescent="0.3">
      <c r="A4592" t="s">
        <v>13039</v>
      </c>
      <c r="B4592" t="s">
        <v>9214</v>
      </c>
      <c r="C4592" t="s">
        <v>9215</v>
      </c>
      <c r="D4592" s="1" t="s">
        <v>2904</v>
      </c>
      <c r="E4592" s="3">
        <v>1.64</v>
      </c>
      <c r="F4592" s="3">
        <f t="shared" si="142"/>
        <v>0.41442800000000002</v>
      </c>
      <c r="G4592" s="3">
        <f t="shared" si="143"/>
        <v>2.0544279999999997</v>
      </c>
    </row>
    <row r="4593" spans="1:7" x14ac:dyDescent="0.3">
      <c r="A4593" t="s">
        <v>13039</v>
      </c>
      <c r="B4593" t="s">
        <v>9216</v>
      </c>
      <c r="C4593" t="s">
        <v>9217</v>
      </c>
      <c r="D4593" s="1" t="s">
        <v>2904</v>
      </c>
      <c r="E4593" s="3">
        <v>8.64</v>
      </c>
      <c r="F4593" s="3">
        <f t="shared" si="142"/>
        <v>2.1833280000000004</v>
      </c>
      <c r="G4593" s="3">
        <f t="shared" si="143"/>
        <v>10.823328</v>
      </c>
    </row>
    <row r="4594" spans="1:7" x14ac:dyDescent="0.3">
      <c r="A4594" t="s">
        <v>13039</v>
      </c>
      <c r="B4594" t="s">
        <v>9218</v>
      </c>
      <c r="C4594" t="s">
        <v>9219</v>
      </c>
      <c r="D4594" s="1" t="s">
        <v>2904</v>
      </c>
      <c r="E4594" s="3">
        <v>5.72</v>
      </c>
      <c r="F4594" s="3">
        <f t="shared" si="142"/>
        <v>1.4454440000000002</v>
      </c>
      <c r="G4594" s="3">
        <f t="shared" si="143"/>
        <v>7.1654439999999999</v>
      </c>
    </row>
    <row r="4595" spans="1:7" x14ac:dyDescent="0.3">
      <c r="A4595" t="s">
        <v>13039</v>
      </c>
      <c r="B4595" t="s">
        <v>9220</v>
      </c>
      <c r="C4595" t="s">
        <v>9221</v>
      </c>
      <c r="D4595" s="1" t="s">
        <v>2904</v>
      </c>
      <c r="E4595" s="3">
        <v>8.64</v>
      </c>
      <c r="F4595" s="3">
        <f t="shared" si="142"/>
        <v>2.1833280000000004</v>
      </c>
      <c r="G4595" s="3">
        <f t="shared" si="143"/>
        <v>10.823328</v>
      </c>
    </row>
    <row r="4596" spans="1:7" x14ac:dyDescent="0.3">
      <c r="A4596" t="s">
        <v>13039</v>
      </c>
      <c r="B4596" t="s">
        <v>9222</v>
      </c>
      <c r="C4596" t="s">
        <v>9223</v>
      </c>
      <c r="D4596" s="1" t="s">
        <v>2904</v>
      </c>
      <c r="E4596" s="3">
        <v>5.72</v>
      </c>
      <c r="F4596" s="3">
        <f t="shared" si="142"/>
        <v>1.4454440000000002</v>
      </c>
      <c r="G4596" s="3">
        <f t="shared" si="143"/>
        <v>7.1654439999999999</v>
      </c>
    </row>
    <row r="4597" spans="1:7" x14ac:dyDescent="0.3">
      <c r="A4597" t="s">
        <v>13039</v>
      </c>
      <c r="B4597" t="s">
        <v>9224</v>
      </c>
      <c r="C4597" t="s">
        <v>9225</v>
      </c>
      <c r="D4597" s="1" t="s">
        <v>2904</v>
      </c>
      <c r="E4597" s="3">
        <v>6.93</v>
      </c>
      <c r="F4597" s="3">
        <f t="shared" si="142"/>
        <v>1.7512110000000001</v>
      </c>
      <c r="G4597" s="3">
        <f t="shared" si="143"/>
        <v>8.6812109999999993</v>
      </c>
    </row>
    <row r="4598" spans="1:7" x14ac:dyDescent="0.3">
      <c r="A4598" t="s">
        <v>13039</v>
      </c>
      <c r="B4598" t="s">
        <v>9226</v>
      </c>
      <c r="C4598" t="s">
        <v>9227</v>
      </c>
      <c r="D4598" s="1" t="s">
        <v>2904</v>
      </c>
      <c r="E4598" s="3">
        <v>4.01</v>
      </c>
      <c r="F4598" s="3">
        <f t="shared" si="142"/>
        <v>1.0133270000000001</v>
      </c>
      <c r="G4598" s="3">
        <f t="shared" si="143"/>
        <v>5.0233270000000001</v>
      </c>
    </row>
    <row r="4599" spans="1:7" x14ac:dyDescent="0.3">
      <c r="A4599" t="s">
        <v>13039</v>
      </c>
      <c r="B4599" t="s">
        <v>9228</v>
      </c>
      <c r="C4599" t="s">
        <v>9229</v>
      </c>
      <c r="D4599" s="1" t="s">
        <v>2904</v>
      </c>
      <c r="E4599" s="3">
        <v>6.93</v>
      </c>
      <c r="F4599" s="3">
        <f t="shared" si="142"/>
        <v>1.7512110000000001</v>
      </c>
      <c r="G4599" s="3">
        <f t="shared" si="143"/>
        <v>8.6812109999999993</v>
      </c>
    </row>
    <row r="4600" spans="1:7" x14ac:dyDescent="0.3">
      <c r="A4600" t="s">
        <v>13039</v>
      </c>
      <c r="B4600" t="s">
        <v>9230</v>
      </c>
      <c r="C4600" t="s">
        <v>9231</v>
      </c>
      <c r="D4600" s="1" t="s">
        <v>2904</v>
      </c>
      <c r="E4600" s="3">
        <v>4.01</v>
      </c>
      <c r="F4600" s="3">
        <f t="shared" si="142"/>
        <v>1.0133270000000001</v>
      </c>
      <c r="G4600" s="3">
        <f t="shared" si="143"/>
        <v>5.0233270000000001</v>
      </c>
    </row>
    <row r="4601" spans="1:7" x14ac:dyDescent="0.3">
      <c r="A4601" t="s">
        <v>13039</v>
      </c>
      <c r="B4601" t="s">
        <v>9232</v>
      </c>
      <c r="C4601" t="s">
        <v>9233</v>
      </c>
      <c r="D4601" s="1" t="s">
        <v>2904</v>
      </c>
      <c r="E4601" s="3">
        <v>7.86</v>
      </c>
      <c r="F4601" s="3">
        <f t="shared" si="142"/>
        <v>1.9862220000000004</v>
      </c>
      <c r="G4601" s="3">
        <f t="shared" si="143"/>
        <v>9.8462220000000009</v>
      </c>
    </row>
    <row r="4602" spans="1:7" x14ac:dyDescent="0.3">
      <c r="A4602" t="s">
        <v>13039</v>
      </c>
      <c r="B4602" t="s">
        <v>9234</v>
      </c>
      <c r="C4602" t="s">
        <v>9235</v>
      </c>
      <c r="D4602" s="1" t="s">
        <v>2904</v>
      </c>
      <c r="E4602" s="3">
        <v>4.9400000000000004</v>
      </c>
      <c r="F4602" s="3">
        <f t="shared" si="142"/>
        <v>1.2483380000000002</v>
      </c>
      <c r="G4602" s="3">
        <f t="shared" si="143"/>
        <v>6.1883380000000008</v>
      </c>
    </row>
    <row r="4603" spans="1:7" x14ac:dyDescent="0.3">
      <c r="A4603" t="s">
        <v>13039</v>
      </c>
      <c r="B4603" t="s">
        <v>9236</v>
      </c>
      <c r="C4603" t="s">
        <v>9237</v>
      </c>
      <c r="D4603" s="1" t="s">
        <v>2904</v>
      </c>
      <c r="E4603" s="3">
        <v>7.86</v>
      </c>
      <c r="F4603" s="3">
        <f t="shared" si="142"/>
        <v>1.9862220000000004</v>
      </c>
      <c r="G4603" s="3">
        <f t="shared" si="143"/>
        <v>9.8462220000000009</v>
      </c>
    </row>
    <row r="4604" spans="1:7" x14ac:dyDescent="0.3">
      <c r="A4604" t="s">
        <v>13039</v>
      </c>
      <c r="B4604" t="s">
        <v>9238</v>
      </c>
      <c r="C4604" t="s">
        <v>9239</v>
      </c>
      <c r="D4604" s="1" t="s">
        <v>2904</v>
      </c>
      <c r="E4604" s="3">
        <v>4.9400000000000004</v>
      </c>
      <c r="F4604" s="3">
        <f t="shared" si="142"/>
        <v>1.2483380000000002</v>
      </c>
      <c r="G4604" s="3">
        <f t="shared" si="143"/>
        <v>6.1883380000000008</v>
      </c>
    </row>
    <row r="4605" spans="1:7" x14ac:dyDescent="0.3">
      <c r="A4605" t="s">
        <v>13039</v>
      </c>
      <c r="B4605" t="s">
        <v>9240</v>
      </c>
      <c r="C4605" t="s">
        <v>9241</v>
      </c>
      <c r="D4605" s="1" t="s">
        <v>2904</v>
      </c>
      <c r="E4605" s="3">
        <v>0.08</v>
      </c>
      <c r="F4605" s="3">
        <f t="shared" si="142"/>
        <v>2.0216000000000005E-2</v>
      </c>
      <c r="G4605" s="3">
        <f t="shared" si="143"/>
        <v>0.100216</v>
      </c>
    </row>
    <row r="4606" spans="1:7" x14ac:dyDescent="0.3">
      <c r="A4606" t="s">
        <v>13039</v>
      </c>
      <c r="B4606" t="s">
        <v>9242</v>
      </c>
      <c r="C4606" t="s">
        <v>9243</v>
      </c>
      <c r="D4606" s="1" t="s">
        <v>38</v>
      </c>
      <c r="E4606" s="3">
        <v>14395.79</v>
      </c>
      <c r="F4606" s="3">
        <f t="shared" si="142"/>
        <v>3637.8161330000007</v>
      </c>
      <c r="G4606" s="3">
        <f t="shared" si="143"/>
        <v>18033.606133000001</v>
      </c>
    </row>
    <row r="4607" spans="1:7" x14ac:dyDescent="0.3">
      <c r="A4607" t="s">
        <v>13039</v>
      </c>
      <c r="B4607" t="s">
        <v>9244</v>
      </c>
      <c r="C4607" t="s">
        <v>9245</v>
      </c>
      <c r="D4607" s="1" t="s">
        <v>38</v>
      </c>
      <c r="E4607" s="3">
        <v>19000.16</v>
      </c>
      <c r="F4607" s="3">
        <f t="shared" si="142"/>
        <v>4801.3404320000009</v>
      </c>
      <c r="G4607" s="3">
        <f t="shared" si="143"/>
        <v>23801.500432000001</v>
      </c>
    </row>
    <row r="4608" spans="1:7" x14ac:dyDescent="0.3">
      <c r="A4608" t="s">
        <v>13039</v>
      </c>
      <c r="B4608" t="s">
        <v>9246</v>
      </c>
      <c r="C4608" t="s">
        <v>9247</v>
      </c>
      <c r="D4608" s="1" t="s">
        <v>38</v>
      </c>
      <c r="E4608" s="3">
        <v>22487.69</v>
      </c>
      <c r="F4608" s="3">
        <f t="shared" si="142"/>
        <v>5682.639263</v>
      </c>
      <c r="G4608" s="3">
        <f t="shared" si="143"/>
        <v>28170.329263</v>
      </c>
    </row>
    <row r="4609" spans="1:7" x14ac:dyDescent="0.3">
      <c r="A4609" t="s">
        <v>13039</v>
      </c>
      <c r="B4609" t="s">
        <v>9248</v>
      </c>
      <c r="C4609" t="s">
        <v>9249</v>
      </c>
      <c r="D4609" s="1" t="s">
        <v>38</v>
      </c>
      <c r="E4609" s="3">
        <v>30341.75</v>
      </c>
      <c r="F4609" s="3">
        <f t="shared" si="142"/>
        <v>7667.3602250000013</v>
      </c>
      <c r="G4609" s="3">
        <f t="shared" si="143"/>
        <v>38009.110225000004</v>
      </c>
    </row>
    <row r="4610" spans="1:7" x14ac:dyDescent="0.3">
      <c r="A4610" t="s">
        <v>13039</v>
      </c>
      <c r="B4610" t="s">
        <v>9250</v>
      </c>
      <c r="C4610" t="s">
        <v>9251</v>
      </c>
      <c r="D4610" s="1" t="s">
        <v>38</v>
      </c>
      <c r="E4610" s="3">
        <v>36041.980000000003</v>
      </c>
      <c r="F4610" s="3">
        <f t="shared" si="142"/>
        <v>9107.8083460000016</v>
      </c>
      <c r="G4610" s="3">
        <f t="shared" si="143"/>
        <v>45149.788346000001</v>
      </c>
    </row>
    <row r="4611" spans="1:7" x14ac:dyDescent="0.3">
      <c r="A4611" t="s">
        <v>13039</v>
      </c>
      <c r="B4611" t="s">
        <v>9252</v>
      </c>
      <c r="C4611" t="s">
        <v>9253</v>
      </c>
      <c r="D4611" s="1" t="s">
        <v>38</v>
      </c>
      <c r="E4611" s="3">
        <v>41668.04</v>
      </c>
      <c r="F4611" s="3">
        <f t="shared" si="142"/>
        <v>10529.513708000002</v>
      </c>
      <c r="G4611" s="3">
        <f t="shared" si="143"/>
        <v>52197.553708000007</v>
      </c>
    </row>
    <row r="4612" spans="1:7" x14ac:dyDescent="0.3">
      <c r="A4612" t="s">
        <v>13039</v>
      </c>
      <c r="B4612" t="s">
        <v>9254</v>
      </c>
      <c r="C4612" t="s">
        <v>9255</v>
      </c>
      <c r="D4612" s="1" t="s">
        <v>38</v>
      </c>
      <c r="E4612" s="3">
        <v>52505.97</v>
      </c>
      <c r="F4612" s="3">
        <f t="shared" si="142"/>
        <v>13268.258619000002</v>
      </c>
      <c r="G4612" s="3">
        <f t="shared" si="143"/>
        <v>65774.228619000001</v>
      </c>
    </row>
    <row r="4613" spans="1:7" x14ac:dyDescent="0.3">
      <c r="A4613" t="s">
        <v>13039</v>
      </c>
      <c r="B4613" t="s">
        <v>9256</v>
      </c>
      <c r="C4613" t="s">
        <v>9257</v>
      </c>
      <c r="D4613" s="1" t="s">
        <v>38</v>
      </c>
      <c r="E4613" s="3">
        <v>57896.38</v>
      </c>
      <c r="F4613" s="3">
        <f t="shared" si="142"/>
        <v>14630.415226000001</v>
      </c>
      <c r="G4613" s="3">
        <f t="shared" si="143"/>
        <v>72526.795226000002</v>
      </c>
    </row>
    <row r="4614" spans="1:7" x14ac:dyDescent="0.3">
      <c r="A4614" t="s">
        <v>13039</v>
      </c>
      <c r="B4614" t="s">
        <v>9258</v>
      </c>
      <c r="C4614" t="s">
        <v>9259</v>
      </c>
      <c r="D4614" s="1" t="s">
        <v>38</v>
      </c>
      <c r="E4614" s="3">
        <v>68993.14</v>
      </c>
      <c r="F4614" s="3">
        <f t="shared" si="142"/>
        <v>17434.566478000001</v>
      </c>
      <c r="G4614" s="3">
        <f t="shared" si="143"/>
        <v>86427.706478000007</v>
      </c>
    </row>
    <row r="4615" spans="1:7" x14ac:dyDescent="0.3">
      <c r="A4615" t="s">
        <v>13039</v>
      </c>
      <c r="B4615" t="s">
        <v>9260</v>
      </c>
      <c r="C4615" t="s">
        <v>9261</v>
      </c>
      <c r="D4615" s="1" t="s">
        <v>38</v>
      </c>
      <c r="E4615" s="3">
        <v>80236.92</v>
      </c>
      <c r="F4615" s="3">
        <f t="shared" ref="F4615:F4678" si="144">+E4615*$F$4</f>
        <v>20275.869684000001</v>
      </c>
      <c r="G4615" s="3">
        <f t="shared" ref="G4615:G4678" si="145">+E4615+F4615</f>
        <v>100512.789684</v>
      </c>
    </row>
    <row r="4616" spans="1:7" x14ac:dyDescent="0.3">
      <c r="A4616" t="s">
        <v>13039</v>
      </c>
      <c r="B4616" t="s">
        <v>9262</v>
      </c>
      <c r="C4616" t="s">
        <v>9263</v>
      </c>
      <c r="D4616" s="1" t="s">
        <v>38</v>
      </c>
      <c r="E4616" s="3">
        <v>85487.18</v>
      </c>
      <c r="F4616" s="3">
        <f t="shared" si="144"/>
        <v>21602.610386</v>
      </c>
      <c r="G4616" s="3">
        <f t="shared" si="145"/>
        <v>107089.79038599999</v>
      </c>
    </row>
    <row r="4617" spans="1:7" x14ac:dyDescent="0.3">
      <c r="A4617" t="s">
        <v>13039</v>
      </c>
      <c r="B4617" t="s">
        <v>9264</v>
      </c>
      <c r="C4617" t="s">
        <v>9265</v>
      </c>
      <c r="D4617" s="1" t="s">
        <v>38</v>
      </c>
      <c r="E4617" s="3">
        <v>25163.48</v>
      </c>
      <c r="F4617" s="3">
        <f t="shared" si="144"/>
        <v>6358.811396000001</v>
      </c>
      <c r="G4617" s="3">
        <f t="shared" si="145"/>
        <v>31522.291396000001</v>
      </c>
    </row>
    <row r="4618" spans="1:7" x14ac:dyDescent="0.3">
      <c r="A4618" t="s">
        <v>13039</v>
      </c>
      <c r="B4618" t="s">
        <v>9266</v>
      </c>
      <c r="C4618" t="s">
        <v>9267</v>
      </c>
      <c r="D4618" s="1" t="s">
        <v>38</v>
      </c>
      <c r="E4618" s="3">
        <v>32976.639999999999</v>
      </c>
      <c r="F4618" s="3">
        <f t="shared" si="144"/>
        <v>8333.1969280000012</v>
      </c>
      <c r="G4618" s="3">
        <f t="shared" si="145"/>
        <v>41309.836928000004</v>
      </c>
    </row>
    <row r="4619" spans="1:7" x14ac:dyDescent="0.3">
      <c r="A4619" t="s">
        <v>13039</v>
      </c>
      <c r="B4619" t="s">
        <v>9268</v>
      </c>
      <c r="C4619" t="s">
        <v>9269</v>
      </c>
      <c r="D4619" s="1" t="s">
        <v>38</v>
      </c>
      <c r="E4619" s="3">
        <v>35397.68</v>
      </c>
      <c r="F4619" s="3">
        <f t="shared" si="144"/>
        <v>8944.9937360000022</v>
      </c>
      <c r="G4619" s="3">
        <f t="shared" si="145"/>
        <v>44342.673736000004</v>
      </c>
    </row>
    <row r="4620" spans="1:7" x14ac:dyDescent="0.3">
      <c r="A4620" t="s">
        <v>13039</v>
      </c>
      <c r="B4620" t="s">
        <v>9270</v>
      </c>
      <c r="C4620" t="s">
        <v>9271</v>
      </c>
      <c r="D4620" s="1" t="s">
        <v>38</v>
      </c>
      <c r="E4620" s="3">
        <v>52606.79</v>
      </c>
      <c r="F4620" s="3">
        <f t="shared" si="144"/>
        <v>13293.735833000002</v>
      </c>
      <c r="G4620" s="3">
        <f t="shared" si="145"/>
        <v>65900.525833000007</v>
      </c>
    </row>
    <row r="4621" spans="1:7" x14ac:dyDescent="0.3">
      <c r="A4621" t="s">
        <v>13039</v>
      </c>
      <c r="B4621" t="s">
        <v>9272</v>
      </c>
      <c r="C4621" t="s">
        <v>9273</v>
      </c>
      <c r="D4621" s="1" t="s">
        <v>38</v>
      </c>
      <c r="E4621" s="3">
        <v>62310.81</v>
      </c>
      <c r="F4621" s="3">
        <f t="shared" si="144"/>
        <v>15745.941687000002</v>
      </c>
      <c r="G4621" s="3">
        <f t="shared" si="145"/>
        <v>78056.751686999996</v>
      </c>
    </row>
    <row r="4622" spans="1:7" x14ac:dyDescent="0.3">
      <c r="A4622" t="s">
        <v>13039</v>
      </c>
      <c r="B4622" t="s">
        <v>9274</v>
      </c>
      <c r="C4622" t="s">
        <v>9275</v>
      </c>
      <c r="D4622" s="1" t="s">
        <v>38</v>
      </c>
      <c r="E4622" s="3">
        <v>72205.77</v>
      </c>
      <c r="F4622" s="3">
        <f t="shared" si="144"/>
        <v>18246.398079000002</v>
      </c>
      <c r="G4622" s="3">
        <f t="shared" si="145"/>
        <v>90452.16807900001</v>
      </c>
    </row>
    <row r="4623" spans="1:7" x14ac:dyDescent="0.3">
      <c r="A4623" t="s">
        <v>13039</v>
      </c>
      <c r="B4623" t="s">
        <v>9276</v>
      </c>
      <c r="C4623" t="s">
        <v>9277</v>
      </c>
      <c r="D4623" s="1" t="s">
        <v>38</v>
      </c>
      <c r="E4623" s="3">
        <v>91081.12</v>
      </c>
      <c r="F4623" s="3">
        <f t="shared" si="144"/>
        <v>23016.199024000001</v>
      </c>
      <c r="G4623" s="3">
        <f t="shared" si="145"/>
        <v>114097.319024</v>
      </c>
    </row>
    <row r="4624" spans="1:7" x14ac:dyDescent="0.3">
      <c r="A4624" t="s">
        <v>13039</v>
      </c>
      <c r="B4624" t="s">
        <v>9278</v>
      </c>
      <c r="C4624" t="s">
        <v>9279</v>
      </c>
      <c r="D4624" s="1" t="s">
        <v>38</v>
      </c>
      <c r="E4624" s="3">
        <v>101120.75</v>
      </c>
      <c r="F4624" s="3">
        <f t="shared" si="144"/>
        <v>25553.213525000003</v>
      </c>
      <c r="G4624" s="3">
        <f t="shared" si="145"/>
        <v>126673.963525</v>
      </c>
    </row>
    <row r="4625" spans="1:7" x14ac:dyDescent="0.3">
      <c r="A4625" t="s">
        <v>13039</v>
      </c>
      <c r="B4625" t="s">
        <v>9280</v>
      </c>
      <c r="C4625" t="s">
        <v>9281</v>
      </c>
      <c r="D4625" s="1" t="s">
        <v>38</v>
      </c>
      <c r="E4625" s="3">
        <v>120352.02</v>
      </c>
      <c r="F4625" s="3">
        <f t="shared" si="144"/>
        <v>30412.955454000006</v>
      </c>
      <c r="G4625" s="3">
        <f t="shared" si="145"/>
        <v>150764.975454</v>
      </c>
    </row>
    <row r="4626" spans="1:7" x14ac:dyDescent="0.3">
      <c r="A4626" t="s">
        <v>13039</v>
      </c>
      <c r="B4626" t="s">
        <v>9282</v>
      </c>
      <c r="C4626" t="s">
        <v>9283</v>
      </c>
      <c r="D4626" s="1" t="s">
        <v>38</v>
      </c>
      <c r="E4626" s="3">
        <v>139893.06</v>
      </c>
      <c r="F4626" s="3">
        <f t="shared" si="144"/>
        <v>35350.976262000004</v>
      </c>
      <c r="G4626" s="3">
        <f t="shared" si="145"/>
        <v>175244.03626200001</v>
      </c>
    </row>
    <row r="4627" spans="1:7" x14ac:dyDescent="0.3">
      <c r="A4627" t="s">
        <v>13039</v>
      </c>
      <c r="B4627" t="s">
        <v>9284</v>
      </c>
      <c r="C4627" t="s">
        <v>9285</v>
      </c>
      <c r="D4627" s="1" t="s">
        <v>38</v>
      </c>
      <c r="E4627" s="3">
        <v>149423.66</v>
      </c>
      <c r="F4627" s="3">
        <f t="shared" si="144"/>
        <v>37759.358882000008</v>
      </c>
      <c r="G4627" s="3">
        <f t="shared" si="145"/>
        <v>187183.018882</v>
      </c>
    </row>
    <row r="4628" spans="1:7" x14ac:dyDescent="0.3">
      <c r="A4628" t="s">
        <v>13039</v>
      </c>
      <c r="B4628" t="s">
        <v>9286</v>
      </c>
      <c r="C4628" t="s">
        <v>9287</v>
      </c>
      <c r="D4628" s="1" t="s">
        <v>210</v>
      </c>
      <c r="E4628" s="3">
        <v>27.57</v>
      </c>
      <c r="F4628" s="3">
        <f t="shared" si="144"/>
        <v>6.9669390000000009</v>
      </c>
      <c r="G4628" s="3">
        <f t="shared" si="145"/>
        <v>34.536939000000004</v>
      </c>
    </row>
    <row r="4629" spans="1:7" x14ac:dyDescent="0.3">
      <c r="A4629" t="s">
        <v>13039</v>
      </c>
      <c r="B4629" t="s">
        <v>9288</v>
      </c>
      <c r="C4629" t="s">
        <v>9289</v>
      </c>
      <c r="D4629" s="1" t="s">
        <v>38</v>
      </c>
      <c r="E4629" s="3">
        <v>2683.97</v>
      </c>
      <c r="F4629" s="3">
        <f t="shared" si="144"/>
        <v>678.23921900000005</v>
      </c>
      <c r="G4629" s="3">
        <f t="shared" si="145"/>
        <v>3362.2092189999998</v>
      </c>
    </row>
    <row r="4630" spans="1:7" x14ac:dyDescent="0.3">
      <c r="A4630" t="s">
        <v>13039</v>
      </c>
      <c r="B4630" t="s">
        <v>9290</v>
      </c>
      <c r="C4630" t="s">
        <v>9291</v>
      </c>
      <c r="D4630" s="1" t="s">
        <v>38</v>
      </c>
      <c r="E4630" s="3">
        <v>11874.98</v>
      </c>
      <c r="F4630" s="3">
        <f t="shared" si="144"/>
        <v>3000.8074460000003</v>
      </c>
      <c r="G4630" s="3">
        <f t="shared" si="145"/>
        <v>14875.787446</v>
      </c>
    </row>
    <row r="4631" spans="1:7" x14ac:dyDescent="0.3">
      <c r="A4631" t="s">
        <v>13039</v>
      </c>
      <c r="B4631" t="s">
        <v>9292</v>
      </c>
      <c r="C4631" t="s">
        <v>9293</v>
      </c>
      <c r="D4631" s="1" t="s">
        <v>6421</v>
      </c>
      <c r="E4631" s="3">
        <v>128.22</v>
      </c>
      <c r="F4631" s="3">
        <f t="shared" si="144"/>
        <v>32.401194000000004</v>
      </c>
      <c r="G4631" s="3">
        <f t="shared" si="145"/>
        <v>160.621194</v>
      </c>
    </row>
    <row r="4632" spans="1:7" x14ac:dyDescent="0.3">
      <c r="A4632" t="s">
        <v>13039</v>
      </c>
      <c r="B4632" t="s">
        <v>9294</v>
      </c>
      <c r="C4632" t="s">
        <v>9295</v>
      </c>
      <c r="D4632" s="1" t="s">
        <v>38</v>
      </c>
      <c r="E4632" s="3">
        <v>26926.95</v>
      </c>
      <c r="F4632" s="3">
        <f t="shared" si="144"/>
        <v>6804.4402650000011</v>
      </c>
      <c r="G4632" s="3">
        <f t="shared" si="145"/>
        <v>33731.390265000002</v>
      </c>
    </row>
    <row r="4633" spans="1:7" x14ac:dyDescent="0.3">
      <c r="A4633" t="s">
        <v>13039</v>
      </c>
      <c r="B4633" t="s">
        <v>9296</v>
      </c>
      <c r="C4633" t="s">
        <v>9297</v>
      </c>
      <c r="D4633" s="1" t="s">
        <v>38</v>
      </c>
      <c r="E4633" s="3">
        <v>12829.53</v>
      </c>
      <c r="F4633" s="3">
        <f t="shared" si="144"/>
        <v>3242.0222310000008</v>
      </c>
      <c r="G4633" s="3">
        <f t="shared" si="145"/>
        <v>16071.552231000001</v>
      </c>
    </row>
    <row r="4634" spans="1:7" x14ac:dyDescent="0.3">
      <c r="A4634" t="s">
        <v>13039</v>
      </c>
      <c r="B4634" t="s">
        <v>9298</v>
      </c>
      <c r="C4634" t="s">
        <v>9299</v>
      </c>
      <c r="D4634" s="1" t="s">
        <v>6421</v>
      </c>
      <c r="E4634" s="3">
        <v>544.36</v>
      </c>
      <c r="F4634" s="3">
        <f t="shared" si="144"/>
        <v>137.55977200000001</v>
      </c>
      <c r="G4634" s="3">
        <f t="shared" si="145"/>
        <v>681.91977199999997</v>
      </c>
    </row>
    <row r="4635" spans="1:7" x14ac:dyDescent="0.3">
      <c r="A4635" t="s">
        <v>13039</v>
      </c>
      <c r="B4635" t="s">
        <v>9300</v>
      </c>
      <c r="C4635" t="s">
        <v>9301</v>
      </c>
      <c r="D4635" s="1" t="s">
        <v>195</v>
      </c>
      <c r="E4635" s="3">
        <v>1585.18</v>
      </c>
      <c r="F4635" s="3">
        <f t="shared" si="144"/>
        <v>400.57498600000008</v>
      </c>
      <c r="G4635" s="3">
        <f t="shared" si="145"/>
        <v>1985.7549860000001</v>
      </c>
    </row>
    <row r="4636" spans="1:7" x14ac:dyDescent="0.3">
      <c r="A4636" t="s">
        <v>13039</v>
      </c>
      <c r="B4636" t="s">
        <v>9302</v>
      </c>
      <c r="C4636" t="s">
        <v>9303</v>
      </c>
      <c r="D4636" s="1" t="s">
        <v>195</v>
      </c>
      <c r="E4636" s="3">
        <v>1790.52</v>
      </c>
      <c r="F4636" s="3">
        <f t="shared" si="144"/>
        <v>452.46440400000006</v>
      </c>
      <c r="G4636" s="3">
        <f t="shared" si="145"/>
        <v>2242.9844039999998</v>
      </c>
    </row>
    <row r="4637" spans="1:7" x14ac:dyDescent="0.3">
      <c r="A4637" t="s">
        <v>13039</v>
      </c>
      <c r="B4637" t="s">
        <v>9304</v>
      </c>
      <c r="C4637" t="s">
        <v>9305</v>
      </c>
      <c r="D4637" s="1" t="s">
        <v>195</v>
      </c>
      <c r="E4637" s="3">
        <v>2069.4499999999998</v>
      </c>
      <c r="F4637" s="3">
        <f t="shared" si="144"/>
        <v>522.95001500000001</v>
      </c>
      <c r="G4637" s="3">
        <f t="shared" si="145"/>
        <v>2592.4000149999997</v>
      </c>
    </row>
    <row r="4638" spans="1:7" x14ac:dyDescent="0.3">
      <c r="A4638" t="s">
        <v>13039</v>
      </c>
      <c r="B4638" t="s">
        <v>9306</v>
      </c>
      <c r="C4638" t="s">
        <v>9307</v>
      </c>
      <c r="D4638" s="1" t="s">
        <v>195</v>
      </c>
      <c r="E4638" s="3">
        <v>2333.0300000000002</v>
      </c>
      <c r="F4638" s="3">
        <f t="shared" si="144"/>
        <v>589.55668100000014</v>
      </c>
      <c r="G4638" s="3">
        <f t="shared" si="145"/>
        <v>2922.5866810000002</v>
      </c>
    </row>
    <row r="4639" spans="1:7" x14ac:dyDescent="0.3">
      <c r="A4639" t="s">
        <v>13039</v>
      </c>
      <c r="B4639" t="s">
        <v>9308</v>
      </c>
      <c r="C4639" t="s">
        <v>9309</v>
      </c>
      <c r="D4639" s="1" t="s">
        <v>195</v>
      </c>
      <c r="E4639" s="3">
        <v>2336.02</v>
      </c>
      <c r="F4639" s="3">
        <f t="shared" si="144"/>
        <v>590.31225400000005</v>
      </c>
      <c r="G4639" s="3">
        <f t="shared" si="145"/>
        <v>2926.3322539999999</v>
      </c>
    </row>
    <row r="4640" spans="1:7" x14ac:dyDescent="0.3">
      <c r="A4640" t="s">
        <v>13039</v>
      </c>
      <c r="B4640" t="s">
        <v>9310</v>
      </c>
      <c r="C4640" t="s">
        <v>9311</v>
      </c>
      <c r="D4640" s="1" t="s">
        <v>195</v>
      </c>
      <c r="E4640" s="3">
        <v>2909.2</v>
      </c>
      <c r="F4640" s="3">
        <f t="shared" si="144"/>
        <v>735.15484000000004</v>
      </c>
      <c r="G4640" s="3">
        <f t="shared" si="145"/>
        <v>3644.35484</v>
      </c>
    </row>
    <row r="4641" spans="1:7" x14ac:dyDescent="0.3">
      <c r="A4641" t="s">
        <v>13039</v>
      </c>
      <c r="B4641" t="s">
        <v>9312</v>
      </c>
      <c r="C4641" t="s">
        <v>9313</v>
      </c>
      <c r="D4641" s="1" t="s">
        <v>195</v>
      </c>
      <c r="E4641" s="3">
        <v>2917.02</v>
      </c>
      <c r="F4641" s="3">
        <f t="shared" si="144"/>
        <v>737.13095400000009</v>
      </c>
      <c r="G4641" s="3">
        <f t="shared" si="145"/>
        <v>3654.1509540000002</v>
      </c>
    </row>
    <row r="4642" spans="1:7" x14ac:dyDescent="0.3">
      <c r="A4642" t="s">
        <v>13039</v>
      </c>
      <c r="B4642" t="s">
        <v>9314</v>
      </c>
      <c r="C4642" t="s">
        <v>9315</v>
      </c>
      <c r="D4642" s="1" t="s">
        <v>195</v>
      </c>
      <c r="E4642" s="3">
        <v>2918.74</v>
      </c>
      <c r="F4642" s="3">
        <f t="shared" si="144"/>
        <v>737.56559800000002</v>
      </c>
      <c r="G4642" s="3">
        <f t="shared" si="145"/>
        <v>3656.3055979999999</v>
      </c>
    </row>
    <row r="4643" spans="1:7" x14ac:dyDescent="0.3">
      <c r="A4643" t="s">
        <v>13039</v>
      </c>
      <c r="B4643" t="s">
        <v>9316</v>
      </c>
      <c r="C4643" t="s">
        <v>9317</v>
      </c>
      <c r="D4643" s="1" t="s">
        <v>195</v>
      </c>
      <c r="E4643" s="3">
        <v>3360.62</v>
      </c>
      <c r="F4643" s="3">
        <f t="shared" si="144"/>
        <v>849.22867400000007</v>
      </c>
      <c r="G4643" s="3">
        <f t="shared" si="145"/>
        <v>4209.8486739999998</v>
      </c>
    </row>
    <row r="4644" spans="1:7" x14ac:dyDescent="0.3">
      <c r="A4644" t="s">
        <v>13039</v>
      </c>
      <c r="B4644" t="s">
        <v>9318</v>
      </c>
      <c r="C4644" t="s">
        <v>9319</v>
      </c>
      <c r="D4644" s="1" t="s">
        <v>195</v>
      </c>
      <c r="E4644" s="3">
        <v>3800.18</v>
      </c>
      <c r="F4644" s="3">
        <f t="shared" si="144"/>
        <v>960.30548600000009</v>
      </c>
      <c r="G4644" s="3">
        <f t="shared" si="145"/>
        <v>4760.4854859999996</v>
      </c>
    </row>
    <row r="4645" spans="1:7" x14ac:dyDescent="0.3">
      <c r="A4645" t="s">
        <v>13039</v>
      </c>
      <c r="B4645" t="s">
        <v>9320</v>
      </c>
      <c r="C4645" t="s">
        <v>9321</v>
      </c>
      <c r="D4645" s="1" t="s">
        <v>195</v>
      </c>
      <c r="E4645" s="3">
        <v>3804.82</v>
      </c>
      <c r="F4645" s="3">
        <f t="shared" si="144"/>
        <v>961.47801400000014</v>
      </c>
      <c r="G4645" s="3">
        <f t="shared" si="145"/>
        <v>4766.298014</v>
      </c>
    </row>
    <row r="4646" spans="1:7" x14ac:dyDescent="0.3">
      <c r="A4646" t="s">
        <v>13039</v>
      </c>
      <c r="B4646" t="s">
        <v>9322</v>
      </c>
      <c r="C4646" t="s">
        <v>9323</v>
      </c>
      <c r="D4646" s="1" t="s">
        <v>195</v>
      </c>
      <c r="E4646" s="3">
        <v>2610.4699999999998</v>
      </c>
      <c r="F4646" s="3">
        <f t="shared" si="144"/>
        <v>659.66576900000007</v>
      </c>
      <c r="G4646" s="3">
        <f t="shared" si="145"/>
        <v>3270.135769</v>
      </c>
    </row>
    <row r="4647" spans="1:7" x14ac:dyDescent="0.3">
      <c r="A4647" t="s">
        <v>13039</v>
      </c>
      <c r="B4647" t="s">
        <v>9324</v>
      </c>
      <c r="C4647" t="s">
        <v>9325</v>
      </c>
      <c r="D4647" s="1" t="s">
        <v>195</v>
      </c>
      <c r="E4647" s="3">
        <v>3017.87</v>
      </c>
      <c r="F4647" s="3">
        <f t="shared" si="144"/>
        <v>762.61574900000005</v>
      </c>
      <c r="G4647" s="3">
        <f t="shared" si="145"/>
        <v>3780.4857489999999</v>
      </c>
    </row>
    <row r="4648" spans="1:7" x14ac:dyDescent="0.3">
      <c r="A4648" t="s">
        <v>13039</v>
      </c>
      <c r="B4648" t="s">
        <v>9326</v>
      </c>
      <c r="C4648" t="s">
        <v>9327</v>
      </c>
      <c r="D4648" s="1" t="s">
        <v>195</v>
      </c>
      <c r="E4648" s="3">
        <v>3933.08</v>
      </c>
      <c r="F4648" s="3">
        <f t="shared" si="144"/>
        <v>993.88931600000012</v>
      </c>
      <c r="G4648" s="3">
        <f t="shared" si="145"/>
        <v>4926.9693159999997</v>
      </c>
    </row>
    <row r="4649" spans="1:7" x14ac:dyDescent="0.3">
      <c r="A4649" t="s">
        <v>13039</v>
      </c>
      <c r="B4649" t="s">
        <v>9328</v>
      </c>
      <c r="C4649" t="s">
        <v>9329</v>
      </c>
      <c r="D4649" s="1" t="s">
        <v>195</v>
      </c>
      <c r="E4649" s="3">
        <v>5083.0200000000004</v>
      </c>
      <c r="F4649" s="3">
        <f t="shared" si="144"/>
        <v>1284.4791540000003</v>
      </c>
      <c r="G4649" s="3">
        <f t="shared" si="145"/>
        <v>6367.499154000001</v>
      </c>
    </row>
    <row r="4650" spans="1:7" x14ac:dyDescent="0.3">
      <c r="A4650" t="s">
        <v>13039</v>
      </c>
      <c r="B4650" t="s">
        <v>9330</v>
      </c>
      <c r="C4650" t="s">
        <v>9331</v>
      </c>
      <c r="D4650" s="1" t="s">
        <v>195</v>
      </c>
      <c r="E4650" s="3">
        <v>5389.91</v>
      </c>
      <c r="F4650" s="3">
        <f t="shared" si="144"/>
        <v>1362.0302570000001</v>
      </c>
      <c r="G4650" s="3">
        <f t="shared" si="145"/>
        <v>6751.9402570000002</v>
      </c>
    </row>
    <row r="4651" spans="1:7" x14ac:dyDescent="0.3">
      <c r="A4651" t="s">
        <v>13039</v>
      </c>
      <c r="B4651" t="s">
        <v>9332</v>
      </c>
      <c r="C4651" t="s">
        <v>9333</v>
      </c>
      <c r="D4651" s="1" t="s">
        <v>195</v>
      </c>
      <c r="E4651" s="3">
        <v>7103.49</v>
      </c>
      <c r="F4651" s="3">
        <f t="shared" si="144"/>
        <v>1795.0519230000002</v>
      </c>
      <c r="G4651" s="3">
        <f t="shared" si="145"/>
        <v>8898.5419230000007</v>
      </c>
    </row>
    <row r="4652" spans="1:7" x14ac:dyDescent="0.3">
      <c r="A4652" t="s">
        <v>13039</v>
      </c>
      <c r="B4652" t="s">
        <v>9334</v>
      </c>
      <c r="C4652" t="s">
        <v>9335</v>
      </c>
      <c r="D4652" s="1" t="s">
        <v>195</v>
      </c>
      <c r="E4652" s="3">
        <v>8966.93</v>
      </c>
      <c r="F4652" s="3">
        <f t="shared" si="144"/>
        <v>2265.9432110000002</v>
      </c>
      <c r="G4652" s="3">
        <f t="shared" si="145"/>
        <v>11232.873211</v>
      </c>
    </row>
    <row r="4653" spans="1:7" x14ac:dyDescent="0.3">
      <c r="A4653" t="s">
        <v>13039</v>
      </c>
      <c r="B4653" t="s">
        <v>9336</v>
      </c>
      <c r="C4653" t="s">
        <v>9337</v>
      </c>
      <c r="D4653" s="1" t="s">
        <v>195</v>
      </c>
      <c r="E4653" s="3">
        <v>8969.64</v>
      </c>
      <c r="F4653" s="3">
        <f t="shared" si="144"/>
        <v>2266.6280280000001</v>
      </c>
      <c r="G4653" s="3">
        <f t="shared" si="145"/>
        <v>11236.268027999999</v>
      </c>
    </row>
    <row r="4654" spans="1:7" x14ac:dyDescent="0.3">
      <c r="A4654" t="s">
        <v>13039</v>
      </c>
      <c r="B4654" t="s">
        <v>9338</v>
      </c>
      <c r="C4654" t="s">
        <v>9339</v>
      </c>
      <c r="D4654" s="1" t="s">
        <v>195</v>
      </c>
      <c r="E4654" s="3">
        <v>10439.68</v>
      </c>
      <c r="F4654" s="3">
        <f t="shared" si="144"/>
        <v>2638.1071360000005</v>
      </c>
      <c r="G4654" s="3">
        <f t="shared" si="145"/>
        <v>13077.787136000001</v>
      </c>
    </row>
    <row r="4655" spans="1:7" x14ac:dyDescent="0.3">
      <c r="A4655" t="s">
        <v>13039</v>
      </c>
      <c r="B4655" t="s">
        <v>9340</v>
      </c>
      <c r="C4655" t="s">
        <v>9341</v>
      </c>
      <c r="D4655" s="1" t="s">
        <v>195</v>
      </c>
      <c r="E4655" s="3">
        <v>11898.74</v>
      </c>
      <c r="F4655" s="3">
        <f t="shared" si="144"/>
        <v>3006.8115980000002</v>
      </c>
      <c r="G4655" s="3">
        <f t="shared" si="145"/>
        <v>14905.551598</v>
      </c>
    </row>
    <row r="4656" spans="1:7" x14ac:dyDescent="0.3">
      <c r="A4656" t="s">
        <v>13039</v>
      </c>
      <c r="B4656" t="s">
        <v>9342</v>
      </c>
      <c r="C4656" t="s">
        <v>9343</v>
      </c>
      <c r="D4656" s="1" t="s">
        <v>195</v>
      </c>
      <c r="E4656" s="3">
        <v>11921.44</v>
      </c>
      <c r="F4656" s="3">
        <f t="shared" si="144"/>
        <v>3012.5478880000005</v>
      </c>
      <c r="G4656" s="3">
        <f t="shared" si="145"/>
        <v>14933.987888000001</v>
      </c>
    </row>
    <row r="4657" spans="1:7" x14ac:dyDescent="0.3">
      <c r="A4657" t="s">
        <v>13039</v>
      </c>
      <c r="B4657" t="s">
        <v>9344</v>
      </c>
      <c r="C4657" t="s">
        <v>9345</v>
      </c>
      <c r="D4657" s="1" t="s">
        <v>195</v>
      </c>
      <c r="E4657" s="3">
        <v>1223.25</v>
      </c>
      <c r="F4657" s="3">
        <f t="shared" si="144"/>
        <v>309.11527500000005</v>
      </c>
      <c r="G4657" s="3">
        <f t="shared" si="145"/>
        <v>1532.3652750000001</v>
      </c>
    </row>
    <row r="4658" spans="1:7" x14ac:dyDescent="0.3">
      <c r="A4658" t="s">
        <v>13039</v>
      </c>
      <c r="B4658" t="s">
        <v>9346</v>
      </c>
      <c r="C4658" t="s">
        <v>9347</v>
      </c>
      <c r="D4658" s="1" t="s">
        <v>195</v>
      </c>
      <c r="E4658" s="3">
        <v>1405.99</v>
      </c>
      <c r="F4658" s="3">
        <f t="shared" si="144"/>
        <v>355.29367300000007</v>
      </c>
      <c r="G4658" s="3">
        <f t="shared" si="145"/>
        <v>1761.2836730000001</v>
      </c>
    </row>
    <row r="4659" spans="1:7" x14ac:dyDescent="0.3">
      <c r="A4659" t="s">
        <v>13039</v>
      </c>
      <c r="B4659" t="s">
        <v>9348</v>
      </c>
      <c r="C4659" t="s">
        <v>9349</v>
      </c>
      <c r="D4659" s="1" t="s">
        <v>195</v>
      </c>
      <c r="E4659" s="3">
        <v>1828</v>
      </c>
      <c r="F4659" s="3">
        <f t="shared" si="144"/>
        <v>461.93560000000008</v>
      </c>
      <c r="G4659" s="3">
        <f t="shared" si="145"/>
        <v>2289.9356000000002</v>
      </c>
    </row>
    <row r="4660" spans="1:7" x14ac:dyDescent="0.3">
      <c r="A4660" t="s">
        <v>13039</v>
      </c>
      <c r="B4660" t="s">
        <v>9350</v>
      </c>
      <c r="C4660" t="s">
        <v>9351</v>
      </c>
      <c r="D4660" s="1" t="s">
        <v>195</v>
      </c>
      <c r="E4660" s="3">
        <v>2360.77</v>
      </c>
      <c r="F4660" s="3">
        <f t="shared" si="144"/>
        <v>596.56657900000005</v>
      </c>
      <c r="G4660" s="3">
        <f t="shared" si="145"/>
        <v>2957.3365789999998</v>
      </c>
    </row>
    <row r="4661" spans="1:7" x14ac:dyDescent="0.3">
      <c r="A4661" t="s">
        <v>13039</v>
      </c>
      <c r="B4661" t="s">
        <v>9352</v>
      </c>
      <c r="C4661" t="s">
        <v>9353</v>
      </c>
      <c r="D4661" s="1" t="s">
        <v>195</v>
      </c>
      <c r="E4661" s="3">
        <v>2509.9299999999998</v>
      </c>
      <c r="F4661" s="3">
        <f t="shared" si="144"/>
        <v>634.25931100000003</v>
      </c>
      <c r="G4661" s="3">
        <f t="shared" si="145"/>
        <v>3144.1893110000001</v>
      </c>
    </row>
    <row r="4662" spans="1:7" x14ac:dyDescent="0.3">
      <c r="A4662" t="s">
        <v>13039</v>
      </c>
      <c r="B4662" t="s">
        <v>9354</v>
      </c>
      <c r="C4662" t="s">
        <v>9355</v>
      </c>
      <c r="D4662" s="1" t="s">
        <v>195</v>
      </c>
      <c r="E4662" s="3">
        <v>3292.18</v>
      </c>
      <c r="F4662" s="3">
        <f t="shared" si="144"/>
        <v>831.93388600000003</v>
      </c>
      <c r="G4662" s="3">
        <f t="shared" si="145"/>
        <v>4124.1138860000001</v>
      </c>
    </row>
    <row r="4663" spans="1:7" x14ac:dyDescent="0.3">
      <c r="A4663" t="s">
        <v>13039</v>
      </c>
      <c r="B4663" t="s">
        <v>9356</v>
      </c>
      <c r="C4663" t="s">
        <v>9357</v>
      </c>
      <c r="D4663" s="1" t="s">
        <v>195</v>
      </c>
      <c r="E4663" s="3">
        <v>4131.28</v>
      </c>
      <c r="F4663" s="3">
        <f t="shared" si="144"/>
        <v>1043.9744560000001</v>
      </c>
      <c r="G4663" s="3">
        <f t="shared" si="145"/>
        <v>5175.2544559999997</v>
      </c>
    </row>
    <row r="4664" spans="1:7" x14ac:dyDescent="0.3">
      <c r="A4664" t="s">
        <v>13039</v>
      </c>
      <c r="B4664" t="s">
        <v>9358</v>
      </c>
      <c r="C4664" t="s">
        <v>9359</v>
      </c>
      <c r="D4664" s="1" t="s">
        <v>195</v>
      </c>
      <c r="E4664" s="3">
        <v>4133.7700000000004</v>
      </c>
      <c r="F4664" s="3">
        <f t="shared" si="144"/>
        <v>1044.6036790000003</v>
      </c>
      <c r="G4664" s="3">
        <f t="shared" si="145"/>
        <v>5178.3736790000003</v>
      </c>
    </row>
    <row r="4665" spans="1:7" x14ac:dyDescent="0.3">
      <c r="A4665" t="s">
        <v>13039</v>
      </c>
      <c r="B4665" t="s">
        <v>9360</v>
      </c>
      <c r="C4665" t="s">
        <v>9361</v>
      </c>
      <c r="D4665" s="1" t="s">
        <v>195</v>
      </c>
      <c r="E4665" s="3">
        <v>4837.33</v>
      </c>
      <c r="F4665" s="3">
        <f t="shared" si="144"/>
        <v>1222.3932910000001</v>
      </c>
      <c r="G4665" s="3">
        <f t="shared" si="145"/>
        <v>6059.7232910000002</v>
      </c>
    </row>
    <row r="4666" spans="1:7" x14ac:dyDescent="0.3">
      <c r="A4666" t="s">
        <v>13039</v>
      </c>
      <c r="B4666" t="s">
        <v>9362</v>
      </c>
      <c r="C4666" t="s">
        <v>9363</v>
      </c>
      <c r="D4666" s="1" t="s">
        <v>195</v>
      </c>
      <c r="E4666" s="3">
        <v>5529.92</v>
      </c>
      <c r="F4666" s="3">
        <f t="shared" si="144"/>
        <v>1397.4107840000001</v>
      </c>
      <c r="G4666" s="3">
        <f t="shared" si="145"/>
        <v>6927.3307839999998</v>
      </c>
    </row>
    <row r="4667" spans="1:7" x14ac:dyDescent="0.3">
      <c r="A4667" t="s">
        <v>13039</v>
      </c>
      <c r="B4667" t="s">
        <v>9364</v>
      </c>
      <c r="C4667" t="s">
        <v>9365</v>
      </c>
      <c r="D4667" s="1" t="s">
        <v>195</v>
      </c>
      <c r="E4667" s="3">
        <v>5552.5</v>
      </c>
      <c r="F4667" s="3">
        <f t="shared" si="144"/>
        <v>1403.1167500000001</v>
      </c>
      <c r="G4667" s="3">
        <f t="shared" si="145"/>
        <v>6955.6167500000001</v>
      </c>
    </row>
    <row r="4668" spans="1:7" x14ac:dyDescent="0.3">
      <c r="A4668" t="s">
        <v>13039</v>
      </c>
      <c r="B4668" t="s">
        <v>9366</v>
      </c>
      <c r="C4668" t="s">
        <v>9367</v>
      </c>
      <c r="D4668" s="1" t="s">
        <v>195</v>
      </c>
      <c r="E4668" s="3">
        <v>263.32</v>
      </c>
      <c r="F4668" s="3">
        <f t="shared" si="144"/>
        <v>66.540964000000002</v>
      </c>
      <c r="G4668" s="3">
        <f t="shared" si="145"/>
        <v>329.86096399999997</v>
      </c>
    </row>
    <row r="4669" spans="1:7" x14ac:dyDescent="0.3">
      <c r="A4669" t="s">
        <v>13039</v>
      </c>
      <c r="B4669" t="s">
        <v>9368</v>
      </c>
      <c r="C4669" t="s">
        <v>9369</v>
      </c>
      <c r="D4669" s="1" t="s">
        <v>195</v>
      </c>
      <c r="E4669" s="3">
        <v>292.02999999999997</v>
      </c>
      <c r="F4669" s="3">
        <f t="shared" si="144"/>
        <v>73.795980999999998</v>
      </c>
      <c r="G4669" s="3">
        <f t="shared" si="145"/>
        <v>365.82598099999996</v>
      </c>
    </row>
    <row r="4670" spans="1:7" x14ac:dyDescent="0.3">
      <c r="A4670" t="s">
        <v>13039</v>
      </c>
      <c r="B4670" t="s">
        <v>9370</v>
      </c>
      <c r="C4670" t="s">
        <v>9371</v>
      </c>
      <c r="D4670" s="1" t="s">
        <v>195</v>
      </c>
      <c r="E4670" s="3">
        <v>335.09</v>
      </c>
      <c r="F4670" s="3">
        <f t="shared" si="144"/>
        <v>84.677243000000004</v>
      </c>
      <c r="G4670" s="3">
        <f t="shared" si="145"/>
        <v>419.76724300000001</v>
      </c>
    </row>
    <row r="4671" spans="1:7" x14ac:dyDescent="0.3">
      <c r="A4671" t="s">
        <v>13039</v>
      </c>
      <c r="B4671" t="s">
        <v>9372</v>
      </c>
      <c r="C4671" t="s">
        <v>9373</v>
      </c>
      <c r="D4671" s="1" t="s">
        <v>195</v>
      </c>
      <c r="E4671" s="3">
        <v>388.99</v>
      </c>
      <c r="F4671" s="3">
        <f t="shared" si="144"/>
        <v>98.297773000000021</v>
      </c>
      <c r="G4671" s="3">
        <f t="shared" si="145"/>
        <v>487.28777300000002</v>
      </c>
    </row>
    <row r="4672" spans="1:7" x14ac:dyDescent="0.3">
      <c r="A4672" t="s">
        <v>13039</v>
      </c>
      <c r="B4672" t="s">
        <v>9374</v>
      </c>
      <c r="C4672" t="s">
        <v>9375</v>
      </c>
      <c r="D4672" s="1" t="s">
        <v>195</v>
      </c>
      <c r="E4672" s="3">
        <v>442.67</v>
      </c>
      <c r="F4672" s="3">
        <f t="shared" si="144"/>
        <v>111.86270900000002</v>
      </c>
      <c r="G4672" s="3">
        <f t="shared" si="145"/>
        <v>554.53270900000007</v>
      </c>
    </row>
    <row r="4673" spans="1:7" x14ac:dyDescent="0.3">
      <c r="A4673" t="s">
        <v>13039</v>
      </c>
      <c r="B4673" t="s">
        <v>9376</v>
      </c>
      <c r="C4673" t="s">
        <v>9377</v>
      </c>
      <c r="D4673" s="1" t="s">
        <v>195</v>
      </c>
      <c r="E4673" s="3">
        <v>501.57</v>
      </c>
      <c r="F4673" s="3">
        <f t="shared" si="144"/>
        <v>126.74673900000002</v>
      </c>
      <c r="G4673" s="3">
        <f t="shared" si="145"/>
        <v>628.31673899999998</v>
      </c>
    </row>
    <row r="4674" spans="1:7" x14ac:dyDescent="0.3">
      <c r="A4674" t="s">
        <v>13039</v>
      </c>
      <c r="B4674" t="s">
        <v>9378</v>
      </c>
      <c r="C4674" t="s">
        <v>9379</v>
      </c>
      <c r="D4674" s="1" t="s">
        <v>195</v>
      </c>
      <c r="E4674" s="3">
        <v>561.41</v>
      </c>
      <c r="F4674" s="3">
        <f t="shared" si="144"/>
        <v>141.86830700000002</v>
      </c>
      <c r="G4674" s="3">
        <f t="shared" si="145"/>
        <v>703.27830700000004</v>
      </c>
    </row>
    <row r="4675" spans="1:7" x14ac:dyDescent="0.3">
      <c r="A4675" t="s">
        <v>13039</v>
      </c>
      <c r="B4675" t="s">
        <v>9380</v>
      </c>
      <c r="C4675" t="s">
        <v>9381</v>
      </c>
      <c r="D4675" s="1" t="s">
        <v>195</v>
      </c>
      <c r="E4675" s="3">
        <v>591.9</v>
      </c>
      <c r="F4675" s="3">
        <f t="shared" si="144"/>
        <v>149.57313000000002</v>
      </c>
      <c r="G4675" s="3">
        <f t="shared" si="145"/>
        <v>741.47312999999997</v>
      </c>
    </row>
    <row r="4676" spans="1:7" x14ac:dyDescent="0.3">
      <c r="A4676" t="s">
        <v>13039</v>
      </c>
      <c r="B4676" t="s">
        <v>9382</v>
      </c>
      <c r="C4676" t="s">
        <v>9383</v>
      </c>
      <c r="D4676" s="1" t="s">
        <v>195</v>
      </c>
      <c r="E4676" s="3">
        <v>640.45000000000005</v>
      </c>
      <c r="F4676" s="3">
        <f t="shared" si="144"/>
        <v>161.84171500000002</v>
      </c>
      <c r="G4676" s="3">
        <f t="shared" si="145"/>
        <v>802.29171500000007</v>
      </c>
    </row>
    <row r="4677" spans="1:7" x14ac:dyDescent="0.3">
      <c r="A4677" t="s">
        <v>13039</v>
      </c>
      <c r="B4677" t="s">
        <v>9384</v>
      </c>
      <c r="C4677" t="s">
        <v>9385</v>
      </c>
      <c r="D4677" s="1" t="s">
        <v>2904</v>
      </c>
      <c r="E4677" s="3">
        <v>0.53</v>
      </c>
      <c r="F4677" s="3">
        <f t="shared" si="144"/>
        <v>0.13393100000000002</v>
      </c>
      <c r="G4677" s="3">
        <f t="shared" si="145"/>
        <v>0.66393100000000005</v>
      </c>
    </row>
    <row r="4678" spans="1:7" x14ac:dyDescent="0.3">
      <c r="A4678" t="s">
        <v>13039</v>
      </c>
      <c r="B4678" t="s">
        <v>9386</v>
      </c>
      <c r="C4678" t="s">
        <v>9387</v>
      </c>
      <c r="D4678" s="1" t="s">
        <v>2904</v>
      </c>
      <c r="E4678" s="3">
        <v>0.36</v>
      </c>
      <c r="F4678" s="3">
        <f t="shared" si="144"/>
        <v>9.0972000000000011E-2</v>
      </c>
      <c r="G4678" s="3">
        <f t="shared" si="145"/>
        <v>0.45097199999999998</v>
      </c>
    </row>
    <row r="4679" spans="1:7" x14ac:dyDescent="0.3">
      <c r="A4679" t="s">
        <v>13039</v>
      </c>
      <c r="B4679" t="s">
        <v>9388</v>
      </c>
      <c r="C4679" t="s">
        <v>9389</v>
      </c>
      <c r="D4679" s="1" t="s">
        <v>2904</v>
      </c>
      <c r="E4679" s="3">
        <v>0.54</v>
      </c>
      <c r="F4679" s="3">
        <f t="shared" ref="F4679:F4742" si="146">+E4679*$F$4</f>
        <v>0.13645800000000002</v>
      </c>
      <c r="G4679" s="3">
        <f t="shared" ref="G4679:G4742" si="147">+E4679+F4679</f>
        <v>0.676458</v>
      </c>
    </row>
    <row r="4680" spans="1:7" x14ac:dyDescent="0.3">
      <c r="A4680" t="s">
        <v>13039</v>
      </c>
      <c r="B4680" t="s">
        <v>9390</v>
      </c>
      <c r="C4680" t="s">
        <v>9391</v>
      </c>
      <c r="D4680" s="1" t="s">
        <v>195</v>
      </c>
      <c r="E4680" s="3">
        <v>41.3</v>
      </c>
      <c r="F4680" s="3">
        <f t="shared" si="146"/>
        <v>10.43651</v>
      </c>
      <c r="G4680" s="3">
        <f t="shared" si="147"/>
        <v>51.736509999999996</v>
      </c>
    </row>
    <row r="4681" spans="1:7" x14ac:dyDescent="0.3">
      <c r="A4681" t="s">
        <v>13039</v>
      </c>
      <c r="B4681" t="s">
        <v>9392</v>
      </c>
      <c r="C4681" t="s">
        <v>9393</v>
      </c>
      <c r="D4681" s="1" t="s">
        <v>195</v>
      </c>
      <c r="E4681" s="3">
        <v>84.07</v>
      </c>
      <c r="F4681" s="3">
        <f t="shared" si="146"/>
        <v>21.244489000000002</v>
      </c>
      <c r="G4681" s="3">
        <f t="shared" si="147"/>
        <v>105.31448899999999</v>
      </c>
    </row>
    <row r="4682" spans="1:7" x14ac:dyDescent="0.3">
      <c r="A4682" t="s">
        <v>13039</v>
      </c>
      <c r="B4682" t="s">
        <v>9394</v>
      </c>
      <c r="C4682" t="s">
        <v>9395</v>
      </c>
      <c r="D4682" s="1" t="s">
        <v>195</v>
      </c>
      <c r="E4682" s="3">
        <v>34.26</v>
      </c>
      <c r="F4682" s="3">
        <f t="shared" si="146"/>
        <v>8.6575020000000009</v>
      </c>
      <c r="G4682" s="3">
        <f t="shared" si="147"/>
        <v>42.917501999999999</v>
      </c>
    </row>
    <row r="4683" spans="1:7" x14ac:dyDescent="0.3">
      <c r="A4683" t="s">
        <v>13039</v>
      </c>
      <c r="B4683" t="s">
        <v>9396</v>
      </c>
      <c r="C4683" t="s">
        <v>9397</v>
      </c>
      <c r="D4683" s="1" t="s">
        <v>2904</v>
      </c>
      <c r="E4683" s="3">
        <v>273.13</v>
      </c>
      <c r="F4683" s="3">
        <f t="shared" si="146"/>
        <v>69.019951000000006</v>
      </c>
      <c r="G4683" s="3">
        <f t="shared" si="147"/>
        <v>342.14995099999999</v>
      </c>
    </row>
    <row r="4684" spans="1:7" x14ac:dyDescent="0.3">
      <c r="A4684" t="s">
        <v>13039</v>
      </c>
      <c r="B4684" t="s">
        <v>9398</v>
      </c>
      <c r="C4684" t="s">
        <v>9399</v>
      </c>
      <c r="D4684" s="1" t="s">
        <v>2904</v>
      </c>
      <c r="E4684" s="3">
        <v>9.73</v>
      </c>
      <c r="F4684" s="3">
        <f t="shared" si="146"/>
        <v>2.4587710000000005</v>
      </c>
      <c r="G4684" s="3">
        <f t="shared" si="147"/>
        <v>12.188771000000001</v>
      </c>
    </row>
    <row r="4685" spans="1:7" x14ac:dyDescent="0.3">
      <c r="A4685" t="s">
        <v>13039</v>
      </c>
      <c r="B4685" t="s">
        <v>9400</v>
      </c>
      <c r="C4685" t="s">
        <v>9401</v>
      </c>
      <c r="D4685" s="1" t="s">
        <v>427</v>
      </c>
      <c r="E4685" s="3">
        <v>2.75</v>
      </c>
      <c r="F4685" s="3">
        <f t="shared" si="146"/>
        <v>0.69492500000000013</v>
      </c>
      <c r="G4685" s="3">
        <f t="shared" si="147"/>
        <v>3.444925</v>
      </c>
    </row>
    <row r="4686" spans="1:7" x14ac:dyDescent="0.3">
      <c r="A4686" t="s">
        <v>13039</v>
      </c>
      <c r="B4686" t="s">
        <v>9402</v>
      </c>
      <c r="C4686" t="s">
        <v>9403</v>
      </c>
      <c r="D4686" s="1" t="s">
        <v>210</v>
      </c>
      <c r="E4686" s="3">
        <v>12.24</v>
      </c>
      <c r="F4686" s="3">
        <f t="shared" si="146"/>
        <v>3.0930480000000005</v>
      </c>
      <c r="G4686" s="3">
        <f t="shared" si="147"/>
        <v>15.333048000000002</v>
      </c>
    </row>
    <row r="4687" spans="1:7" x14ac:dyDescent="0.3">
      <c r="A4687" t="s">
        <v>13039</v>
      </c>
      <c r="B4687" t="s">
        <v>9404</v>
      </c>
      <c r="C4687" t="s">
        <v>9405</v>
      </c>
      <c r="D4687" s="1" t="s">
        <v>2904</v>
      </c>
      <c r="E4687" s="3">
        <v>6.7</v>
      </c>
      <c r="F4687" s="3">
        <f t="shared" si="146"/>
        <v>1.6930900000000002</v>
      </c>
      <c r="G4687" s="3">
        <f t="shared" si="147"/>
        <v>8.3930900000000008</v>
      </c>
    </row>
    <row r="4688" spans="1:7" x14ac:dyDescent="0.3">
      <c r="A4688" t="s">
        <v>13039</v>
      </c>
      <c r="B4688" t="s">
        <v>9406</v>
      </c>
      <c r="C4688" t="s">
        <v>9407</v>
      </c>
      <c r="D4688" s="1" t="s">
        <v>2904</v>
      </c>
      <c r="E4688" s="3">
        <v>0.38</v>
      </c>
      <c r="F4688" s="3">
        <f t="shared" si="146"/>
        <v>9.6026000000000014E-2</v>
      </c>
      <c r="G4688" s="3">
        <f t="shared" si="147"/>
        <v>0.476026</v>
      </c>
    </row>
    <row r="4689" spans="1:7" x14ac:dyDescent="0.3">
      <c r="A4689" t="s">
        <v>13039</v>
      </c>
      <c r="B4689" t="s">
        <v>9408</v>
      </c>
      <c r="C4689" t="s">
        <v>9409</v>
      </c>
      <c r="D4689" s="1" t="s">
        <v>2904</v>
      </c>
      <c r="E4689" s="3">
        <v>3.06</v>
      </c>
      <c r="F4689" s="3">
        <f t="shared" si="146"/>
        <v>0.77326200000000012</v>
      </c>
      <c r="G4689" s="3">
        <f t="shared" si="147"/>
        <v>3.8332620000000004</v>
      </c>
    </row>
    <row r="4690" spans="1:7" x14ac:dyDescent="0.3">
      <c r="A4690" t="s">
        <v>13039</v>
      </c>
      <c r="B4690" t="s">
        <v>9410</v>
      </c>
      <c r="C4690" t="s">
        <v>9411</v>
      </c>
      <c r="D4690" s="1" t="s">
        <v>195</v>
      </c>
      <c r="E4690" s="3">
        <v>683.12</v>
      </c>
      <c r="F4690" s="3">
        <f t="shared" si="146"/>
        <v>172.62442400000003</v>
      </c>
      <c r="G4690" s="3">
        <f t="shared" si="147"/>
        <v>855.74442399999998</v>
      </c>
    </row>
    <row r="4691" spans="1:7" x14ac:dyDescent="0.3">
      <c r="A4691" t="s">
        <v>13039</v>
      </c>
      <c r="B4691" t="s">
        <v>9412</v>
      </c>
      <c r="C4691" t="s">
        <v>9413</v>
      </c>
      <c r="D4691" s="1" t="s">
        <v>2904</v>
      </c>
      <c r="E4691" s="3">
        <v>18.29</v>
      </c>
      <c r="F4691" s="3">
        <f t="shared" si="146"/>
        <v>4.6218830000000004</v>
      </c>
      <c r="G4691" s="3">
        <f t="shared" si="147"/>
        <v>22.911883</v>
      </c>
    </row>
    <row r="4692" spans="1:7" x14ac:dyDescent="0.3">
      <c r="A4692" t="s">
        <v>13039</v>
      </c>
      <c r="B4692" t="s">
        <v>9414</v>
      </c>
      <c r="C4692" t="s">
        <v>9415</v>
      </c>
      <c r="D4692" s="1" t="s">
        <v>38</v>
      </c>
      <c r="E4692" s="3">
        <v>34.26</v>
      </c>
      <c r="F4692" s="3">
        <f t="shared" si="146"/>
        <v>8.6575020000000009</v>
      </c>
      <c r="G4692" s="3">
        <f t="shared" si="147"/>
        <v>42.917501999999999</v>
      </c>
    </row>
    <row r="4693" spans="1:7" x14ac:dyDescent="0.3">
      <c r="A4693" t="s">
        <v>13039</v>
      </c>
      <c r="B4693" t="s">
        <v>9416</v>
      </c>
      <c r="C4693" t="s">
        <v>9417</v>
      </c>
      <c r="D4693" s="1" t="s">
        <v>38</v>
      </c>
      <c r="E4693" s="3">
        <v>41.3</v>
      </c>
      <c r="F4693" s="3">
        <f t="shared" si="146"/>
        <v>10.43651</v>
      </c>
      <c r="G4693" s="3">
        <f t="shared" si="147"/>
        <v>51.736509999999996</v>
      </c>
    </row>
    <row r="4694" spans="1:7" x14ac:dyDescent="0.3">
      <c r="A4694" t="s">
        <v>13039</v>
      </c>
      <c r="B4694" t="s">
        <v>9418</v>
      </c>
      <c r="C4694" t="s">
        <v>9419</v>
      </c>
      <c r="D4694" s="1" t="s">
        <v>38</v>
      </c>
      <c r="E4694" s="3">
        <v>46.79</v>
      </c>
      <c r="F4694" s="3">
        <f t="shared" si="146"/>
        <v>11.823833000000002</v>
      </c>
      <c r="G4694" s="3">
        <f t="shared" si="147"/>
        <v>58.613833</v>
      </c>
    </row>
    <row r="4695" spans="1:7" x14ac:dyDescent="0.3">
      <c r="A4695" t="s">
        <v>13039</v>
      </c>
      <c r="B4695" t="s">
        <v>9420</v>
      </c>
      <c r="C4695" t="s">
        <v>9421</v>
      </c>
      <c r="D4695" s="1" t="s">
        <v>38</v>
      </c>
      <c r="E4695" s="3">
        <v>97.08</v>
      </c>
      <c r="F4695" s="3">
        <f t="shared" si="146"/>
        <v>24.532116000000002</v>
      </c>
      <c r="G4695" s="3">
        <f t="shared" si="147"/>
        <v>121.612116</v>
      </c>
    </row>
    <row r="4696" spans="1:7" x14ac:dyDescent="0.3">
      <c r="A4696" t="s">
        <v>13039</v>
      </c>
      <c r="B4696" t="s">
        <v>9422</v>
      </c>
      <c r="C4696" t="s">
        <v>9423</v>
      </c>
      <c r="D4696" s="1" t="s">
        <v>38</v>
      </c>
      <c r="E4696" s="3">
        <v>214.47</v>
      </c>
      <c r="F4696" s="3">
        <f t="shared" si="146"/>
        <v>54.196569000000011</v>
      </c>
      <c r="G4696" s="3">
        <f t="shared" si="147"/>
        <v>268.66656899999998</v>
      </c>
    </row>
    <row r="4697" spans="1:7" x14ac:dyDescent="0.3">
      <c r="A4697" t="s">
        <v>13039</v>
      </c>
      <c r="B4697" t="s">
        <v>9424</v>
      </c>
      <c r="C4697" t="s">
        <v>9425</v>
      </c>
      <c r="D4697" s="1" t="s">
        <v>38</v>
      </c>
      <c r="E4697" s="3">
        <v>46.92</v>
      </c>
      <c r="F4697" s="3">
        <f t="shared" si="146"/>
        <v>11.856684000000001</v>
      </c>
      <c r="G4697" s="3">
        <f t="shared" si="147"/>
        <v>58.776684000000003</v>
      </c>
    </row>
    <row r="4698" spans="1:7" x14ac:dyDescent="0.3">
      <c r="A4698" t="s">
        <v>13039</v>
      </c>
      <c r="B4698" t="s">
        <v>9426</v>
      </c>
      <c r="C4698" t="s">
        <v>9427</v>
      </c>
      <c r="D4698" s="1" t="s">
        <v>38</v>
      </c>
      <c r="E4698" s="3">
        <v>77.62</v>
      </c>
      <c r="F4698" s="3">
        <f t="shared" si="146"/>
        <v>19.614574000000005</v>
      </c>
      <c r="G4698" s="3">
        <f t="shared" si="147"/>
        <v>97.234574000000009</v>
      </c>
    </row>
    <row r="4699" spans="1:7" x14ac:dyDescent="0.3">
      <c r="A4699" t="s">
        <v>13039</v>
      </c>
      <c r="B4699" t="s">
        <v>9428</v>
      </c>
      <c r="C4699" t="s">
        <v>9429</v>
      </c>
      <c r="D4699" s="1" t="s">
        <v>38</v>
      </c>
      <c r="E4699" s="3">
        <v>144.25</v>
      </c>
      <c r="F4699" s="3">
        <f t="shared" si="146"/>
        <v>36.451975000000004</v>
      </c>
      <c r="G4699" s="3">
        <f t="shared" si="147"/>
        <v>180.701975</v>
      </c>
    </row>
    <row r="4700" spans="1:7" x14ac:dyDescent="0.3">
      <c r="A4700" t="s">
        <v>13039</v>
      </c>
      <c r="B4700" t="s">
        <v>9430</v>
      </c>
      <c r="C4700" t="s">
        <v>9431</v>
      </c>
      <c r="D4700" s="1" t="s">
        <v>2904</v>
      </c>
      <c r="E4700" s="3">
        <v>70.180000000000007</v>
      </c>
      <c r="F4700" s="3">
        <f t="shared" si="146"/>
        <v>17.734486000000004</v>
      </c>
      <c r="G4700" s="3">
        <f t="shared" si="147"/>
        <v>87.914486000000011</v>
      </c>
    </row>
    <row r="4701" spans="1:7" x14ac:dyDescent="0.3">
      <c r="A4701" t="s">
        <v>13039</v>
      </c>
      <c r="B4701" t="s">
        <v>9432</v>
      </c>
      <c r="C4701" t="s">
        <v>9433</v>
      </c>
      <c r="D4701" s="1" t="s">
        <v>427</v>
      </c>
      <c r="E4701" s="3">
        <v>399.99</v>
      </c>
      <c r="F4701" s="3">
        <f t="shared" si="146"/>
        <v>101.07747300000001</v>
      </c>
      <c r="G4701" s="3">
        <f t="shared" si="147"/>
        <v>501.06747300000001</v>
      </c>
    </row>
    <row r="4702" spans="1:7" x14ac:dyDescent="0.3">
      <c r="A4702" t="s">
        <v>13039</v>
      </c>
      <c r="B4702" t="s">
        <v>9434</v>
      </c>
      <c r="C4702" t="s">
        <v>9435</v>
      </c>
      <c r="D4702" s="1" t="s">
        <v>2904</v>
      </c>
      <c r="E4702" s="3">
        <v>16.62</v>
      </c>
      <c r="F4702" s="3">
        <f t="shared" si="146"/>
        <v>4.1998740000000012</v>
      </c>
      <c r="G4702" s="3">
        <f t="shared" si="147"/>
        <v>20.819874000000002</v>
      </c>
    </row>
    <row r="4703" spans="1:7" x14ac:dyDescent="0.3">
      <c r="A4703" t="s">
        <v>13039</v>
      </c>
      <c r="B4703" t="s">
        <v>9436</v>
      </c>
      <c r="C4703" t="s">
        <v>9437</v>
      </c>
      <c r="D4703" s="1" t="s">
        <v>2904</v>
      </c>
      <c r="E4703" s="3">
        <v>10.4</v>
      </c>
      <c r="F4703" s="3">
        <f t="shared" si="146"/>
        <v>2.6280800000000006</v>
      </c>
      <c r="G4703" s="3">
        <f t="shared" si="147"/>
        <v>13.028080000000001</v>
      </c>
    </row>
    <row r="4704" spans="1:7" x14ac:dyDescent="0.3">
      <c r="A4704" t="s">
        <v>13039</v>
      </c>
      <c r="B4704" t="s">
        <v>9438</v>
      </c>
      <c r="C4704" t="s">
        <v>9439</v>
      </c>
      <c r="D4704" s="1" t="s">
        <v>427</v>
      </c>
      <c r="E4704" s="3">
        <v>4.3499999999999996</v>
      </c>
      <c r="F4704" s="3">
        <f t="shared" si="146"/>
        <v>1.099245</v>
      </c>
      <c r="G4704" s="3">
        <f t="shared" si="147"/>
        <v>5.4492449999999995</v>
      </c>
    </row>
    <row r="4705" spans="1:7" x14ac:dyDescent="0.3">
      <c r="A4705" t="s">
        <v>13039</v>
      </c>
      <c r="B4705" t="s">
        <v>9440</v>
      </c>
      <c r="C4705" t="s">
        <v>9441</v>
      </c>
      <c r="D4705" s="1" t="s">
        <v>2904</v>
      </c>
      <c r="E4705" s="3">
        <v>0.08</v>
      </c>
      <c r="F4705" s="3">
        <f t="shared" si="146"/>
        <v>2.0216000000000005E-2</v>
      </c>
      <c r="G4705" s="3">
        <f t="shared" si="147"/>
        <v>0.100216</v>
      </c>
    </row>
    <row r="4706" spans="1:7" x14ac:dyDescent="0.3">
      <c r="A4706" t="s">
        <v>13039</v>
      </c>
      <c r="B4706" t="s">
        <v>9442</v>
      </c>
      <c r="C4706" t="s">
        <v>9443</v>
      </c>
      <c r="D4706" s="1" t="s">
        <v>2904</v>
      </c>
      <c r="E4706" s="3">
        <v>22.08</v>
      </c>
      <c r="F4706" s="3">
        <f t="shared" si="146"/>
        <v>5.5796160000000006</v>
      </c>
      <c r="G4706" s="3">
        <f t="shared" si="147"/>
        <v>27.659616</v>
      </c>
    </row>
    <row r="4707" spans="1:7" x14ac:dyDescent="0.3">
      <c r="A4707" t="s">
        <v>13039</v>
      </c>
      <c r="B4707" t="s">
        <v>9444</v>
      </c>
      <c r="C4707" t="s">
        <v>9445</v>
      </c>
      <c r="D4707" s="1" t="s">
        <v>195</v>
      </c>
      <c r="E4707" s="3">
        <v>61.63</v>
      </c>
      <c r="F4707" s="3">
        <f t="shared" si="146"/>
        <v>15.573901000000003</v>
      </c>
      <c r="G4707" s="3">
        <f t="shared" si="147"/>
        <v>77.203901000000002</v>
      </c>
    </row>
    <row r="4708" spans="1:7" x14ac:dyDescent="0.3">
      <c r="A4708" t="s">
        <v>13039</v>
      </c>
      <c r="B4708" t="s">
        <v>9446</v>
      </c>
      <c r="C4708" t="s">
        <v>9447</v>
      </c>
      <c r="D4708" s="1" t="s">
        <v>2904</v>
      </c>
      <c r="E4708" s="3">
        <v>7.97</v>
      </c>
      <c r="F4708" s="3">
        <f t="shared" si="146"/>
        <v>2.0140190000000002</v>
      </c>
      <c r="G4708" s="3">
        <f t="shared" si="147"/>
        <v>9.984019</v>
      </c>
    </row>
    <row r="4709" spans="1:7" x14ac:dyDescent="0.3">
      <c r="A4709" t="s">
        <v>13039</v>
      </c>
      <c r="B4709" t="s">
        <v>9448</v>
      </c>
      <c r="C4709" t="s">
        <v>9449</v>
      </c>
      <c r="D4709" s="1" t="s">
        <v>2904</v>
      </c>
      <c r="E4709" s="3">
        <v>4.51</v>
      </c>
      <c r="F4709" s="3">
        <f t="shared" si="146"/>
        <v>1.1396770000000001</v>
      </c>
      <c r="G4709" s="3">
        <f t="shared" si="147"/>
        <v>5.6496769999999996</v>
      </c>
    </row>
    <row r="4710" spans="1:7" x14ac:dyDescent="0.3">
      <c r="A4710" t="s">
        <v>13039</v>
      </c>
      <c r="B4710" t="s">
        <v>9450</v>
      </c>
      <c r="C4710" t="s">
        <v>9451</v>
      </c>
      <c r="D4710" s="1" t="s">
        <v>2904</v>
      </c>
      <c r="E4710" s="3">
        <v>0.55000000000000004</v>
      </c>
      <c r="F4710" s="3">
        <f t="shared" si="146"/>
        <v>0.13898500000000003</v>
      </c>
      <c r="G4710" s="3">
        <f t="shared" si="147"/>
        <v>0.68898500000000007</v>
      </c>
    </row>
    <row r="4711" spans="1:7" x14ac:dyDescent="0.3">
      <c r="A4711" t="s">
        <v>13039</v>
      </c>
      <c r="B4711" t="s">
        <v>9452</v>
      </c>
      <c r="C4711" t="s">
        <v>9453</v>
      </c>
      <c r="D4711" s="1" t="s">
        <v>38</v>
      </c>
      <c r="E4711" s="3">
        <v>868.13</v>
      </c>
      <c r="F4711" s="3">
        <f t="shared" si="146"/>
        <v>219.37645100000003</v>
      </c>
      <c r="G4711" s="3">
        <f t="shared" si="147"/>
        <v>1087.506451</v>
      </c>
    </row>
    <row r="4712" spans="1:7" x14ac:dyDescent="0.3">
      <c r="A4712" t="s">
        <v>13039</v>
      </c>
      <c r="B4712" t="s">
        <v>9454</v>
      </c>
      <c r="C4712" t="s">
        <v>9455</v>
      </c>
      <c r="D4712" s="1" t="s">
        <v>38</v>
      </c>
      <c r="E4712" s="3">
        <v>1168.99</v>
      </c>
      <c r="F4712" s="3">
        <f t="shared" si="146"/>
        <v>295.40377300000006</v>
      </c>
      <c r="G4712" s="3">
        <f t="shared" si="147"/>
        <v>1464.393773</v>
      </c>
    </row>
    <row r="4713" spans="1:7" x14ac:dyDescent="0.3">
      <c r="A4713" t="s">
        <v>13039</v>
      </c>
      <c r="B4713" t="s">
        <v>9456</v>
      </c>
      <c r="C4713" t="s">
        <v>9457</v>
      </c>
      <c r="D4713" s="1" t="s">
        <v>38</v>
      </c>
      <c r="E4713" s="3">
        <v>1041.6199999999999</v>
      </c>
      <c r="F4713" s="3">
        <f t="shared" si="146"/>
        <v>263.21737400000001</v>
      </c>
      <c r="G4713" s="3">
        <f t="shared" si="147"/>
        <v>1304.837374</v>
      </c>
    </row>
    <row r="4714" spans="1:7" x14ac:dyDescent="0.3">
      <c r="A4714" t="s">
        <v>13039</v>
      </c>
      <c r="B4714" t="s">
        <v>9458</v>
      </c>
      <c r="C4714" t="s">
        <v>9459</v>
      </c>
      <c r="D4714" s="1" t="s">
        <v>38</v>
      </c>
      <c r="E4714" s="3">
        <v>1372.36</v>
      </c>
      <c r="F4714" s="3">
        <f t="shared" si="146"/>
        <v>346.79537200000004</v>
      </c>
      <c r="G4714" s="3">
        <f t="shared" si="147"/>
        <v>1719.1553719999999</v>
      </c>
    </row>
    <row r="4715" spans="1:7" x14ac:dyDescent="0.3">
      <c r="A4715" t="s">
        <v>13039</v>
      </c>
      <c r="B4715" t="s">
        <v>9460</v>
      </c>
      <c r="C4715" t="s">
        <v>9461</v>
      </c>
      <c r="D4715" s="1" t="s">
        <v>38</v>
      </c>
      <c r="E4715" s="3">
        <v>1513.42</v>
      </c>
      <c r="F4715" s="3">
        <f t="shared" si="146"/>
        <v>382.44123400000007</v>
      </c>
      <c r="G4715" s="3">
        <f t="shared" si="147"/>
        <v>1895.8612340000002</v>
      </c>
    </row>
    <row r="4716" spans="1:7" x14ac:dyDescent="0.3">
      <c r="A4716" t="s">
        <v>13039</v>
      </c>
      <c r="B4716" t="s">
        <v>9462</v>
      </c>
      <c r="C4716" t="s">
        <v>9463</v>
      </c>
      <c r="D4716" s="1" t="s">
        <v>38</v>
      </c>
      <c r="E4716" s="3">
        <v>1800.16</v>
      </c>
      <c r="F4716" s="3">
        <f t="shared" si="146"/>
        <v>454.90043200000008</v>
      </c>
      <c r="G4716" s="3">
        <f t="shared" si="147"/>
        <v>2255.0604320000002</v>
      </c>
    </row>
    <row r="4717" spans="1:7" x14ac:dyDescent="0.3">
      <c r="A4717" t="s">
        <v>13039</v>
      </c>
      <c r="B4717" t="s">
        <v>9464</v>
      </c>
      <c r="C4717" t="s">
        <v>9465</v>
      </c>
      <c r="D4717" s="1" t="s">
        <v>38</v>
      </c>
      <c r="E4717" s="3">
        <v>1913.74</v>
      </c>
      <c r="F4717" s="3">
        <f t="shared" si="146"/>
        <v>483.60209800000007</v>
      </c>
      <c r="G4717" s="3">
        <f t="shared" si="147"/>
        <v>2397.3420980000001</v>
      </c>
    </row>
    <row r="4718" spans="1:7" x14ac:dyDescent="0.3">
      <c r="A4718" t="s">
        <v>13039</v>
      </c>
      <c r="B4718" t="s">
        <v>9466</v>
      </c>
      <c r="C4718" t="s">
        <v>9467</v>
      </c>
      <c r="D4718" s="1" t="s">
        <v>38</v>
      </c>
      <c r="E4718" s="3">
        <v>2344.3000000000002</v>
      </c>
      <c r="F4718" s="3">
        <f t="shared" si="146"/>
        <v>592.40461000000016</v>
      </c>
      <c r="G4718" s="3">
        <f t="shared" si="147"/>
        <v>2936.7046100000002</v>
      </c>
    </row>
    <row r="4719" spans="1:7" x14ac:dyDescent="0.3">
      <c r="A4719" t="s">
        <v>13039</v>
      </c>
      <c r="B4719" t="s">
        <v>9468</v>
      </c>
      <c r="C4719" t="s">
        <v>9469</v>
      </c>
      <c r="D4719" s="1" t="s">
        <v>38</v>
      </c>
      <c r="E4719" s="3">
        <v>2457.0500000000002</v>
      </c>
      <c r="F4719" s="3">
        <f t="shared" si="146"/>
        <v>620.89653500000009</v>
      </c>
      <c r="G4719" s="3">
        <f t="shared" si="147"/>
        <v>3077.946535</v>
      </c>
    </row>
    <row r="4720" spans="1:7" x14ac:dyDescent="0.3">
      <c r="A4720" t="s">
        <v>13039</v>
      </c>
      <c r="B4720" t="s">
        <v>9470</v>
      </c>
      <c r="C4720" t="s">
        <v>9471</v>
      </c>
      <c r="D4720" s="1" t="s">
        <v>38</v>
      </c>
      <c r="E4720" s="3">
        <v>2979.63</v>
      </c>
      <c r="F4720" s="3">
        <f t="shared" si="146"/>
        <v>752.9525010000001</v>
      </c>
      <c r="G4720" s="3">
        <f t="shared" si="147"/>
        <v>3732.5825010000003</v>
      </c>
    </row>
    <row r="4721" spans="1:7" x14ac:dyDescent="0.3">
      <c r="A4721" t="s">
        <v>13039</v>
      </c>
      <c r="B4721" t="s">
        <v>9472</v>
      </c>
      <c r="C4721" t="s">
        <v>9473</v>
      </c>
      <c r="D4721" s="1" t="s">
        <v>38</v>
      </c>
      <c r="E4721" s="3">
        <v>2932.8</v>
      </c>
      <c r="F4721" s="3">
        <f t="shared" si="146"/>
        <v>741.11856000000012</v>
      </c>
      <c r="G4721" s="3">
        <f t="shared" si="147"/>
        <v>3673.9185600000001</v>
      </c>
    </row>
    <row r="4722" spans="1:7" x14ac:dyDescent="0.3">
      <c r="A4722" t="s">
        <v>13039</v>
      </c>
      <c r="B4722" t="s">
        <v>9474</v>
      </c>
      <c r="C4722" t="s">
        <v>9475</v>
      </c>
      <c r="D4722" s="1" t="s">
        <v>38</v>
      </c>
      <c r="E4722" s="3">
        <v>3903.31</v>
      </c>
      <c r="F4722" s="3">
        <f t="shared" si="146"/>
        <v>986.36643700000013</v>
      </c>
      <c r="G4722" s="3">
        <f t="shared" si="147"/>
        <v>4889.6764370000001</v>
      </c>
    </row>
    <row r="4723" spans="1:7" x14ac:dyDescent="0.3">
      <c r="A4723" t="s">
        <v>13039</v>
      </c>
      <c r="B4723" t="s">
        <v>9476</v>
      </c>
      <c r="C4723" t="s">
        <v>9477</v>
      </c>
      <c r="D4723" s="1" t="s">
        <v>38</v>
      </c>
      <c r="E4723" s="3">
        <v>2996.3</v>
      </c>
      <c r="F4723" s="3">
        <f t="shared" si="146"/>
        <v>757.16501000000017</v>
      </c>
      <c r="G4723" s="3">
        <f t="shared" si="147"/>
        <v>3753.4650100000003</v>
      </c>
    </row>
    <row r="4724" spans="1:7" x14ac:dyDescent="0.3">
      <c r="A4724" t="s">
        <v>13039</v>
      </c>
      <c r="B4724" t="s">
        <v>9478</v>
      </c>
      <c r="C4724" t="s">
        <v>9479</v>
      </c>
      <c r="D4724" s="1" t="s">
        <v>38</v>
      </c>
      <c r="E4724" s="3">
        <v>5128.78</v>
      </c>
      <c r="F4724" s="3">
        <f t="shared" si="146"/>
        <v>1296.0427060000002</v>
      </c>
      <c r="G4724" s="3">
        <f t="shared" si="147"/>
        <v>6424.8227059999999</v>
      </c>
    </row>
    <row r="4725" spans="1:7" x14ac:dyDescent="0.3">
      <c r="A4725" t="s">
        <v>13039</v>
      </c>
      <c r="B4725" t="s">
        <v>9480</v>
      </c>
      <c r="C4725" t="s">
        <v>9481</v>
      </c>
      <c r="D4725" s="1" t="s">
        <v>38</v>
      </c>
      <c r="E4725" s="3">
        <v>423.48</v>
      </c>
      <c r="F4725" s="3">
        <f t="shared" si="146"/>
        <v>107.01339600000001</v>
      </c>
      <c r="G4725" s="3">
        <f t="shared" si="147"/>
        <v>530.49339600000008</v>
      </c>
    </row>
    <row r="4726" spans="1:7" x14ac:dyDescent="0.3">
      <c r="A4726" t="s">
        <v>13039</v>
      </c>
      <c r="B4726" t="s">
        <v>9482</v>
      </c>
      <c r="C4726" t="s">
        <v>9483</v>
      </c>
      <c r="D4726" s="1" t="s">
        <v>38</v>
      </c>
      <c r="E4726" s="3">
        <v>574.44000000000005</v>
      </c>
      <c r="F4726" s="3">
        <f t="shared" si="146"/>
        <v>145.16098800000003</v>
      </c>
      <c r="G4726" s="3">
        <f t="shared" si="147"/>
        <v>719.60098800000014</v>
      </c>
    </row>
    <row r="4727" spans="1:7" x14ac:dyDescent="0.3">
      <c r="A4727" t="s">
        <v>13039</v>
      </c>
      <c r="B4727" t="s">
        <v>9484</v>
      </c>
      <c r="C4727" t="s">
        <v>9485</v>
      </c>
      <c r="D4727" s="1" t="s">
        <v>38</v>
      </c>
      <c r="E4727" s="3">
        <v>529.73</v>
      </c>
      <c r="F4727" s="3">
        <f t="shared" si="146"/>
        <v>133.86277100000004</v>
      </c>
      <c r="G4727" s="3">
        <f t="shared" si="147"/>
        <v>663.59277100000008</v>
      </c>
    </row>
    <row r="4728" spans="1:7" x14ac:dyDescent="0.3">
      <c r="A4728" t="s">
        <v>13039</v>
      </c>
      <c r="B4728" t="s">
        <v>9486</v>
      </c>
      <c r="C4728" t="s">
        <v>9487</v>
      </c>
      <c r="D4728" s="1" t="s">
        <v>38</v>
      </c>
      <c r="E4728" s="3">
        <v>657.92</v>
      </c>
      <c r="F4728" s="3">
        <f t="shared" si="146"/>
        <v>166.25638400000003</v>
      </c>
      <c r="G4728" s="3">
        <f t="shared" si="147"/>
        <v>824.17638399999998</v>
      </c>
    </row>
    <row r="4729" spans="1:7" x14ac:dyDescent="0.3">
      <c r="A4729" t="s">
        <v>13039</v>
      </c>
      <c r="B4729" t="s">
        <v>9488</v>
      </c>
      <c r="C4729" t="s">
        <v>9489</v>
      </c>
      <c r="D4729" s="1" t="s">
        <v>38</v>
      </c>
      <c r="E4729" s="3">
        <v>608.16999999999996</v>
      </c>
      <c r="F4729" s="3">
        <f t="shared" si="146"/>
        <v>153.68455900000001</v>
      </c>
      <c r="G4729" s="3">
        <f t="shared" si="147"/>
        <v>761.85455899999999</v>
      </c>
    </row>
    <row r="4730" spans="1:7" x14ac:dyDescent="0.3">
      <c r="A4730" t="s">
        <v>13039</v>
      </c>
      <c r="B4730" t="s">
        <v>9490</v>
      </c>
      <c r="C4730" t="s">
        <v>9491</v>
      </c>
      <c r="D4730" s="1" t="s">
        <v>38</v>
      </c>
      <c r="E4730" s="3">
        <v>741.94</v>
      </c>
      <c r="F4730" s="3">
        <f t="shared" si="146"/>
        <v>187.48823800000005</v>
      </c>
      <c r="G4730" s="3">
        <f t="shared" si="147"/>
        <v>929.42823800000008</v>
      </c>
    </row>
    <row r="4731" spans="1:7" x14ac:dyDescent="0.3">
      <c r="A4731" t="s">
        <v>13039</v>
      </c>
      <c r="B4731" t="s">
        <v>9492</v>
      </c>
      <c r="C4731" t="s">
        <v>9493</v>
      </c>
      <c r="D4731" s="1" t="s">
        <v>38</v>
      </c>
      <c r="E4731" s="3">
        <v>784.98</v>
      </c>
      <c r="F4731" s="3">
        <f t="shared" si="146"/>
        <v>198.36444600000004</v>
      </c>
      <c r="G4731" s="3">
        <f t="shared" si="147"/>
        <v>983.34444600000006</v>
      </c>
    </row>
    <row r="4732" spans="1:7" x14ac:dyDescent="0.3">
      <c r="A4732" t="s">
        <v>13039</v>
      </c>
      <c r="B4732" t="s">
        <v>9494</v>
      </c>
      <c r="C4732" t="s">
        <v>9495</v>
      </c>
      <c r="D4732" s="1" t="s">
        <v>38</v>
      </c>
      <c r="E4732" s="3">
        <v>915.26</v>
      </c>
      <c r="F4732" s="3">
        <f t="shared" si="146"/>
        <v>231.28620200000003</v>
      </c>
      <c r="G4732" s="3">
        <f t="shared" si="147"/>
        <v>1146.546202</v>
      </c>
    </row>
    <row r="4733" spans="1:7" x14ac:dyDescent="0.3">
      <c r="A4733" t="s">
        <v>13039</v>
      </c>
      <c r="B4733" t="s">
        <v>9496</v>
      </c>
      <c r="C4733" t="s">
        <v>9497</v>
      </c>
      <c r="D4733" s="1" t="s">
        <v>38</v>
      </c>
      <c r="E4733" s="3">
        <v>800.31</v>
      </c>
      <c r="F4733" s="3">
        <f t="shared" si="146"/>
        <v>202.238337</v>
      </c>
      <c r="G4733" s="3">
        <f t="shared" si="147"/>
        <v>1002.5483369999999</v>
      </c>
    </row>
    <row r="4734" spans="1:7" x14ac:dyDescent="0.3">
      <c r="A4734" t="s">
        <v>13039</v>
      </c>
      <c r="B4734" t="s">
        <v>9498</v>
      </c>
      <c r="C4734" t="s">
        <v>9499</v>
      </c>
      <c r="D4734" s="1" t="s">
        <v>38</v>
      </c>
      <c r="E4734" s="3">
        <v>1042.25</v>
      </c>
      <c r="F4734" s="3">
        <f t="shared" si="146"/>
        <v>263.37657500000006</v>
      </c>
      <c r="G4734" s="3">
        <f t="shared" si="147"/>
        <v>1305.626575</v>
      </c>
    </row>
    <row r="4735" spans="1:7" x14ac:dyDescent="0.3">
      <c r="A4735" t="s">
        <v>13039</v>
      </c>
      <c r="B4735" t="s">
        <v>9500</v>
      </c>
      <c r="C4735" t="s">
        <v>9501</v>
      </c>
      <c r="D4735" s="1" t="s">
        <v>38</v>
      </c>
      <c r="E4735" s="3">
        <v>94.27</v>
      </c>
      <c r="F4735" s="3">
        <f t="shared" si="146"/>
        <v>23.822029000000004</v>
      </c>
      <c r="G4735" s="3">
        <f t="shared" si="147"/>
        <v>118.092029</v>
      </c>
    </row>
    <row r="4736" spans="1:7" x14ac:dyDescent="0.3">
      <c r="A4736" t="s">
        <v>13039</v>
      </c>
      <c r="B4736" t="s">
        <v>9502</v>
      </c>
      <c r="C4736" t="s">
        <v>9503</v>
      </c>
      <c r="D4736" s="1" t="s">
        <v>38</v>
      </c>
      <c r="E4736" s="3">
        <v>108.93</v>
      </c>
      <c r="F4736" s="3">
        <f t="shared" si="146"/>
        <v>27.526611000000006</v>
      </c>
      <c r="G4736" s="3">
        <f t="shared" si="147"/>
        <v>136.45661100000001</v>
      </c>
    </row>
    <row r="4737" spans="1:7" x14ac:dyDescent="0.3">
      <c r="A4737" t="s">
        <v>13039</v>
      </c>
      <c r="B4737" t="s">
        <v>9504</v>
      </c>
      <c r="C4737" t="s">
        <v>9505</v>
      </c>
      <c r="D4737" s="1" t="s">
        <v>38</v>
      </c>
      <c r="E4737" s="3">
        <v>81.290000000000006</v>
      </c>
      <c r="F4737" s="3">
        <f t="shared" si="146"/>
        <v>20.541983000000005</v>
      </c>
      <c r="G4737" s="3">
        <f t="shared" si="147"/>
        <v>101.83198300000001</v>
      </c>
    </row>
    <row r="4738" spans="1:7" x14ac:dyDescent="0.3">
      <c r="A4738" t="s">
        <v>13039</v>
      </c>
      <c r="B4738" t="s">
        <v>9506</v>
      </c>
      <c r="C4738" t="s">
        <v>9507</v>
      </c>
      <c r="D4738" s="1" t="s">
        <v>38</v>
      </c>
      <c r="E4738" s="3">
        <v>113.68</v>
      </c>
      <c r="F4738" s="3">
        <f t="shared" si="146"/>
        <v>28.726936000000006</v>
      </c>
      <c r="G4738" s="3">
        <f t="shared" si="147"/>
        <v>142.406936</v>
      </c>
    </row>
    <row r="4739" spans="1:7" x14ac:dyDescent="0.3">
      <c r="A4739" t="s">
        <v>13039</v>
      </c>
      <c r="B4739" t="s">
        <v>9508</v>
      </c>
      <c r="C4739" t="s">
        <v>9509</v>
      </c>
      <c r="D4739" s="1" t="s">
        <v>38</v>
      </c>
      <c r="E4739" s="3">
        <v>184.91</v>
      </c>
      <c r="F4739" s="3">
        <f t="shared" si="146"/>
        <v>46.726757000000006</v>
      </c>
      <c r="G4739" s="3">
        <f t="shared" si="147"/>
        <v>231.63675699999999</v>
      </c>
    </row>
    <row r="4740" spans="1:7" x14ac:dyDescent="0.3">
      <c r="A4740" t="s">
        <v>13039</v>
      </c>
      <c r="B4740" t="s">
        <v>9510</v>
      </c>
      <c r="C4740" t="s">
        <v>9511</v>
      </c>
      <c r="D4740" s="1" t="s">
        <v>38</v>
      </c>
      <c r="E4740" s="3">
        <v>233.05</v>
      </c>
      <c r="F4740" s="3">
        <f t="shared" si="146"/>
        <v>58.891735000000011</v>
      </c>
      <c r="G4740" s="3">
        <f t="shared" si="147"/>
        <v>291.94173499999999</v>
      </c>
    </row>
    <row r="4741" spans="1:7" x14ac:dyDescent="0.3">
      <c r="A4741" t="s">
        <v>13039</v>
      </c>
      <c r="B4741" t="s">
        <v>9512</v>
      </c>
      <c r="C4741" t="s">
        <v>9513</v>
      </c>
      <c r="D4741" s="1" t="s">
        <v>38</v>
      </c>
      <c r="E4741" s="3">
        <v>248.23</v>
      </c>
      <c r="F4741" s="3">
        <f t="shared" si="146"/>
        <v>62.72772100000001</v>
      </c>
      <c r="G4741" s="3">
        <f t="shared" si="147"/>
        <v>310.95772099999999</v>
      </c>
    </row>
    <row r="4742" spans="1:7" x14ac:dyDescent="0.3">
      <c r="A4742" t="s">
        <v>13039</v>
      </c>
      <c r="B4742" t="s">
        <v>9514</v>
      </c>
      <c r="C4742" t="s">
        <v>9515</v>
      </c>
      <c r="D4742" s="1" t="s">
        <v>38</v>
      </c>
      <c r="E4742" s="3">
        <v>290.04000000000002</v>
      </c>
      <c r="F4742" s="3">
        <f t="shared" si="146"/>
        <v>73.293108000000018</v>
      </c>
      <c r="G4742" s="3">
        <f t="shared" si="147"/>
        <v>363.33310800000004</v>
      </c>
    </row>
    <row r="4743" spans="1:7" x14ac:dyDescent="0.3">
      <c r="A4743" t="s">
        <v>13039</v>
      </c>
      <c r="B4743" t="s">
        <v>9516</v>
      </c>
      <c r="C4743" t="s">
        <v>9517</v>
      </c>
      <c r="D4743" s="1" t="s">
        <v>38</v>
      </c>
      <c r="E4743" s="3">
        <v>332.31</v>
      </c>
      <c r="F4743" s="3">
        <f t="shared" ref="F4743:F4806" si="148">+E4743*$F$4</f>
        <v>83.974737000000019</v>
      </c>
      <c r="G4743" s="3">
        <f t="shared" ref="G4743:G4806" si="149">+E4743+F4743</f>
        <v>416.28473700000001</v>
      </c>
    </row>
    <row r="4744" spans="1:7" x14ac:dyDescent="0.3">
      <c r="A4744" t="s">
        <v>13039</v>
      </c>
      <c r="B4744" t="s">
        <v>9518</v>
      </c>
      <c r="C4744" t="s">
        <v>9519</v>
      </c>
      <c r="D4744" s="1" t="s">
        <v>38</v>
      </c>
      <c r="E4744" s="3">
        <v>394.48</v>
      </c>
      <c r="F4744" s="3">
        <f t="shared" si="148"/>
        <v>99.685096000000016</v>
      </c>
      <c r="G4744" s="3">
        <f t="shared" si="149"/>
        <v>494.16509600000006</v>
      </c>
    </row>
    <row r="4745" spans="1:7" x14ac:dyDescent="0.3">
      <c r="A4745" t="s">
        <v>13039</v>
      </c>
      <c r="B4745" t="s">
        <v>9520</v>
      </c>
      <c r="C4745" t="s">
        <v>9521</v>
      </c>
      <c r="D4745" s="1" t="s">
        <v>38</v>
      </c>
      <c r="E4745" s="3">
        <v>138.27000000000001</v>
      </c>
      <c r="F4745" s="3">
        <f t="shared" si="148"/>
        <v>34.940829000000008</v>
      </c>
      <c r="G4745" s="3">
        <f t="shared" si="149"/>
        <v>173.21082900000002</v>
      </c>
    </row>
    <row r="4746" spans="1:7" x14ac:dyDescent="0.3">
      <c r="A4746" t="s">
        <v>13039</v>
      </c>
      <c r="B4746" t="s">
        <v>9522</v>
      </c>
      <c r="C4746" t="s">
        <v>9523</v>
      </c>
      <c r="D4746" s="1" t="s">
        <v>38</v>
      </c>
      <c r="E4746" s="3">
        <v>157.44999999999999</v>
      </c>
      <c r="F4746" s="3">
        <f t="shared" si="148"/>
        <v>39.787615000000002</v>
      </c>
      <c r="G4746" s="3">
        <f t="shared" si="149"/>
        <v>197.23761500000001</v>
      </c>
    </row>
    <row r="4747" spans="1:7" x14ac:dyDescent="0.3">
      <c r="A4747" t="s">
        <v>13039</v>
      </c>
      <c r="B4747" t="s">
        <v>9524</v>
      </c>
      <c r="C4747" t="s">
        <v>9525</v>
      </c>
      <c r="D4747" s="1" t="s">
        <v>38</v>
      </c>
      <c r="E4747" s="3">
        <v>170.1</v>
      </c>
      <c r="F4747" s="3">
        <f t="shared" si="148"/>
        <v>42.984270000000002</v>
      </c>
      <c r="G4747" s="3">
        <f t="shared" si="149"/>
        <v>213.08427</v>
      </c>
    </row>
    <row r="4748" spans="1:7" x14ac:dyDescent="0.3">
      <c r="A4748" t="s">
        <v>13039</v>
      </c>
      <c r="B4748" t="s">
        <v>9526</v>
      </c>
      <c r="C4748" t="s">
        <v>9527</v>
      </c>
      <c r="D4748" s="1" t="s">
        <v>38</v>
      </c>
      <c r="E4748" s="3">
        <v>164.69</v>
      </c>
      <c r="F4748" s="3">
        <f t="shared" si="148"/>
        <v>41.617163000000005</v>
      </c>
      <c r="G4748" s="3">
        <f t="shared" si="149"/>
        <v>206.307163</v>
      </c>
    </row>
    <row r="4749" spans="1:7" x14ac:dyDescent="0.3">
      <c r="A4749" t="s">
        <v>13039</v>
      </c>
      <c r="B4749" t="s">
        <v>9528</v>
      </c>
      <c r="C4749" t="s">
        <v>9529</v>
      </c>
      <c r="D4749" s="1" t="s">
        <v>38</v>
      </c>
      <c r="E4749" s="3">
        <v>214.98</v>
      </c>
      <c r="F4749" s="3">
        <f t="shared" si="148"/>
        <v>54.325446000000007</v>
      </c>
      <c r="G4749" s="3">
        <f t="shared" si="149"/>
        <v>269.30544600000002</v>
      </c>
    </row>
    <row r="4750" spans="1:7" x14ac:dyDescent="0.3">
      <c r="A4750" t="s">
        <v>13039</v>
      </c>
      <c r="B4750" t="s">
        <v>9530</v>
      </c>
      <c r="C4750" t="s">
        <v>9531</v>
      </c>
      <c r="D4750" s="1" t="s">
        <v>38</v>
      </c>
      <c r="E4750" s="3">
        <v>246.25</v>
      </c>
      <c r="F4750" s="3">
        <f t="shared" si="148"/>
        <v>62.227375000000009</v>
      </c>
      <c r="G4750" s="3">
        <f t="shared" si="149"/>
        <v>308.47737499999999</v>
      </c>
    </row>
    <row r="4751" spans="1:7" x14ac:dyDescent="0.3">
      <c r="A4751" t="s">
        <v>13039</v>
      </c>
      <c r="B4751" t="s">
        <v>9532</v>
      </c>
      <c r="C4751" t="s">
        <v>9533</v>
      </c>
      <c r="D4751" s="1" t="s">
        <v>38</v>
      </c>
      <c r="E4751" s="3">
        <v>265.08</v>
      </c>
      <c r="F4751" s="3">
        <f t="shared" si="148"/>
        <v>66.985716000000011</v>
      </c>
      <c r="G4751" s="3">
        <f t="shared" si="149"/>
        <v>332.06571600000001</v>
      </c>
    </row>
    <row r="4752" spans="1:7" x14ac:dyDescent="0.3">
      <c r="A4752" t="s">
        <v>13039</v>
      </c>
      <c r="B4752" t="s">
        <v>9534</v>
      </c>
      <c r="C4752" t="s">
        <v>9535</v>
      </c>
      <c r="D4752" s="1" t="s">
        <v>38</v>
      </c>
      <c r="E4752" s="3">
        <v>258.61</v>
      </c>
      <c r="F4752" s="3">
        <f t="shared" si="148"/>
        <v>65.350747000000013</v>
      </c>
      <c r="G4752" s="3">
        <f t="shared" si="149"/>
        <v>323.96074700000003</v>
      </c>
    </row>
    <row r="4753" spans="1:7" x14ac:dyDescent="0.3">
      <c r="A4753" t="s">
        <v>13039</v>
      </c>
      <c r="B4753" t="s">
        <v>9536</v>
      </c>
      <c r="C4753" t="s">
        <v>9537</v>
      </c>
      <c r="D4753" s="1" t="s">
        <v>38</v>
      </c>
      <c r="E4753" s="3">
        <v>308.56</v>
      </c>
      <c r="F4753" s="3">
        <f t="shared" si="148"/>
        <v>77.973112000000015</v>
      </c>
      <c r="G4753" s="3">
        <f t="shared" si="149"/>
        <v>386.53311200000002</v>
      </c>
    </row>
    <row r="4754" spans="1:7" x14ac:dyDescent="0.3">
      <c r="A4754" t="s">
        <v>13039</v>
      </c>
      <c r="B4754" t="s">
        <v>9538</v>
      </c>
      <c r="C4754" t="s">
        <v>9539</v>
      </c>
      <c r="D4754" s="1" t="s">
        <v>38</v>
      </c>
      <c r="E4754" s="3">
        <v>339.16</v>
      </c>
      <c r="F4754" s="3">
        <f t="shared" si="148"/>
        <v>85.705732000000012</v>
      </c>
      <c r="G4754" s="3">
        <f t="shared" si="149"/>
        <v>424.86573200000004</v>
      </c>
    </row>
    <row r="4755" spans="1:7" x14ac:dyDescent="0.3">
      <c r="A4755" t="s">
        <v>13039</v>
      </c>
      <c r="B4755" t="s">
        <v>9540</v>
      </c>
      <c r="C4755" t="s">
        <v>9541</v>
      </c>
      <c r="D4755" s="1" t="s">
        <v>38</v>
      </c>
      <c r="E4755" s="3">
        <v>387.1</v>
      </c>
      <c r="F4755" s="3">
        <f t="shared" si="148"/>
        <v>97.820170000000019</v>
      </c>
      <c r="G4755" s="3">
        <f t="shared" si="149"/>
        <v>484.92017000000004</v>
      </c>
    </row>
    <row r="4756" spans="1:7" x14ac:dyDescent="0.3">
      <c r="A4756" t="s">
        <v>13039</v>
      </c>
      <c r="B4756" t="s">
        <v>9542</v>
      </c>
      <c r="C4756" t="s">
        <v>9543</v>
      </c>
      <c r="D4756" s="1" t="s">
        <v>38</v>
      </c>
      <c r="E4756" s="3">
        <v>431.84</v>
      </c>
      <c r="F4756" s="3">
        <f t="shared" si="148"/>
        <v>109.12596800000001</v>
      </c>
      <c r="G4756" s="3">
        <f t="shared" si="149"/>
        <v>540.96596799999998</v>
      </c>
    </row>
    <row r="4757" spans="1:7" x14ac:dyDescent="0.3">
      <c r="A4757" t="s">
        <v>13039</v>
      </c>
      <c r="B4757" t="s">
        <v>9544</v>
      </c>
      <c r="C4757" t="s">
        <v>9545</v>
      </c>
      <c r="D4757" s="1" t="s">
        <v>38</v>
      </c>
      <c r="E4757" s="3">
        <v>443.24</v>
      </c>
      <c r="F4757" s="3">
        <f t="shared" si="148"/>
        <v>112.00674800000002</v>
      </c>
      <c r="G4757" s="3">
        <f t="shared" si="149"/>
        <v>555.24674800000003</v>
      </c>
    </row>
    <row r="4758" spans="1:7" x14ac:dyDescent="0.3">
      <c r="A4758" t="s">
        <v>13039</v>
      </c>
      <c r="B4758" t="s">
        <v>9546</v>
      </c>
      <c r="C4758" t="s">
        <v>9547</v>
      </c>
      <c r="D4758" s="1" t="s">
        <v>38</v>
      </c>
      <c r="E4758" s="3">
        <v>504.65</v>
      </c>
      <c r="F4758" s="3">
        <f t="shared" si="148"/>
        <v>127.52505500000001</v>
      </c>
      <c r="G4758" s="3">
        <f t="shared" si="149"/>
        <v>632.17505499999993</v>
      </c>
    </row>
    <row r="4759" spans="1:7" x14ac:dyDescent="0.3">
      <c r="A4759" t="s">
        <v>13039</v>
      </c>
      <c r="B4759" t="s">
        <v>9548</v>
      </c>
      <c r="C4759" t="s">
        <v>9549</v>
      </c>
      <c r="D4759" s="1" t="s">
        <v>38</v>
      </c>
      <c r="E4759" s="3">
        <v>65.599999999999994</v>
      </c>
      <c r="F4759" s="3">
        <f t="shared" si="148"/>
        <v>16.577120000000001</v>
      </c>
      <c r="G4759" s="3">
        <f t="shared" si="149"/>
        <v>82.177120000000002</v>
      </c>
    </row>
    <row r="4760" spans="1:7" x14ac:dyDescent="0.3">
      <c r="A4760" t="s">
        <v>13039</v>
      </c>
      <c r="B4760" t="s">
        <v>9550</v>
      </c>
      <c r="C4760" t="s">
        <v>9551</v>
      </c>
      <c r="D4760" s="1" t="s">
        <v>38</v>
      </c>
      <c r="E4760" s="3">
        <v>66.06</v>
      </c>
      <c r="F4760" s="3">
        <f t="shared" si="148"/>
        <v>16.693362000000004</v>
      </c>
      <c r="G4760" s="3">
        <f t="shared" si="149"/>
        <v>82.75336200000001</v>
      </c>
    </row>
    <row r="4761" spans="1:7" x14ac:dyDescent="0.3">
      <c r="A4761" t="s">
        <v>13039</v>
      </c>
      <c r="B4761" t="s">
        <v>9552</v>
      </c>
      <c r="C4761" t="s">
        <v>9553</v>
      </c>
      <c r="D4761" s="1" t="s">
        <v>38</v>
      </c>
      <c r="E4761" s="3">
        <v>97.68</v>
      </c>
      <c r="F4761" s="3">
        <f t="shared" si="148"/>
        <v>24.683736000000007</v>
      </c>
      <c r="G4761" s="3">
        <f t="shared" si="149"/>
        <v>122.36373600000002</v>
      </c>
    </row>
    <row r="4762" spans="1:7" x14ac:dyDescent="0.3">
      <c r="A4762" t="s">
        <v>13039</v>
      </c>
      <c r="B4762" t="s">
        <v>9554</v>
      </c>
      <c r="C4762" t="s">
        <v>9555</v>
      </c>
      <c r="D4762" s="1" t="s">
        <v>38</v>
      </c>
      <c r="E4762" s="3">
        <v>90.08</v>
      </c>
      <c r="F4762" s="3">
        <f t="shared" si="148"/>
        <v>22.763216000000003</v>
      </c>
      <c r="G4762" s="3">
        <f t="shared" si="149"/>
        <v>112.843216</v>
      </c>
    </row>
    <row r="4763" spans="1:7" x14ac:dyDescent="0.3">
      <c r="A4763" t="s">
        <v>13039</v>
      </c>
      <c r="B4763" t="s">
        <v>9556</v>
      </c>
      <c r="C4763" t="s">
        <v>9557</v>
      </c>
      <c r="D4763" s="1" t="s">
        <v>38</v>
      </c>
      <c r="E4763" s="3">
        <v>110.6</v>
      </c>
      <c r="F4763" s="3">
        <f t="shared" si="148"/>
        <v>27.948620000000002</v>
      </c>
      <c r="G4763" s="3">
        <f t="shared" si="149"/>
        <v>138.54862</v>
      </c>
    </row>
    <row r="4764" spans="1:7" x14ac:dyDescent="0.3">
      <c r="A4764" t="s">
        <v>13039</v>
      </c>
      <c r="B4764" t="s">
        <v>9558</v>
      </c>
      <c r="C4764" t="s">
        <v>9559</v>
      </c>
      <c r="D4764" s="1" t="s">
        <v>38</v>
      </c>
      <c r="E4764" s="3">
        <v>111.6</v>
      </c>
      <c r="F4764" s="3">
        <f t="shared" si="148"/>
        <v>28.201320000000003</v>
      </c>
      <c r="G4764" s="3">
        <f t="shared" si="149"/>
        <v>139.80132</v>
      </c>
    </row>
    <row r="4765" spans="1:7" x14ac:dyDescent="0.3">
      <c r="A4765" t="s">
        <v>13039</v>
      </c>
      <c r="B4765" t="s">
        <v>9560</v>
      </c>
      <c r="C4765" t="s">
        <v>9561</v>
      </c>
      <c r="D4765" s="1" t="s">
        <v>38</v>
      </c>
      <c r="E4765" s="3">
        <v>111.07</v>
      </c>
      <c r="F4765" s="3">
        <f t="shared" si="148"/>
        <v>28.067389000000002</v>
      </c>
      <c r="G4765" s="3">
        <f t="shared" si="149"/>
        <v>139.13738899999998</v>
      </c>
    </row>
    <row r="4766" spans="1:7" x14ac:dyDescent="0.3">
      <c r="A4766" t="s">
        <v>13039</v>
      </c>
      <c r="B4766" t="s">
        <v>9562</v>
      </c>
      <c r="C4766" t="s">
        <v>9563</v>
      </c>
      <c r="D4766" s="1" t="s">
        <v>38</v>
      </c>
      <c r="E4766" s="3">
        <v>112.07</v>
      </c>
      <c r="F4766" s="3">
        <f t="shared" si="148"/>
        <v>28.320089000000003</v>
      </c>
      <c r="G4766" s="3">
        <f t="shared" si="149"/>
        <v>140.39008899999999</v>
      </c>
    </row>
    <row r="4767" spans="1:7" x14ac:dyDescent="0.3">
      <c r="A4767" t="s">
        <v>13039</v>
      </c>
      <c r="B4767" t="s">
        <v>9564</v>
      </c>
      <c r="C4767" t="s">
        <v>9565</v>
      </c>
      <c r="D4767" s="1" t="s">
        <v>38</v>
      </c>
      <c r="E4767" s="3">
        <v>136.63999999999999</v>
      </c>
      <c r="F4767" s="3">
        <f t="shared" si="148"/>
        <v>34.528928000000001</v>
      </c>
      <c r="G4767" s="3">
        <f t="shared" si="149"/>
        <v>171.16892799999999</v>
      </c>
    </row>
    <row r="4768" spans="1:7" x14ac:dyDescent="0.3">
      <c r="A4768" t="s">
        <v>13039</v>
      </c>
      <c r="B4768" t="s">
        <v>9566</v>
      </c>
      <c r="C4768" t="s">
        <v>9567</v>
      </c>
      <c r="D4768" s="1" t="s">
        <v>38</v>
      </c>
      <c r="E4768" s="3">
        <v>138.19999999999999</v>
      </c>
      <c r="F4768" s="3">
        <f t="shared" si="148"/>
        <v>34.923140000000004</v>
      </c>
      <c r="G4768" s="3">
        <f t="shared" si="149"/>
        <v>173.12313999999998</v>
      </c>
    </row>
    <row r="4769" spans="1:7" x14ac:dyDescent="0.3">
      <c r="A4769" t="s">
        <v>13039</v>
      </c>
      <c r="B4769" t="s">
        <v>9568</v>
      </c>
      <c r="C4769" t="s">
        <v>9569</v>
      </c>
      <c r="D4769" s="1" t="s">
        <v>38</v>
      </c>
      <c r="E4769" s="3">
        <v>27.2</v>
      </c>
      <c r="F4769" s="3">
        <f t="shared" si="148"/>
        <v>6.8734400000000004</v>
      </c>
      <c r="G4769" s="3">
        <f t="shared" si="149"/>
        <v>34.073439999999998</v>
      </c>
    </row>
    <row r="4770" spans="1:7" x14ac:dyDescent="0.3">
      <c r="A4770" t="s">
        <v>13039</v>
      </c>
      <c r="B4770" t="s">
        <v>9570</v>
      </c>
      <c r="C4770" t="s">
        <v>9571</v>
      </c>
      <c r="D4770" s="1" t="s">
        <v>38</v>
      </c>
      <c r="E4770" s="3">
        <v>32.78</v>
      </c>
      <c r="F4770" s="3">
        <f t="shared" si="148"/>
        <v>8.2835060000000009</v>
      </c>
      <c r="G4770" s="3">
        <f t="shared" si="149"/>
        <v>41.063506000000004</v>
      </c>
    </row>
    <row r="4771" spans="1:7" x14ac:dyDescent="0.3">
      <c r="A4771" t="s">
        <v>13039</v>
      </c>
      <c r="B4771" t="s">
        <v>9572</v>
      </c>
      <c r="C4771" t="s">
        <v>9573</v>
      </c>
      <c r="D4771" s="1" t="s">
        <v>38</v>
      </c>
      <c r="E4771" s="3">
        <v>75.680000000000007</v>
      </c>
      <c r="F4771" s="3">
        <f t="shared" si="148"/>
        <v>19.124336000000003</v>
      </c>
      <c r="G4771" s="3">
        <f t="shared" si="149"/>
        <v>94.804336000000006</v>
      </c>
    </row>
    <row r="4772" spans="1:7" x14ac:dyDescent="0.3">
      <c r="A4772" t="s">
        <v>13039</v>
      </c>
      <c r="B4772" t="s">
        <v>9574</v>
      </c>
      <c r="C4772" t="s">
        <v>9575</v>
      </c>
      <c r="D4772" s="1" t="s">
        <v>38</v>
      </c>
      <c r="E4772" s="3">
        <v>108.07</v>
      </c>
      <c r="F4772" s="3">
        <f t="shared" si="148"/>
        <v>27.309289000000003</v>
      </c>
      <c r="G4772" s="3">
        <f t="shared" si="149"/>
        <v>135.379289</v>
      </c>
    </row>
    <row r="4773" spans="1:7" x14ac:dyDescent="0.3">
      <c r="A4773" t="s">
        <v>13039</v>
      </c>
      <c r="B4773" t="s">
        <v>9576</v>
      </c>
      <c r="C4773" t="s">
        <v>9577</v>
      </c>
      <c r="D4773" s="1" t="s">
        <v>38</v>
      </c>
      <c r="E4773" s="3">
        <v>32.39</v>
      </c>
      <c r="F4773" s="3">
        <f t="shared" si="148"/>
        <v>8.1849530000000019</v>
      </c>
      <c r="G4773" s="3">
        <f t="shared" si="149"/>
        <v>40.574953000000001</v>
      </c>
    </row>
    <row r="4774" spans="1:7" x14ac:dyDescent="0.3">
      <c r="A4774" t="s">
        <v>13039</v>
      </c>
      <c r="B4774" t="s">
        <v>9578</v>
      </c>
      <c r="C4774" t="s">
        <v>9579</v>
      </c>
      <c r="D4774" s="1" t="s">
        <v>38</v>
      </c>
      <c r="E4774" s="3">
        <v>39.869999999999997</v>
      </c>
      <c r="F4774" s="3">
        <f t="shared" si="148"/>
        <v>10.075149000000001</v>
      </c>
      <c r="G4774" s="3">
        <f t="shared" si="149"/>
        <v>49.945149000000001</v>
      </c>
    </row>
    <row r="4775" spans="1:7" x14ac:dyDescent="0.3">
      <c r="A4775" t="s">
        <v>13039</v>
      </c>
      <c r="B4775" t="s">
        <v>9580</v>
      </c>
      <c r="C4775" t="s">
        <v>9581</v>
      </c>
      <c r="D4775" s="1" t="s">
        <v>38</v>
      </c>
      <c r="E4775" s="3">
        <v>52.21</v>
      </c>
      <c r="F4775" s="3">
        <f t="shared" si="148"/>
        <v>13.193467000000002</v>
      </c>
      <c r="G4775" s="3">
        <f t="shared" si="149"/>
        <v>65.403467000000006</v>
      </c>
    </row>
    <row r="4776" spans="1:7" x14ac:dyDescent="0.3">
      <c r="A4776" t="s">
        <v>13039</v>
      </c>
      <c r="B4776" t="s">
        <v>9582</v>
      </c>
      <c r="C4776" t="s">
        <v>9583</v>
      </c>
      <c r="D4776" s="1" t="s">
        <v>38</v>
      </c>
      <c r="E4776" s="3">
        <v>61.41</v>
      </c>
      <c r="F4776" s="3">
        <f t="shared" si="148"/>
        <v>15.518307000000002</v>
      </c>
      <c r="G4776" s="3">
        <f t="shared" si="149"/>
        <v>76.928307000000004</v>
      </c>
    </row>
    <row r="4777" spans="1:7" x14ac:dyDescent="0.3">
      <c r="A4777" t="s">
        <v>13039</v>
      </c>
      <c r="B4777" t="s">
        <v>9584</v>
      </c>
      <c r="C4777" t="s">
        <v>9585</v>
      </c>
      <c r="D4777" s="1" t="s">
        <v>38</v>
      </c>
      <c r="E4777" s="3">
        <v>57.85</v>
      </c>
      <c r="F4777" s="3">
        <f t="shared" si="148"/>
        <v>14.618695000000002</v>
      </c>
      <c r="G4777" s="3">
        <f t="shared" si="149"/>
        <v>72.468694999999997</v>
      </c>
    </row>
    <row r="4778" spans="1:7" x14ac:dyDescent="0.3">
      <c r="A4778" t="s">
        <v>13039</v>
      </c>
      <c r="B4778" t="s">
        <v>9586</v>
      </c>
      <c r="C4778" t="s">
        <v>9587</v>
      </c>
      <c r="D4778" s="1" t="s">
        <v>38</v>
      </c>
      <c r="E4778" s="3">
        <v>66.069999999999993</v>
      </c>
      <c r="F4778" s="3">
        <f t="shared" si="148"/>
        <v>16.695889000000001</v>
      </c>
      <c r="G4778" s="3">
        <f t="shared" si="149"/>
        <v>82.765888999999987</v>
      </c>
    </row>
    <row r="4779" spans="1:7" x14ac:dyDescent="0.3">
      <c r="A4779" t="s">
        <v>13039</v>
      </c>
      <c r="B4779" t="s">
        <v>9588</v>
      </c>
      <c r="C4779" t="s">
        <v>9589</v>
      </c>
      <c r="D4779" s="1" t="s">
        <v>195</v>
      </c>
      <c r="E4779" s="3">
        <v>22.63</v>
      </c>
      <c r="F4779" s="3">
        <f t="shared" si="148"/>
        <v>5.7186010000000005</v>
      </c>
      <c r="G4779" s="3">
        <f t="shared" si="149"/>
        <v>28.348600999999999</v>
      </c>
    </row>
    <row r="4780" spans="1:7" x14ac:dyDescent="0.3">
      <c r="A4780" t="s">
        <v>13039</v>
      </c>
      <c r="B4780" t="s">
        <v>9590</v>
      </c>
      <c r="C4780" t="s">
        <v>9591</v>
      </c>
      <c r="D4780" s="1" t="s">
        <v>195</v>
      </c>
      <c r="E4780" s="3">
        <v>22.51</v>
      </c>
      <c r="F4780" s="3">
        <f t="shared" si="148"/>
        <v>5.6882770000000011</v>
      </c>
      <c r="G4780" s="3">
        <f t="shared" si="149"/>
        <v>28.198277000000004</v>
      </c>
    </row>
    <row r="4781" spans="1:7" x14ac:dyDescent="0.3">
      <c r="A4781" t="s">
        <v>13039</v>
      </c>
      <c r="B4781" t="s">
        <v>9592</v>
      </c>
      <c r="C4781" t="s">
        <v>9593</v>
      </c>
      <c r="D4781" s="1" t="s">
        <v>195</v>
      </c>
      <c r="E4781" s="3">
        <v>26.06</v>
      </c>
      <c r="F4781" s="3">
        <f t="shared" si="148"/>
        <v>6.5853620000000008</v>
      </c>
      <c r="G4781" s="3">
        <f t="shared" si="149"/>
        <v>32.645361999999999</v>
      </c>
    </row>
    <row r="4782" spans="1:7" x14ac:dyDescent="0.3">
      <c r="A4782" t="s">
        <v>13039</v>
      </c>
      <c r="B4782" t="s">
        <v>9594</v>
      </c>
      <c r="C4782" t="s">
        <v>9595</v>
      </c>
      <c r="D4782" s="1" t="s">
        <v>195</v>
      </c>
      <c r="E4782" s="3">
        <v>26.8</v>
      </c>
      <c r="F4782" s="3">
        <f t="shared" si="148"/>
        <v>6.7723600000000008</v>
      </c>
      <c r="G4782" s="3">
        <f t="shared" si="149"/>
        <v>33.572360000000003</v>
      </c>
    </row>
    <row r="4783" spans="1:7" x14ac:dyDescent="0.3">
      <c r="A4783" t="s">
        <v>13039</v>
      </c>
      <c r="B4783" t="s">
        <v>9596</v>
      </c>
      <c r="C4783" t="s">
        <v>9597</v>
      </c>
      <c r="D4783" s="1" t="s">
        <v>195</v>
      </c>
      <c r="E4783" s="3">
        <v>23.06</v>
      </c>
      <c r="F4783" s="3">
        <f t="shared" si="148"/>
        <v>5.8272620000000002</v>
      </c>
      <c r="G4783" s="3">
        <f t="shared" si="149"/>
        <v>28.887262</v>
      </c>
    </row>
    <row r="4784" spans="1:7" x14ac:dyDescent="0.3">
      <c r="A4784" t="s">
        <v>13039</v>
      </c>
      <c r="B4784" t="s">
        <v>9598</v>
      </c>
      <c r="C4784" t="s">
        <v>9599</v>
      </c>
      <c r="D4784" s="1" t="s">
        <v>195</v>
      </c>
      <c r="E4784" s="3">
        <v>22.88</v>
      </c>
      <c r="F4784" s="3">
        <f t="shared" si="148"/>
        <v>5.7817760000000007</v>
      </c>
      <c r="G4784" s="3">
        <f t="shared" si="149"/>
        <v>28.661776</v>
      </c>
    </row>
    <row r="4785" spans="1:7" x14ac:dyDescent="0.3">
      <c r="A4785" t="s">
        <v>13039</v>
      </c>
      <c r="B4785" t="s">
        <v>9600</v>
      </c>
      <c r="C4785" t="s">
        <v>9601</v>
      </c>
      <c r="D4785" s="1" t="s">
        <v>195</v>
      </c>
      <c r="E4785" s="3">
        <v>28.01</v>
      </c>
      <c r="F4785" s="3">
        <f t="shared" si="148"/>
        <v>7.0781270000000012</v>
      </c>
      <c r="G4785" s="3">
        <f t="shared" si="149"/>
        <v>35.088127</v>
      </c>
    </row>
    <row r="4786" spans="1:7" x14ac:dyDescent="0.3">
      <c r="A4786" t="s">
        <v>13039</v>
      </c>
      <c r="B4786" t="s">
        <v>9602</v>
      </c>
      <c r="C4786" t="s">
        <v>9603</v>
      </c>
      <c r="D4786" s="1" t="s">
        <v>195</v>
      </c>
      <c r="E4786" s="3">
        <v>29.99</v>
      </c>
      <c r="F4786" s="3">
        <f t="shared" si="148"/>
        <v>7.5784730000000007</v>
      </c>
      <c r="G4786" s="3">
        <f t="shared" si="149"/>
        <v>37.568472999999997</v>
      </c>
    </row>
    <row r="4787" spans="1:7" x14ac:dyDescent="0.3">
      <c r="A4787" t="s">
        <v>13039</v>
      </c>
      <c r="B4787" t="s">
        <v>9604</v>
      </c>
      <c r="C4787" t="s">
        <v>9605</v>
      </c>
      <c r="D4787" s="1" t="s">
        <v>195</v>
      </c>
      <c r="E4787" s="3">
        <v>53.76</v>
      </c>
      <c r="F4787" s="3">
        <f t="shared" si="148"/>
        <v>13.585152000000001</v>
      </c>
      <c r="G4787" s="3">
        <f t="shared" si="149"/>
        <v>67.345151999999999</v>
      </c>
    </row>
    <row r="4788" spans="1:7" x14ac:dyDescent="0.3">
      <c r="A4788" t="s">
        <v>13039</v>
      </c>
      <c r="B4788" t="s">
        <v>9606</v>
      </c>
      <c r="C4788" t="s">
        <v>9607</v>
      </c>
      <c r="D4788" s="1" t="s">
        <v>195</v>
      </c>
      <c r="E4788" s="3">
        <v>53.58</v>
      </c>
      <c r="F4788" s="3">
        <f t="shared" si="148"/>
        <v>13.539666000000002</v>
      </c>
      <c r="G4788" s="3">
        <f t="shared" si="149"/>
        <v>67.119665999999995</v>
      </c>
    </row>
    <row r="4789" spans="1:7" x14ac:dyDescent="0.3">
      <c r="A4789" t="s">
        <v>13039</v>
      </c>
      <c r="B4789" t="s">
        <v>9608</v>
      </c>
      <c r="C4789" t="s">
        <v>9609</v>
      </c>
      <c r="D4789" s="1" t="s">
        <v>195</v>
      </c>
      <c r="E4789" s="3">
        <v>53.22</v>
      </c>
      <c r="F4789" s="3">
        <f t="shared" si="148"/>
        <v>13.448694000000001</v>
      </c>
      <c r="G4789" s="3">
        <f t="shared" si="149"/>
        <v>66.668694000000002</v>
      </c>
    </row>
    <row r="4790" spans="1:7" x14ac:dyDescent="0.3">
      <c r="A4790" t="s">
        <v>13039</v>
      </c>
      <c r="B4790" t="s">
        <v>9610</v>
      </c>
      <c r="C4790" t="s">
        <v>9611</v>
      </c>
      <c r="D4790" s="1" t="s">
        <v>195</v>
      </c>
      <c r="E4790" s="3">
        <v>53.04</v>
      </c>
      <c r="F4790" s="3">
        <f t="shared" si="148"/>
        <v>13.403208000000001</v>
      </c>
      <c r="G4790" s="3">
        <f t="shared" si="149"/>
        <v>66.443207999999998</v>
      </c>
    </row>
    <row r="4791" spans="1:7" x14ac:dyDescent="0.3">
      <c r="A4791" t="s">
        <v>13039</v>
      </c>
      <c r="B4791" t="s">
        <v>9612</v>
      </c>
      <c r="C4791" t="s">
        <v>9613</v>
      </c>
      <c r="D4791" s="1" t="s">
        <v>195</v>
      </c>
      <c r="E4791" s="3">
        <v>53.77</v>
      </c>
      <c r="F4791" s="3">
        <f t="shared" si="148"/>
        <v>13.587679000000003</v>
      </c>
      <c r="G4791" s="3">
        <f t="shared" si="149"/>
        <v>67.357679000000005</v>
      </c>
    </row>
    <row r="4792" spans="1:7" x14ac:dyDescent="0.3">
      <c r="A4792" t="s">
        <v>13039</v>
      </c>
      <c r="B4792" t="s">
        <v>9614</v>
      </c>
      <c r="C4792" t="s">
        <v>9615</v>
      </c>
      <c r="D4792" s="1" t="s">
        <v>195</v>
      </c>
      <c r="E4792" s="3">
        <v>53.65</v>
      </c>
      <c r="F4792" s="3">
        <f t="shared" si="148"/>
        <v>13.557355000000001</v>
      </c>
      <c r="G4792" s="3">
        <f t="shared" si="149"/>
        <v>67.207355000000007</v>
      </c>
    </row>
    <row r="4793" spans="1:7" x14ac:dyDescent="0.3">
      <c r="A4793" t="s">
        <v>13039</v>
      </c>
      <c r="B4793" t="s">
        <v>9616</v>
      </c>
      <c r="C4793" t="s">
        <v>9617</v>
      </c>
      <c r="D4793" s="1" t="s">
        <v>195</v>
      </c>
      <c r="E4793" s="3">
        <v>58.61</v>
      </c>
      <c r="F4793" s="3">
        <f t="shared" si="148"/>
        <v>14.810747000000003</v>
      </c>
      <c r="G4793" s="3">
        <f t="shared" si="149"/>
        <v>73.420747000000006</v>
      </c>
    </row>
    <row r="4794" spans="1:7" x14ac:dyDescent="0.3">
      <c r="A4794" t="s">
        <v>13039</v>
      </c>
      <c r="B4794" t="s">
        <v>9618</v>
      </c>
      <c r="C4794" t="s">
        <v>9619</v>
      </c>
      <c r="D4794" s="1" t="s">
        <v>195</v>
      </c>
      <c r="E4794" s="3">
        <v>58.82</v>
      </c>
      <c r="F4794" s="3">
        <f t="shared" si="148"/>
        <v>14.863814000000001</v>
      </c>
      <c r="G4794" s="3">
        <f t="shared" si="149"/>
        <v>73.683813999999998</v>
      </c>
    </row>
    <row r="4795" spans="1:7" x14ac:dyDescent="0.3">
      <c r="A4795" t="s">
        <v>13039</v>
      </c>
      <c r="B4795" t="s">
        <v>9620</v>
      </c>
      <c r="C4795" t="s">
        <v>9621</v>
      </c>
      <c r="D4795" s="1" t="s">
        <v>195</v>
      </c>
      <c r="E4795" s="3">
        <v>62.54</v>
      </c>
      <c r="F4795" s="3">
        <f t="shared" si="148"/>
        <v>15.803858000000002</v>
      </c>
      <c r="G4795" s="3">
        <f t="shared" si="149"/>
        <v>78.343857999999997</v>
      </c>
    </row>
    <row r="4796" spans="1:7" x14ac:dyDescent="0.3">
      <c r="A4796" t="s">
        <v>13039</v>
      </c>
      <c r="B4796" t="s">
        <v>9622</v>
      </c>
      <c r="C4796" t="s">
        <v>9623</v>
      </c>
      <c r="D4796" s="1" t="s">
        <v>195</v>
      </c>
      <c r="E4796" s="3">
        <v>62.36</v>
      </c>
      <c r="F4796" s="3">
        <f t="shared" si="148"/>
        <v>15.758372000000001</v>
      </c>
      <c r="G4796" s="3">
        <f t="shared" si="149"/>
        <v>78.118371999999994</v>
      </c>
    </row>
    <row r="4797" spans="1:7" x14ac:dyDescent="0.3">
      <c r="A4797" t="s">
        <v>13039</v>
      </c>
      <c r="B4797" t="s">
        <v>9624</v>
      </c>
      <c r="C4797" t="s">
        <v>9625</v>
      </c>
      <c r="D4797" s="1" t="s">
        <v>195</v>
      </c>
      <c r="E4797" s="3">
        <v>65.52</v>
      </c>
      <c r="F4797" s="3">
        <f t="shared" si="148"/>
        <v>16.556904000000003</v>
      </c>
      <c r="G4797" s="3">
        <f t="shared" si="149"/>
        <v>82.076903999999999</v>
      </c>
    </row>
    <row r="4798" spans="1:7" x14ac:dyDescent="0.3">
      <c r="A4798" t="s">
        <v>13039</v>
      </c>
      <c r="B4798" t="s">
        <v>9626</v>
      </c>
      <c r="C4798" t="s">
        <v>9627</v>
      </c>
      <c r="D4798" s="1" t="s">
        <v>195</v>
      </c>
      <c r="E4798" s="3">
        <v>22.53</v>
      </c>
      <c r="F4798" s="3">
        <f t="shared" si="148"/>
        <v>5.6933310000000015</v>
      </c>
      <c r="G4798" s="3">
        <f t="shared" si="149"/>
        <v>28.223331000000002</v>
      </c>
    </row>
    <row r="4799" spans="1:7" x14ac:dyDescent="0.3">
      <c r="A4799" t="s">
        <v>13039</v>
      </c>
      <c r="B4799" t="s">
        <v>9628</v>
      </c>
      <c r="C4799" t="s">
        <v>9629</v>
      </c>
      <c r="D4799" s="1" t="s">
        <v>195</v>
      </c>
      <c r="E4799" s="3">
        <v>23.66</v>
      </c>
      <c r="F4799" s="3">
        <f t="shared" si="148"/>
        <v>5.9788820000000005</v>
      </c>
      <c r="G4799" s="3">
        <f t="shared" si="149"/>
        <v>29.638882000000002</v>
      </c>
    </row>
    <row r="4800" spans="1:7" x14ac:dyDescent="0.3">
      <c r="A4800" t="s">
        <v>13039</v>
      </c>
      <c r="B4800" t="s">
        <v>9630</v>
      </c>
      <c r="C4800" t="s">
        <v>9631</v>
      </c>
      <c r="D4800" s="1" t="s">
        <v>195</v>
      </c>
      <c r="E4800" s="3">
        <v>23.64</v>
      </c>
      <c r="F4800" s="3">
        <f t="shared" si="148"/>
        <v>5.973828000000001</v>
      </c>
      <c r="G4800" s="3">
        <f t="shared" si="149"/>
        <v>29.613828000000002</v>
      </c>
    </row>
    <row r="4801" spans="1:7" x14ac:dyDescent="0.3">
      <c r="A4801" t="s">
        <v>13039</v>
      </c>
      <c r="B4801" t="s">
        <v>9632</v>
      </c>
      <c r="C4801" t="s">
        <v>9633</v>
      </c>
      <c r="D4801" s="1" t="s">
        <v>195</v>
      </c>
      <c r="E4801" s="3">
        <v>25.38</v>
      </c>
      <c r="F4801" s="3">
        <f t="shared" si="148"/>
        <v>6.4135260000000009</v>
      </c>
      <c r="G4801" s="3">
        <f t="shared" si="149"/>
        <v>31.793526</v>
      </c>
    </row>
    <row r="4802" spans="1:7" x14ac:dyDescent="0.3">
      <c r="A4802" t="s">
        <v>13039</v>
      </c>
      <c r="B4802" t="s">
        <v>9634</v>
      </c>
      <c r="C4802" t="s">
        <v>9635</v>
      </c>
      <c r="D4802" s="1" t="s">
        <v>195</v>
      </c>
      <c r="E4802" s="3">
        <v>25.42</v>
      </c>
      <c r="F4802" s="3">
        <f t="shared" si="148"/>
        <v>6.4236340000000016</v>
      </c>
      <c r="G4802" s="3">
        <f t="shared" si="149"/>
        <v>31.843634000000002</v>
      </c>
    </row>
    <row r="4803" spans="1:7" x14ac:dyDescent="0.3">
      <c r="A4803" t="s">
        <v>13039</v>
      </c>
      <c r="B4803" t="s">
        <v>9636</v>
      </c>
      <c r="C4803" t="s">
        <v>9637</v>
      </c>
      <c r="D4803" s="1" t="s">
        <v>195</v>
      </c>
      <c r="E4803" s="3">
        <v>27.32</v>
      </c>
      <c r="F4803" s="3">
        <f t="shared" si="148"/>
        <v>6.9037640000000007</v>
      </c>
      <c r="G4803" s="3">
        <f t="shared" si="149"/>
        <v>34.223764000000003</v>
      </c>
    </row>
    <row r="4804" spans="1:7" x14ac:dyDescent="0.3">
      <c r="A4804" t="s">
        <v>13039</v>
      </c>
      <c r="B4804" t="s">
        <v>9638</v>
      </c>
      <c r="C4804" t="s">
        <v>9639</v>
      </c>
      <c r="D4804" s="1" t="s">
        <v>195</v>
      </c>
      <c r="E4804" s="3">
        <v>27.42</v>
      </c>
      <c r="F4804" s="3">
        <f t="shared" si="148"/>
        <v>6.9290340000000015</v>
      </c>
      <c r="G4804" s="3">
        <f t="shared" si="149"/>
        <v>34.349034000000003</v>
      </c>
    </row>
    <row r="4805" spans="1:7" x14ac:dyDescent="0.3">
      <c r="A4805" t="s">
        <v>13039</v>
      </c>
      <c r="B4805" t="s">
        <v>9640</v>
      </c>
      <c r="C4805" t="s">
        <v>9641</v>
      </c>
      <c r="D4805" s="1" t="s">
        <v>195</v>
      </c>
      <c r="E4805" s="3">
        <v>29.1</v>
      </c>
      <c r="F4805" s="3">
        <f t="shared" si="148"/>
        <v>7.3535700000000013</v>
      </c>
      <c r="G4805" s="3">
        <f t="shared" si="149"/>
        <v>36.453569999999999</v>
      </c>
    </row>
    <row r="4806" spans="1:7" x14ac:dyDescent="0.3">
      <c r="A4806" t="s">
        <v>13039</v>
      </c>
      <c r="B4806" t="s">
        <v>9642</v>
      </c>
      <c r="C4806" t="s">
        <v>9643</v>
      </c>
      <c r="D4806" s="1" t="s">
        <v>195</v>
      </c>
      <c r="E4806" s="3">
        <v>29.24</v>
      </c>
      <c r="F4806" s="3">
        <f t="shared" si="148"/>
        <v>7.388948000000001</v>
      </c>
      <c r="G4806" s="3">
        <f t="shared" si="149"/>
        <v>36.628948000000001</v>
      </c>
    </row>
    <row r="4807" spans="1:7" x14ac:dyDescent="0.3">
      <c r="A4807" t="s">
        <v>13039</v>
      </c>
      <c r="B4807" t="s">
        <v>9644</v>
      </c>
      <c r="C4807" t="s">
        <v>9645</v>
      </c>
      <c r="D4807" s="1" t="s">
        <v>195</v>
      </c>
      <c r="E4807" s="3">
        <v>33.659999999999997</v>
      </c>
      <c r="F4807" s="3">
        <f t="shared" ref="F4807:F4870" si="150">+E4807*$F$4</f>
        <v>8.5058819999999997</v>
      </c>
      <c r="G4807" s="3">
        <f t="shared" ref="G4807:G4870" si="151">+E4807+F4807</f>
        <v>42.165881999999996</v>
      </c>
    </row>
    <row r="4808" spans="1:7" x14ac:dyDescent="0.3">
      <c r="A4808" t="s">
        <v>13039</v>
      </c>
      <c r="B4808" t="s">
        <v>9646</v>
      </c>
      <c r="C4808" t="s">
        <v>9647</v>
      </c>
      <c r="D4808" s="1" t="s">
        <v>195</v>
      </c>
      <c r="E4808" s="3">
        <v>31.23</v>
      </c>
      <c r="F4808" s="3">
        <f t="shared" si="150"/>
        <v>7.8918210000000011</v>
      </c>
      <c r="G4808" s="3">
        <f t="shared" si="151"/>
        <v>39.121821000000004</v>
      </c>
    </row>
    <row r="4809" spans="1:7" x14ac:dyDescent="0.3">
      <c r="A4809" t="s">
        <v>13039</v>
      </c>
      <c r="B4809" t="s">
        <v>9648</v>
      </c>
      <c r="C4809" t="s">
        <v>9649</v>
      </c>
      <c r="D4809" s="1" t="s">
        <v>195</v>
      </c>
      <c r="E4809" s="3">
        <v>34.270000000000003</v>
      </c>
      <c r="F4809" s="3">
        <f t="shared" si="150"/>
        <v>8.6600290000000015</v>
      </c>
      <c r="G4809" s="3">
        <f t="shared" si="151"/>
        <v>42.930029000000005</v>
      </c>
    </row>
    <row r="4810" spans="1:7" x14ac:dyDescent="0.3">
      <c r="A4810" t="s">
        <v>13039</v>
      </c>
      <c r="B4810" t="s">
        <v>9650</v>
      </c>
      <c r="C4810" t="s">
        <v>9651</v>
      </c>
      <c r="D4810" s="1" t="s">
        <v>195</v>
      </c>
      <c r="E4810" s="3">
        <v>34.22</v>
      </c>
      <c r="F4810" s="3">
        <f t="shared" si="150"/>
        <v>8.6473940000000002</v>
      </c>
      <c r="G4810" s="3">
        <f t="shared" si="151"/>
        <v>42.867393999999997</v>
      </c>
    </row>
    <row r="4811" spans="1:7" x14ac:dyDescent="0.3">
      <c r="A4811" t="s">
        <v>13039</v>
      </c>
      <c r="B4811" t="s">
        <v>9652</v>
      </c>
      <c r="C4811" t="s">
        <v>9653</v>
      </c>
      <c r="D4811" s="1" t="s">
        <v>195</v>
      </c>
      <c r="E4811" s="3">
        <v>35.94</v>
      </c>
      <c r="F4811" s="3">
        <f t="shared" si="150"/>
        <v>9.0820380000000007</v>
      </c>
      <c r="G4811" s="3">
        <f t="shared" si="151"/>
        <v>45.022037999999995</v>
      </c>
    </row>
    <row r="4812" spans="1:7" x14ac:dyDescent="0.3">
      <c r="A4812" t="s">
        <v>13039</v>
      </c>
      <c r="B4812" t="s">
        <v>9654</v>
      </c>
      <c r="C4812" t="s">
        <v>9655</v>
      </c>
      <c r="D4812" s="1" t="s">
        <v>195</v>
      </c>
      <c r="E4812" s="3">
        <v>35.82</v>
      </c>
      <c r="F4812" s="3">
        <f t="shared" si="150"/>
        <v>9.0517140000000005</v>
      </c>
      <c r="G4812" s="3">
        <f t="shared" si="151"/>
        <v>44.871713999999997</v>
      </c>
    </row>
    <row r="4813" spans="1:7" x14ac:dyDescent="0.3">
      <c r="A4813" t="s">
        <v>13039</v>
      </c>
      <c r="B4813" t="s">
        <v>9656</v>
      </c>
      <c r="C4813" t="s">
        <v>9657</v>
      </c>
      <c r="D4813" s="1" t="s">
        <v>195</v>
      </c>
      <c r="E4813" s="3">
        <v>35.69</v>
      </c>
      <c r="F4813" s="3">
        <f t="shared" si="150"/>
        <v>9.0188630000000014</v>
      </c>
      <c r="G4813" s="3">
        <f t="shared" si="151"/>
        <v>44.708863000000001</v>
      </c>
    </row>
    <row r="4814" spans="1:7" x14ac:dyDescent="0.3">
      <c r="A4814" t="s">
        <v>13039</v>
      </c>
      <c r="B4814" t="s">
        <v>9658</v>
      </c>
      <c r="C4814" t="s">
        <v>9659</v>
      </c>
      <c r="D4814" s="1" t="s">
        <v>195</v>
      </c>
      <c r="E4814" s="3">
        <v>35.94</v>
      </c>
      <c r="F4814" s="3">
        <f t="shared" si="150"/>
        <v>9.0820380000000007</v>
      </c>
      <c r="G4814" s="3">
        <f t="shared" si="151"/>
        <v>45.022037999999995</v>
      </c>
    </row>
    <row r="4815" spans="1:7" x14ac:dyDescent="0.3">
      <c r="A4815" t="s">
        <v>13039</v>
      </c>
      <c r="B4815" t="s">
        <v>9660</v>
      </c>
      <c r="C4815" t="s">
        <v>9661</v>
      </c>
      <c r="D4815" s="1" t="s">
        <v>195</v>
      </c>
      <c r="E4815" s="3">
        <v>35.76</v>
      </c>
      <c r="F4815" s="3">
        <f t="shared" si="150"/>
        <v>9.0365520000000004</v>
      </c>
      <c r="G4815" s="3">
        <f t="shared" si="151"/>
        <v>44.796551999999998</v>
      </c>
    </row>
    <row r="4816" spans="1:7" x14ac:dyDescent="0.3">
      <c r="A4816" t="s">
        <v>13039</v>
      </c>
      <c r="B4816" t="s">
        <v>9662</v>
      </c>
      <c r="C4816" t="s">
        <v>9663</v>
      </c>
      <c r="D4816" s="1" t="s">
        <v>195</v>
      </c>
      <c r="E4816" s="3">
        <v>37.770000000000003</v>
      </c>
      <c r="F4816" s="3">
        <f t="shared" si="150"/>
        <v>9.5444790000000026</v>
      </c>
      <c r="G4816" s="3">
        <f t="shared" si="151"/>
        <v>47.314479000000006</v>
      </c>
    </row>
    <row r="4817" spans="1:7" x14ac:dyDescent="0.3">
      <c r="A4817" t="s">
        <v>13039</v>
      </c>
      <c r="B4817" t="s">
        <v>9664</v>
      </c>
      <c r="C4817" t="s">
        <v>9665</v>
      </c>
      <c r="D4817" s="1" t="s">
        <v>195</v>
      </c>
      <c r="E4817" s="3">
        <v>38.03</v>
      </c>
      <c r="F4817" s="3">
        <f t="shared" si="150"/>
        <v>9.6101810000000025</v>
      </c>
      <c r="G4817" s="3">
        <f t="shared" si="151"/>
        <v>47.640181000000005</v>
      </c>
    </row>
    <row r="4818" spans="1:7" x14ac:dyDescent="0.3">
      <c r="A4818" t="s">
        <v>13039</v>
      </c>
      <c r="B4818" t="s">
        <v>9666</v>
      </c>
      <c r="C4818" t="s">
        <v>9667</v>
      </c>
      <c r="D4818" s="1" t="s">
        <v>195</v>
      </c>
      <c r="E4818" s="3">
        <v>39.5</v>
      </c>
      <c r="F4818" s="3">
        <f t="shared" si="150"/>
        <v>9.9816500000000019</v>
      </c>
      <c r="G4818" s="3">
        <f t="shared" si="151"/>
        <v>49.481650000000002</v>
      </c>
    </row>
    <row r="4819" spans="1:7" x14ac:dyDescent="0.3">
      <c r="A4819" t="s">
        <v>13039</v>
      </c>
      <c r="B4819" t="s">
        <v>9668</v>
      </c>
      <c r="C4819" t="s">
        <v>9669</v>
      </c>
      <c r="D4819" s="1" t="s">
        <v>195</v>
      </c>
      <c r="E4819" s="3">
        <v>39.31</v>
      </c>
      <c r="F4819" s="3">
        <f t="shared" si="150"/>
        <v>9.9336370000000027</v>
      </c>
      <c r="G4819" s="3">
        <f t="shared" si="151"/>
        <v>49.243637000000007</v>
      </c>
    </row>
    <row r="4820" spans="1:7" x14ac:dyDescent="0.3">
      <c r="A4820" t="s">
        <v>13039</v>
      </c>
      <c r="B4820" t="s">
        <v>9670</v>
      </c>
      <c r="C4820" t="s">
        <v>9671</v>
      </c>
      <c r="D4820" s="1" t="s">
        <v>195</v>
      </c>
      <c r="E4820" s="3">
        <v>39.28</v>
      </c>
      <c r="F4820" s="3">
        <f t="shared" si="150"/>
        <v>9.9260560000000009</v>
      </c>
      <c r="G4820" s="3">
        <f t="shared" si="151"/>
        <v>49.206056000000004</v>
      </c>
    </row>
    <row r="4821" spans="1:7" x14ac:dyDescent="0.3">
      <c r="A4821" t="s">
        <v>13039</v>
      </c>
      <c r="B4821" t="s">
        <v>9672</v>
      </c>
      <c r="C4821" t="s">
        <v>9673</v>
      </c>
      <c r="D4821" s="1" t="s">
        <v>195</v>
      </c>
      <c r="E4821" s="3">
        <v>39.03</v>
      </c>
      <c r="F4821" s="3">
        <f t="shared" si="150"/>
        <v>9.8628810000000016</v>
      </c>
      <c r="G4821" s="3">
        <f t="shared" si="151"/>
        <v>48.892881000000003</v>
      </c>
    </row>
    <row r="4822" spans="1:7" x14ac:dyDescent="0.3">
      <c r="A4822" t="s">
        <v>13039</v>
      </c>
      <c r="B4822" t="s">
        <v>9674</v>
      </c>
      <c r="C4822" t="s">
        <v>9675</v>
      </c>
      <c r="D4822" s="1" t="s">
        <v>195</v>
      </c>
      <c r="E4822" s="3">
        <v>42.38</v>
      </c>
      <c r="F4822" s="3">
        <f t="shared" si="150"/>
        <v>10.709426000000002</v>
      </c>
      <c r="G4822" s="3">
        <f t="shared" si="151"/>
        <v>53.089426000000003</v>
      </c>
    </row>
    <row r="4823" spans="1:7" x14ac:dyDescent="0.3">
      <c r="A4823" t="s">
        <v>13039</v>
      </c>
      <c r="B4823" t="s">
        <v>9676</v>
      </c>
      <c r="C4823" t="s">
        <v>9677</v>
      </c>
      <c r="D4823" s="1" t="s">
        <v>195</v>
      </c>
      <c r="E4823" s="3">
        <v>42.15</v>
      </c>
      <c r="F4823" s="3">
        <f t="shared" si="150"/>
        <v>10.651305000000001</v>
      </c>
      <c r="G4823" s="3">
        <f t="shared" si="151"/>
        <v>52.801304999999999</v>
      </c>
    </row>
    <row r="4824" spans="1:7" x14ac:dyDescent="0.3">
      <c r="A4824" t="s">
        <v>13039</v>
      </c>
      <c r="B4824" t="s">
        <v>9678</v>
      </c>
      <c r="C4824" t="s">
        <v>9679</v>
      </c>
      <c r="D4824" s="1" t="s">
        <v>195</v>
      </c>
      <c r="E4824" s="3">
        <v>42.02</v>
      </c>
      <c r="F4824" s="3">
        <f t="shared" si="150"/>
        <v>10.618454000000002</v>
      </c>
      <c r="G4824" s="3">
        <f t="shared" si="151"/>
        <v>52.638454000000003</v>
      </c>
    </row>
    <row r="4825" spans="1:7" x14ac:dyDescent="0.3">
      <c r="A4825" t="s">
        <v>13039</v>
      </c>
      <c r="B4825" t="s">
        <v>9680</v>
      </c>
      <c r="C4825" t="s">
        <v>9681</v>
      </c>
      <c r="D4825" s="1" t="s">
        <v>195</v>
      </c>
      <c r="E4825" s="3">
        <v>44.47</v>
      </c>
      <c r="F4825" s="3">
        <f t="shared" si="150"/>
        <v>11.237569000000001</v>
      </c>
      <c r="G4825" s="3">
        <f t="shared" si="151"/>
        <v>55.707568999999999</v>
      </c>
    </row>
    <row r="4826" spans="1:7" x14ac:dyDescent="0.3">
      <c r="A4826" t="s">
        <v>13039</v>
      </c>
      <c r="B4826" t="s">
        <v>9682</v>
      </c>
      <c r="C4826" t="s">
        <v>9683</v>
      </c>
      <c r="D4826" s="1" t="s">
        <v>195</v>
      </c>
      <c r="E4826" s="3">
        <v>44.53</v>
      </c>
      <c r="F4826" s="3">
        <f t="shared" si="150"/>
        <v>11.252731000000002</v>
      </c>
      <c r="G4826" s="3">
        <f t="shared" si="151"/>
        <v>55.782731000000005</v>
      </c>
    </row>
    <row r="4827" spans="1:7" x14ac:dyDescent="0.3">
      <c r="A4827" t="s">
        <v>13039</v>
      </c>
      <c r="B4827" t="s">
        <v>9684</v>
      </c>
      <c r="C4827" t="s">
        <v>9685</v>
      </c>
      <c r="D4827" s="1" t="s">
        <v>195</v>
      </c>
      <c r="E4827" s="3">
        <v>44.4</v>
      </c>
      <c r="F4827" s="3">
        <f t="shared" si="150"/>
        <v>11.219880000000002</v>
      </c>
      <c r="G4827" s="3">
        <f t="shared" si="151"/>
        <v>55.619880000000002</v>
      </c>
    </row>
    <row r="4828" spans="1:7" x14ac:dyDescent="0.3">
      <c r="A4828" t="s">
        <v>13039</v>
      </c>
      <c r="B4828" t="s">
        <v>9686</v>
      </c>
      <c r="C4828" t="s">
        <v>9687</v>
      </c>
      <c r="D4828" s="1" t="s">
        <v>195</v>
      </c>
      <c r="E4828" s="3">
        <v>44.15</v>
      </c>
      <c r="F4828" s="3">
        <f t="shared" si="150"/>
        <v>11.156705000000001</v>
      </c>
      <c r="G4828" s="3">
        <f t="shared" si="151"/>
        <v>55.306705000000001</v>
      </c>
    </row>
    <row r="4829" spans="1:7" x14ac:dyDescent="0.3">
      <c r="A4829" t="s">
        <v>13039</v>
      </c>
      <c r="B4829" t="s">
        <v>9688</v>
      </c>
      <c r="C4829" t="s">
        <v>9689</v>
      </c>
      <c r="D4829" s="1" t="s">
        <v>195</v>
      </c>
      <c r="E4829" s="3">
        <v>44.02</v>
      </c>
      <c r="F4829" s="3">
        <f t="shared" si="150"/>
        <v>11.123854000000003</v>
      </c>
      <c r="G4829" s="3">
        <f t="shared" si="151"/>
        <v>55.143854000000005</v>
      </c>
    </row>
    <row r="4830" spans="1:7" x14ac:dyDescent="0.3">
      <c r="A4830" t="s">
        <v>13039</v>
      </c>
      <c r="B4830" t="s">
        <v>9690</v>
      </c>
      <c r="C4830" t="s">
        <v>9691</v>
      </c>
      <c r="D4830" s="1" t="s">
        <v>195</v>
      </c>
      <c r="E4830" s="3">
        <v>49.17</v>
      </c>
      <c r="F4830" s="3">
        <f t="shared" si="150"/>
        <v>12.425259000000002</v>
      </c>
      <c r="G4830" s="3">
        <f t="shared" si="151"/>
        <v>61.595259000000006</v>
      </c>
    </row>
    <row r="4831" spans="1:7" x14ac:dyDescent="0.3">
      <c r="A4831" t="s">
        <v>13039</v>
      </c>
      <c r="B4831" t="s">
        <v>9692</v>
      </c>
      <c r="C4831" t="s">
        <v>9693</v>
      </c>
      <c r="D4831" s="1" t="s">
        <v>195</v>
      </c>
      <c r="E4831" s="3">
        <v>48.81</v>
      </c>
      <c r="F4831" s="3">
        <f t="shared" si="150"/>
        <v>12.334287000000002</v>
      </c>
      <c r="G4831" s="3">
        <f t="shared" si="151"/>
        <v>61.144287000000006</v>
      </c>
    </row>
    <row r="4832" spans="1:7" x14ac:dyDescent="0.3">
      <c r="A4832" t="s">
        <v>13039</v>
      </c>
      <c r="B4832" t="s">
        <v>9694</v>
      </c>
      <c r="C4832" t="s">
        <v>9695</v>
      </c>
      <c r="D4832" s="1" t="s">
        <v>195</v>
      </c>
      <c r="E4832" s="3">
        <v>48.66</v>
      </c>
      <c r="F4832" s="3">
        <f t="shared" si="150"/>
        <v>12.296382000000001</v>
      </c>
      <c r="G4832" s="3">
        <f t="shared" si="151"/>
        <v>60.956381999999998</v>
      </c>
    </row>
    <row r="4833" spans="1:7" x14ac:dyDescent="0.3">
      <c r="A4833" t="s">
        <v>13039</v>
      </c>
      <c r="B4833" t="s">
        <v>9696</v>
      </c>
      <c r="C4833" t="s">
        <v>9697</v>
      </c>
      <c r="D4833" s="1" t="s">
        <v>195</v>
      </c>
      <c r="E4833" s="3">
        <v>50.11</v>
      </c>
      <c r="F4833" s="3">
        <f t="shared" si="150"/>
        <v>12.662797000000001</v>
      </c>
      <c r="G4833" s="3">
        <f t="shared" si="151"/>
        <v>62.772796999999997</v>
      </c>
    </row>
    <row r="4834" spans="1:7" x14ac:dyDescent="0.3">
      <c r="A4834" t="s">
        <v>13039</v>
      </c>
      <c r="B4834" t="s">
        <v>9698</v>
      </c>
      <c r="C4834" t="s">
        <v>9699</v>
      </c>
      <c r="D4834" s="1" t="s">
        <v>195</v>
      </c>
      <c r="E4834" s="3">
        <v>49.93</v>
      </c>
      <c r="F4834" s="3">
        <f t="shared" si="150"/>
        <v>12.617311000000001</v>
      </c>
      <c r="G4834" s="3">
        <f t="shared" si="151"/>
        <v>62.547311000000001</v>
      </c>
    </row>
    <row r="4835" spans="1:7" x14ac:dyDescent="0.3">
      <c r="A4835" t="s">
        <v>13039</v>
      </c>
      <c r="B4835" t="s">
        <v>9700</v>
      </c>
      <c r="C4835" t="s">
        <v>9701</v>
      </c>
      <c r="D4835" s="1" t="s">
        <v>210</v>
      </c>
      <c r="E4835" s="3">
        <v>10.44</v>
      </c>
      <c r="F4835" s="3">
        <f t="shared" si="150"/>
        <v>2.6381880000000004</v>
      </c>
      <c r="G4835" s="3">
        <f t="shared" si="151"/>
        <v>13.078188000000001</v>
      </c>
    </row>
    <row r="4836" spans="1:7" x14ac:dyDescent="0.3">
      <c r="A4836" t="s">
        <v>13039</v>
      </c>
      <c r="B4836" t="s">
        <v>9702</v>
      </c>
      <c r="C4836" t="s">
        <v>9703</v>
      </c>
      <c r="D4836" s="1" t="s">
        <v>210</v>
      </c>
      <c r="E4836" s="3">
        <v>10.75</v>
      </c>
      <c r="F4836" s="3">
        <f t="shared" si="150"/>
        <v>2.7165250000000003</v>
      </c>
      <c r="G4836" s="3">
        <f t="shared" si="151"/>
        <v>13.466525000000001</v>
      </c>
    </row>
    <row r="4837" spans="1:7" x14ac:dyDescent="0.3">
      <c r="A4837" t="s">
        <v>13039</v>
      </c>
      <c r="B4837" t="s">
        <v>9704</v>
      </c>
      <c r="C4837" t="s">
        <v>9705</v>
      </c>
      <c r="D4837" s="1" t="s">
        <v>210</v>
      </c>
      <c r="E4837" s="3">
        <v>16.059999999999999</v>
      </c>
      <c r="F4837" s="3">
        <f t="shared" si="150"/>
        <v>4.0583620000000007</v>
      </c>
      <c r="G4837" s="3">
        <f t="shared" si="151"/>
        <v>20.118361999999998</v>
      </c>
    </row>
    <row r="4838" spans="1:7" x14ac:dyDescent="0.3">
      <c r="A4838" t="s">
        <v>13039</v>
      </c>
      <c r="B4838" t="s">
        <v>9706</v>
      </c>
      <c r="C4838" t="s">
        <v>9707</v>
      </c>
      <c r="D4838" s="1" t="s">
        <v>210</v>
      </c>
      <c r="E4838" s="3">
        <v>16.059999999999999</v>
      </c>
      <c r="F4838" s="3">
        <f t="shared" si="150"/>
        <v>4.0583620000000007</v>
      </c>
      <c r="G4838" s="3">
        <f t="shared" si="151"/>
        <v>20.118361999999998</v>
      </c>
    </row>
    <row r="4839" spans="1:7" x14ac:dyDescent="0.3">
      <c r="A4839" t="s">
        <v>13039</v>
      </c>
      <c r="B4839" t="s">
        <v>9708</v>
      </c>
      <c r="C4839" t="s">
        <v>9709</v>
      </c>
      <c r="D4839" s="1" t="s">
        <v>210</v>
      </c>
      <c r="E4839" s="3">
        <v>9.56</v>
      </c>
      <c r="F4839" s="3">
        <f t="shared" si="150"/>
        <v>2.4158120000000003</v>
      </c>
      <c r="G4839" s="3">
        <f t="shared" si="151"/>
        <v>11.975812000000001</v>
      </c>
    </row>
    <row r="4840" spans="1:7" x14ac:dyDescent="0.3">
      <c r="A4840" t="s">
        <v>13039</v>
      </c>
      <c r="B4840" t="s">
        <v>9710</v>
      </c>
      <c r="C4840" t="s">
        <v>9711</v>
      </c>
      <c r="D4840" s="1" t="s">
        <v>2904</v>
      </c>
      <c r="E4840" s="3">
        <v>136.36000000000001</v>
      </c>
      <c r="F4840" s="3">
        <f t="shared" si="150"/>
        <v>34.458172000000012</v>
      </c>
      <c r="G4840" s="3">
        <f t="shared" si="151"/>
        <v>170.81817200000003</v>
      </c>
    </row>
    <row r="4841" spans="1:7" x14ac:dyDescent="0.3">
      <c r="A4841" t="s">
        <v>13039</v>
      </c>
      <c r="B4841" t="s">
        <v>9712</v>
      </c>
      <c r="C4841" t="s">
        <v>9713</v>
      </c>
      <c r="D4841" s="1" t="s">
        <v>427</v>
      </c>
      <c r="E4841" s="3">
        <v>32.450000000000003</v>
      </c>
      <c r="F4841" s="3">
        <f t="shared" si="150"/>
        <v>8.200115000000002</v>
      </c>
      <c r="G4841" s="3">
        <f t="shared" si="151"/>
        <v>40.650115000000007</v>
      </c>
    </row>
    <row r="4842" spans="1:7" x14ac:dyDescent="0.3">
      <c r="A4842" t="s">
        <v>13039</v>
      </c>
      <c r="B4842" t="s">
        <v>9714</v>
      </c>
      <c r="C4842" t="s">
        <v>9715</v>
      </c>
      <c r="D4842" s="1" t="s">
        <v>2904</v>
      </c>
      <c r="E4842" s="3">
        <v>4.87</v>
      </c>
      <c r="F4842" s="3">
        <f t="shared" si="150"/>
        <v>1.2306490000000001</v>
      </c>
      <c r="G4842" s="3">
        <f t="shared" si="151"/>
        <v>6.1006490000000007</v>
      </c>
    </row>
    <row r="4843" spans="1:7" x14ac:dyDescent="0.3">
      <c r="A4843" t="s">
        <v>13039</v>
      </c>
      <c r="B4843" t="s">
        <v>9716</v>
      </c>
      <c r="C4843" t="s">
        <v>9717</v>
      </c>
      <c r="D4843" s="1" t="s">
        <v>427</v>
      </c>
      <c r="E4843" s="3">
        <v>13</v>
      </c>
      <c r="F4843" s="3">
        <f t="shared" si="150"/>
        <v>3.2851000000000004</v>
      </c>
      <c r="G4843" s="3">
        <f t="shared" si="151"/>
        <v>16.2851</v>
      </c>
    </row>
    <row r="4844" spans="1:7" x14ac:dyDescent="0.3">
      <c r="A4844" t="s">
        <v>13039</v>
      </c>
      <c r="B4844" t="s">
        <v>9718</v>
      </c>
      <c r="C4844" t="s">
        <v>9719</v>
      </c>
      <c r="D4844" s="1" t="s">
        <v>427</v>
      </c>
      <c r="E4844" s="3">
        <v>8.32</v>
      </c>
      <c r="F4844" s="3">
        <f t="shared" si="150"/>
        <v>2.1024640000000003</v>
      </c>
      <c r="G4844" s="3">
        <f t="shared" si="151"/>
        <v>10.422464000000002</v>
      </c>
    </row>
    <row r="4845" spans="1:7" x14ac:dyDescent="0.3">
      <c r="A4845" t="s">
        <v>13039</v>
      </c>
      <c r="B4845" t="s">
        <v>9720</v>
      </c>
      <c r="C4845" t="s">
        <v>9721</v>
      </c>
      <c r="D4845" s="1" t="s">
        <v>427</v>
      </c>
      <c r="E4845" s="3">
        <v>6.67</v>
      </c>
      <c r="F4845" s="3">
        <f t="shared" si="150"/>
        <v>1.6855090000000001</v>
      </c>
      <c r="G4845" s="3">
        <f t="shared" si="151"/>
        <v>8.3555089999999996</v>
      </c>
    </row>
    <row r="4846" spans="1:7" x14ac:dyDescent="0.3">
      <c r="A4846" t="s">
        <v>13039</v>
      </c>
      <c r="B4846" t="s">
        <v>9722</v>
      </c>
      <c r="C4846" t="s">
        <v>9723</v>
      </c>
      <c r="D4846" s="1" t="s">
        <v>427</v>
      </c>
      <c r="E4846" s="3">
        <v>55.85</v>
      </c>
      <c r="F4846" s="3">
        <f t="shared" si="150"/>
        <v>14.113295000000003</v>
      </c>
      <c r="G4846" s="3">
        <f t="shared" si="151"/>
        <v>69.963295000000002</v>
      </c>
    </row>
    <row r="4847" spans="1:7" x14ac:dyDescent="0.3">
      <c r="A4847" t="s">
        <v>13039</v>
      </c>
      <c r="B4847" t="s">
        <v>9724</v>
      </c>
      <c r="C4847" t="s">
        <v>9725</v>
      </c>
      <c r="D4847" s="1" t="s">
        <v>2904</v>
      </c>
      <c r="E4847" s="3">
        <v>14.46</v>
      </c>
      <c r="F4847" s="3">
        <f t="shared" si="150"/>
        <v>3.6540420000000009</v>
      </c>
      <c r="G4847" s="3">
        <f t="shared" si="151"/>
        <v>18.114042000000001</v>
      </c>
    </row>
    <row r="4848" spans="1:7" x14ac:dyDescent="0.3">
      <c r="A4848" t="s">
        <v>13039</v>
      </c>
      <c r="B4848" t="s">
        <v>9726</v>
      </c>
      <c r="C4848" t="s">
        <v>9727</v>
      </c>
      <c r="D4848" s="1" t="s">
        <v>2904</v>
      </c>
      <c r="E4848" s="3">
        <v>21.36</v>
      </c>
      <c r="F4848" s="3">
        <f t="shared" si="150"/>
        <v>5.3976720000000009</v>
      </c>
      <c r="G4848" s="3">
        <f t="shared" si="151"/>
        <v>26.757671999999999</v>
      </c>
    </row>
    <row r="4849" spans="1:7" x14ac:dyDescent="0.3">
      <c r="A4849" t="s">
        <v>13039</v>
      </c>
      <c r="B4849" t="s">
        <v>9728</v>
      </c>
      <c r="C4849" t="s">
        <v>9729</v>
      </c>
      <c r="D4849" s="1" t="s">
        <v>427</v>
      </c>
      <c r="E4849" s="3">
        <v>7.55</v>
      </c>
      <c r="F4849" s="3">
        <f t="shared" si="150"/>
        <v>1.9078850000000003</v>
      </c>
      <c r="G4849" s="3">
        <f t="shared" si="151"/>
        <v>9.457885000000001</v>
      </c>
    </row>
    <row r="4850" spans="1:7" x14ac:dyDescent="0.3">
      <c r="A4850" t="s">
        <v>13039</v>
      </c>
      <c r="B4850" t="s">
        <v>9730</v>
      </c>
      <c r="C4850" t="s">
        <v>9731</v>
      </c>
      <c r="D4850" s="1" t="s">
        <v>195</v>
      </c>
      <c r="E4850" s="3">
        <v>27.41</v>
      </c>
      <c r="F4850" s="3">
        <f t="shared" si="150"/>
        <v>6.9265070000000009</v>
      </c>
      <c r="G4850" s="3">
        <f t="shared" si="151"/>
        <v>34.336506999999997</v>
      </c>
    </row>
    <row r="4851" spans="1:7" x14ac:dyDescent="0.3">
      <c r="A4851" t="s">
        <v>13039</v>
      </c>
      <c r="B4851" t="s">
        <v>9732</v>
      </c>
      <c r="C4851" t="s">
        <v>9733</v>
      </c>
      <c r="D4851" s="1" t="s">
        <v>195</v>
      </c>
      <c r="E4851" s="3">
        <v>24.57</v>
      </c>
      <c r="F4851" s="3">
        <f t="shared" si="150"/>
        <v>6.2088390000000011</v>
      </c>
      <c r="G4851" s="3">
        <f t="shared" si="151"/>
        <v>30.778839000000001</v>
      </c>
    </row>
    <row r="4852" spans="1:7" x14ac:dyDescent="0.3">
      <c r="A4852" t="s">
        <v>13039</v>
      </c>
      <c r="B4852" t="s">
        <v>9734</v>
      </c>
      <c r="C4852" t="s">
        <v>9735</v>
      </c>
      <c r="D4852" s="1" t="s">
        <v>195</v>
      </c>
      <c r="E4852" s="3">
        <v>38.06</v>
      </c>
      <c r="F4852" s="3">
        <f t="shared" si="150"/>
        <v>9.6177620000000026</v>
      </c>
      <c r="G4852" s="3">
        <f t="shared" si="151"/>
        <v>47.677762000000001</v>
      </c>
    </row>
    <row r="4853" spans="1:7" x14ac:dyDescent="0.3">
      <c r="A4853" t="s">
        <v>13039</v>
      </c>
      <c r="B4853" t="s">
        <v>9736</v>
      </c>
      <c r="C4853" t="s">
        <v>9737</v>
      </c>
      <c r="D4853" s="1" t="s">
        <v>195</v>
      </c>
      <c r="E4853" s="3">
        <v>32.950000000000003</v>
      </c>
      <c r="F4853" s="3">
        <f t="shared" si="150"/>
        <v>8.3264650000000024</v>
      </c>
      <c r="G4853" s="3">
        <f t="shared" si="151"/>
        <v>41.276465000000002</v>
      </c>
    </row>
    <row r="4854" spans="1:7" x14ac:dyDescent="0.3">
      <c r="A4854" t="s">
        <v>13039</v>
      </c>
      <c r="B4854" t="s">
        <v>9738</v>
      </c>
      <c r="C4854" t="s">
        <v>9739</v>
      </c>
      <c r="D4854" s="1" t="s">
        <v>195</v>
      </c>
      <c r="E4854" s="3">
        <v>30.79</v>
      </c>
      <c r="F4854" s="3">
        <f t="shared" si="150"/>
        <v>7.7806330000000008</v>
      </c>
      <c r="G4854" s="3">
        <f t="shared" si="151"/>
        <v>38.570633000000001</v>
      </c>
    </row>
    <row r="4855" spans="1:7" x14ac:dyDescent="0.3">
      <c r="A4855" t="s">
        <v>13039</v>
      </c>
      <c r="B4855" t="s">
        <v>9740</v>
      </c>
      <c r="C4855" t="s">
        <v>9741</v>
      </c>
      <c r="D4855" s="1" t="s">
        <v>195</v>
      </c>
      <c r="E4855" s="3">
        <v>26.81</v>
      </c>
      <c r="F4855" s="3">
        <f t="shared" si="150"/>
        <v>6.7748870000000005</v>
      </c>
      <c r="G4855" s="3">
        <f t="shared" si="151"/>
        <v>33.584887000000002</v>
      </c>
    </row>
    <row r="4856" spans="1:7" x14ac:dyDescent="0.3">
      <c r="A4856" t="s">
        <v>13039</v>
      </c>
      <c r="B4856" t="s">
        <v>9742</v>
      </c>
      <c r="C4856" t="s">
        <v>9743</v>
      </c>
      <c r="D4856" s="1" t="s">
        <v>195</v>
      </c>
      <c r="E4856" s="3">
        <v>40.78</v>
      </c>
      <c r="F4856" s="3">
        <f t="shared" si="150"/>
        <v>10.305106000000002</v>
      </c>
      <c r="G4856" s="3">
        <f t="shared" si="151"/>
        <v>51.085106000000003</v>
      </c>
    </row>
    <row r="4857" spans="1:7" x14ac:dyDescent="0.3">
      <c r="A4857" t="s">
        <v>13039</v>
      </c>
      <c r="B4857" t="s">
        <v>9744</v>
      </c>
      <c r="C4857" t="s">
        <v>9745</v>
      </c>
      <c r="D4857" s="1" t="s">
        <v>195</v>
      </c>
      <c r="E4857" s="3">
        <v>35.1</v>
      </c>
      <c r="F4857" s="3">
        <f t="shared" si="150"/>
        <v>8.8697700000000008</v>
      </c>
      <c r="G4857" s="3">
        <f t="shared" si="151"/>
        <v>43.969770000000004</v>
      </c>
    </row>
    <row r="4858" spans="1:7" x14ac:dyDescent="0.3">
      <c r="A4858" t="s">
        <v>13039</v>
      </c>
      <c r="B4858" t="s">
        <v>9746</v>
      </c>
      <c r="C4858" t="s">
        <v>9747</v>
      </c>
      <c r="D4858" s="1" t="s">
        <v>195</v>
      </c>
      <c r="E4858" s="3">
        <v>58.25</v>
      </c>
      <c r="F4858" s="3">
        <f t="shared" si="150"/>
        <v>14.719775000000002</v>
      </c>
      <c r="G4858" s="3">
        <f t="shared" si="151"/>
        <v>72.969774999999998</v>
      </c>
    </row>
    <row r="4859" spans="1:7" x14ac:dyDescent="0.3">
      <c r="A4859" t="s">
        <v>13039</v>
      </c>
      <c r="B4859" t="s">
        <v>9748</v>
      </c>
      <c r="C4859" t="s">
        <v>9749</v>
      </c>
      <c r="D4859" s="1" t="s">
        <v>195</v>
      </c>
      <c r="E4859" s="3">
        <v>48.02</v>
      </c>
      <c r="F4859" s="3">
        <f t="shared" si="150"/>
        <v>12.134654000000003</v>
      </c>
      <c r="G4859" s="3">
        <f t="shared" si="151"/>
        <v>60.154654000000008</v>
      </c>
    </row>
    <row r="4860" spans="1:7" x14ac:dyDescent="0.3">
      <c r="A4860" t="s">
        <v>13039</v>
      </c>
      <c r="B4860" t="s">
        <v>9750</v>
      </c>
      <c r="C4860" t="s">
        <v>9751</v>
      </c>
      <c r="D4860" s="1" t="s">
        <v>195</v>
      </c>
      <c r="E4860" s="3">
        <v>78.63</v>
      </c>
      <c r="F4860" s="3">
        <f t="shared" si="150"/>
        <v>19.869801000000002</v>
      </c>
      <c r="G4860" s="3">
        <f t="shared" si="151"/>
        <v>98.499800999999991</v>
      </c>
    </row>
    <row r="4861" spans="1:7" x14ac:dyDescent="0.3">
      <c r="A4861" t="s">
        <v>13039</v>
      </c>
      <c r="B4861" t="s">
        <v>9752</v>
      </c>
      <c r="C4861" t="s">
        <v>9753</v>
      </c>
      <c r="D4861" s="1" t="s">
        <v>195</v>
      </c>
      <c r="E4861" s="3">
        <v>62.67</v>
      </c>
      <c r="F4861" s="3">
        <f t="shared" si="150"/>
        <v>15.836709000000003</v>
      </c>
      <c r="G4861" s="3">
        <f t="shared" si="151"/>
        <v>78.506709000000001</v>
      </c>
    </row>
    <row r="4862" spans="1:7" x14ac:dyDescent="0.3">
      <c r="A4862" t="s">
        <v>13039</v>
      </c>
      <c r="B4862" t="s">
        <v>9754</v>
      </c>
      <c r="C4862" t="s">
        <v>9755</v>
      </c>
      <c r="D4862" s="1" t="s">
        <v>195</v>
      </c>
      <c r="E4862" s="3">
        <v>31.87</v>
      </c>
      <c r="F4862" s="3">
        <f t="shared" si="150"/>
        <v>8.0535490000000021</v>
      </c>
      <c r="G4862" s="3">
        <f t="shared" si="151"/>
        <v>39.923549000000001</v>
      </c>
    </row>
    <row r="4863" spans="1:7" x14ac:dyDescent="0.3">
      <c r="A4863" t="s">
        <v>13039</v>
      </c>
      <c r="B4863" t="s">
        <v>9756</v>
      </c>
      <c r="C4863" t="s">
        <v>9757</v>
      </c>
      <c r="D4863" s="1" t="s">
        <v>195</v>
      </c>
      <c r="E4863" s="3">
        <v>27.89</v>
      </c>
      <c r="F4863" s="3">
        <f t="shared" si="150"/>
        <v>7.0478030000000009</v>
      </c>
      <c r="G4863" s="3">
        <f t="shared" si="151"/>
        <v>34.937803000000002</v>
      </c>
    </row>
    <row r="4864" spans="1:7" x14ac:dyDescent="0.3">
      <c r="A4864" t="s">
        <v>13039</v>
      </c>
      <c r="B4864" t="s">
        <v>9758</v>
      </c>
      <c r="C4864" t="s">
        <v>9759</v>
      </c>
      <c r="D4864" s="1" t="s">
        <v>195</v>
      </c>
      <c r="E4864" s="3">
        <v>41.86</v>
      </c>
      <c r="F4864" s="3">
        <f t="shared" si="150"/>
        <v>10.578022000000001</v>
      </c>
      <c r="G4864" s="3">
        <f t="shared" si="151"/>
        <v>52.438022000000004</v>
      </c>
    </row>
    <row r="4865" spans="1:7" x14ac:dyDescent="0.3">
      <c r="A4865" t="s">
        <v>13039</v>
      </c>
      <c r="B4865" t="s">
        <v>9760</v>
      </c>
      <c r="C4865" t="s">
        <v>9761</v>
      </c>
      <c r="D4865" s="1" t="s">
        <v>195</v>
      </c>
      <c r="E4865" s="3">
        <v>36.18</v>
      </c>
      <c r="F4865" s="3">
        <f t="shared" si="150"/>
        <v>9.1426860000000012</v>
      </c>
      <c r="G4865" s="3">
        <f t="shared" si="151"/>
        <v>45.322686000000004</v>
      </c>
    </row>
    <row r="4866" spans="1:7" x14ac:dyDescent="0.3">
      <c r="A4866" t="s">
        <v>13039</v>
      </c>
      <c r="B4866" t="s">
        <v>9762</v>
      </c>
      <c r="C4866" t="s">
        <v>9763</v>
      </c>
      <c r="D4866" s="1" t="s">
        <v>195</v>
      </c>
      <c r="E4866" s="3">
        <v>59.33</v>
      </c>
      <c r="F4866" s="3">
        <f t="shared" si="150"/>
        <v>14.992691000000002</v>
      </c>
      <c r="G4866" s="3">
        <f t="shared" si="151"/>
        <v>74.322691000000006</v>
      </c>
    </row>
    <row r="4867" spans="1:7" x14ac:dyDescent="0.3">
      <c r="A4867" t="s">
        <v>13039</v>
      </c>
      <c r="B4867" t="s">
        <v>9764</v>
      </c>
      <c r="C4867" t="s">
        <v>9765</v>
      </c>
      <c r="D4867" s="1" t="s">
        <v>195</v>
      </c>
      <c r="E4867" s="3">
        <v>49.1</v>
      </c>
      <c r="F4867" s="3">
        <f t="shared" si="150"/>
        <v>12.407570000000002</v>
      </c>
      <c r="G4867" s="3">
        <f t="shared" si="151"/>
        <v>61.507570000000001</v>
      </c>
    </row>
    <row r="4868" spans="1:7" x14ac:dyDescent="0.3">
      <c r="A4868" t="s">
        <v>13039</v>
      </c>
      <c r="B4868" t="s">
        <v>9766</v>
      </c>
      <c r="C4868" t="s">
        <v>9767</v>
      </c>
      <c r="D4868" s="1" t="s">
        <v>195</v>
      </c>
      <c r="E4868" s="3">
        <v>31.05</v>
      </c>
      <c r="F4868" s="3">
        <f t="shared" si="150"/>
        <v>7.8463350000000016</v>
      </c>
      <c r="G4868" s="3">
        <f t="shared" si="151"/>
        <v>38.896335000000001</v>
      </c>
    </row>
    <row r="4869" spans="1:7" x14ac:dyDescent="0.3">
      <c r="A4869" t="s">
        <v>13039</v>
      </c>
      <c r="B4869" t="s">
        <v>9768</v>
      </c>
      <c r="C4869" t="s">
        <v>9769</v>
      </c>
      <c r="D4869" s="1" t="s">
        <v>195</v>
      </c>
      <c r="E4869" s="3">
        <v>28.51</v>
      </c>
      <c r="F4869" s="3">
        <f t="shared" si="150"/>
        <v>7.2044770000000016</v>
      </c>
      <c r="G4869" s="3">
        <f t="shared" si="151"/>
        <v>35.714477000000002</v>
      </c>
    </row>
    <row r="4870" spans="1:7" x14ac:dyDescent="0.3">
      <c r="A4870" t="s">
        <v>13039</v>
      </c>
      <c r="B4870" t="s">
        <v>9770</v>
      </c>
      <c r="C4870" t="s">
        <v>9771</v>
      </c>
      <c r="D4870" s="1" t="s">
        <v>195</v>
      </c>
      <c r="E4870" s="3">
        <v>39.840000000000003</v>
      </c>
      <c r="F4870" s="3">
        <f t="shared" si="150"/>
        <v>10.067568000000001</v>
      </c>
      <c r="G4870" s="3">
        <f t="shared" si="151"/>
        <v>49.907568000000005</v>
      </c>
    </row>
    <row r="4871" spans="1:7" x14ac:dyDescent="0.3">
      <c r="A4871" t="s">
        <v>13039</v>
      </c>
      <c r="B4871" t="s">
        <v>9772</v>
      </c>
      <c r="C4871" t="s">
        <v>9773</v>
      </c>
      <c r="D4871" s="1" t="s">
        <v>195</v>
      </c>
      <c r="E4871" s="3">
        <v>37.06</v>
      </c>
      <c r="F4871" s="3">
        <f t="shared" ref="F4871:F4934" si="152">+E4871*$F$4</f>
        <v>9.3650620000000018</v>
      </c>
      <c r="G4871" s="3">
        <f t="shared" ref="G4871:G4934" si="153">+E4871+F4871</f>
        <v>46.425062000000004</v>
      </c>
    </row>
    <row r="4872" spans="1:7" x14ac:dyDescent="0.3">
      <c r="A4872" t="s">
        <v>13039</v>
      </c>
      <c r="B4872" t="s">
        <v>9774</v>
      </c>
      <c r="C4872" t="s">
        <v>9775</v>
      </c>
      <c r="D4872" s="1" t="s">
        <v>195</v>
      </c>
      <c r="E4872" s="3">
        <v>56.56</v>
      </c>
      <c r="F4872" s="3">
        <f t="shared" si="152"/>
        <v>14.292712000000003</v>
      </c>
      <c r="G4872" s="3">
        <f t="shared" si="153"/>
        <v>70.852712000000011</v>
      </c>
    </row>
    <row r="4873" spans="1:7" x14ac:dyDescent="0.3">
      <c r="A4873" t="s">
        <v>13039</v>
      </c>
      <c r="B4873" t="s">
        <v>9776</v>
      </c>
      <c r="C4873" t="s">
        <v>9777</v>
      </c>
      <c r="D4873" s="1" t="s">
        <v>195</v>
      </c>
      <c r="E4873" s="3">
        <v>50.04</v>
      </c>
      <c r="F4873" s="3">
        <f t="shared" si="152"/>
        <v>12.645108000000002</v>
      </c>
      <c r="G4873" s="3">
        <f t="shared" si="153"/>
        <v>62.685108</v>
      </c>
    </row>
    <row r="4874" spans="1:7" x14ac:dyDescent="0.3">
      <c r="A4874" t="s">
        <v>13039</v>
      </c>
      <c r="B4874" t="s">
        <v>9778</v>
      </c>
      <c r="C4874" t="s">
        <v>9779</v>
      </c>
      <c r="D4874" s="1" t="s">
        <v>38</v>
      </c>
      <c r="E4874" s="3">
        <v>0.61</v>
      </c>
      <c r="F4874" s="3">
        <f t="shared" si="152"/>
        <v>0.15414700000000001</v>
      </c>
      <c r="G4874" s="3">
        <f t="shared" si="153"/>
        <v>0.76414700000000002</v>
      </c>
    </row>
    <row r="4875" spans="1:7" x14ac:dyDescent="0.3">
      <c r="A4875" t="s">
        <v>13039</v>
      </c>
      <c r="B4875" t="s">
        <v>9780</v>
      </c>
      <c r="C4875" t="s">
        <v>9781</v>
      </c>
      <c r="D4875" s="1" t="s">
        <v>427</v>
      </c>
      <c r="E4875" s="3">
        <v>1387.07</v>
      </c>
      <c r="F4875" s="3">
        <f t="shared" si="152"/>
        <v>350.51258900000005</v>
      </c>
      <c r="G4875" s="3">
        <f t="shared" si="153"/>
        <v>1737.5825890000001</v>
      </c>
    </row>
    <row r="4876" spans="1:7" x14ac:dyDescent="0.3">
      <c r="A4876" t="s">
        <v>13039</v>
      </c>
      <c r="B4876" t="s">
        <v>9782</v>
      </c>
      <c r="C4876" t="s">
        <v>9783</v>
      </c>
      <c r="D4876" s="1" t="s">
        <v>427</v>
      </c>
      <c r="E4876" s="3">
        <v>198.63</v>
      </c>
      <c r="F4876" s="3">
        <f t="shared" si="152"/>
        <v>50.193801000000008</v>
      </c>
      <c r="G4876" s="3">
        <f t="shared" si="153"/>
        <v>248.823801</v>
      </c>
    </row>
    <row r="4877" spans="1:7" x14ac:dyDescent="0.3">
      <c r="A4877" t="s">
        <v>13039</v>
      </c>
      <c r="B4877" t="s">
        <v>9784</v>
      </c>
      <c r="C4877" t="s">
        <v>9785</v>
      </c>
      <c r="D4877" s="1" t="s">
        <v>427</v>
      </c>
      <c r="E4877" s="3">
        <v>464.46</v>
      </c>
      <c r="F4877" s="3">
        <f t="shared" si="152"/>
        <v>117.36904200000001</v>
      </c>
      <c r="G4877" s="3">
        <f t="shared" si="153"/>
        <v>581.82904199999996</v>
      </c>
    </row>
    <row r="4878" spans="1:7" x14ac:dyDescent="0.3">
      <c r="A4878" t="s">
        <v>13039</v>
      </c>
      <c r="B4878" t="s">
        <v>9786</v>
      </c>
      <c r="C4878" t="s">
        <v>9787</v>
      </c>
      <c r="D4878" s="1" t="s">
        <v>427</v>
      </c>
      <c r="E4878" s="3">
        <v>798.71</v>
      </c>
      <c r="F4878" s="3">
        <f t="shared" si="152"/>
        <v>201.83401700000005</v>
      </c>
      <c r="G4878" s="3">
        <f t="shared" si="153"/>
        <v>1000.5440170000001</v>
      </c>
    </row>
    <row r="4879" spans="1:7" x14ac:dyDescent="0.3">
      <c r="A4879" t="s">
        <v>13039</v>
      </c>
      <c r="B4879" t="s">
        <v>9788</v>
      </c>
      <c r="C4879" t="s">
        <v>9789</v>
      </c>
      <c r="D4879" s="1" t="s">
        <v>427</v>
      </c>
      <c r="E4879" s="3">
        <v>73.59</v>
      </c>
      <c r="F4879" s="3">
        <f t="shared" si="152"/>
        <v>18.596193000000003</v>
      </c>
      <c r="G4879" s="3">
        <f t="shared" si="153"/>
        <v>92.186193000000003</v>
      </c>
    </row>
    <row r="4880" spans="1:7" x14ac:dyDescent="0.3">
      <c r="A4880" t="s">
        <v>13039</v>
      </c>
      <c r="B4880" t="s">
        <v>9790</v>
      </c>
      <c r="C4880" t="s">
        <v>9791</v>
      </c>
      <c r="D4880" s="1" t="s">
        <v>427</v>
      </c>
      <c r="E4880" s="3">
        <v>55.19</v>
      </c>
      <c r="F4880" s="3">
        <f t="shared" si="152"/>
        <v>13.946513000000001</v>
      </c>
      <c r="G4880" s="3">
        <f t="shared" si="153"/>
        <v>69.136512999999994</v>
      </c>
    </row>
    <row r="4881" spans="1:7" x14ac:dyDescent="0.3">
      <c r="A4881" t="s">
        <v>13039</v>
      </c>
      <c r="B4881" t="s">
        <v>9792</v>
      </c>
      <c r="C4881" t="s">
        <v>9793</v>
      </c>
      <c r="D4881" s="1" t="s">
        <v>427</v>
      </c>
      <c r="E4881" s="3">
        <v>66.23</v>
      </c>
      <c r="F4881" s="3">
        <f t="shared" si="152"/>
        <v>16.736321000000004</v>
      </c>
      <c r="G4881" s="3">
        <f t="shared" si="153"/>
        <v>82.966321000000008</v>
      </c>
    </row>
    <row r="4882" spans="1:7" x14ac:dyDescent="0.3">
      <c r="A4882" t="s">
        <v>13039</v>
      </c>
      <c r="B4882" t="s">
        <v>9794</v>
      </c>
      <c r="C4882" t="s">
        <v>9795</v>
      </c>
      <c r="D4882" s="1" t="s">
        <v>427</v>
      </c>
      <c r="E4882" s="3">
        <v>77.27</v>
      </c>
      <c r="F4882" s="3">
        <f t="shared" si="152"/>
        <v>19.526129000000001</v>
      </c>
      <c r="G4882" s="3">
        <f t="shared" si="153"/>
        <v>96.796128999999993</v>
      </c>
    </row>
    <row r="4883" spans="1:7" x14ac:dyDescent="0.3">
      <c r="A4883" t="s">
        <v>13039</v>
      </c>
      <c r="B4883" t="s">
        <v>9796</v>
      </c>
      <c r="C4883" t="s">
        <v>9797</v>
      </c>
      <c r="D4883" s="1" t="s">
        <v>427</v>
      </c>
      <c r="E4883" s="3">
        <v>44.15</v>
      </c>
      <c r="F4883" s="3">
        <f t="shared" si="152"/>
        <v>11.156705000000001</v>
      </c>
      <c r="G4883" s="3">
        <f t="shared" si="153"/>
        <v>55.306705000000001</v>
      </c>
    </row>
    <row r="4884" spans="1:7" x14ac:dyDescent="0.3">
      <c r="A4884" t="s">
        <v>13039</v>
      </c>
      <c r="B4884" t="s">
        <v>9798</v>
      </c>
      <c r="C4884" t="s">
        <v>9799</v>
      </c>
      <c r="D4884" s="1" t="s">
        <v>427</v>
      </c>
      <c r="E4884" s="3">
        <v>76.239999999999995</v>
      </c>
      <c r="F4884" s="3">
        <f t="shared" si="152"/>
        <v>19.265848000000002</v>
      </c>
      <c r="G4884" s="3">
        <f t="shared" si="153"/>
        <v>95.505848</v>
      </c>
    </row>
    <row r="4885" spans="1:7" x14ac:dyDescent="0.3">
      <c r="A4885" t="s">
        <v>13039</v>
      </c>
      <c r="B4885" t="s">
        <v>9800</v>
      </c>
      <c r="C4885" t="s">
        <v>9801</v>
      </c>
      <c r="D4885" s="1" t="s">
        <v>427</v>
      </c>
      <c r="E4885" s="3">
        <v>90.76</v>
      </c>
      <c r="F4885" s="3">
        <f t="shared" si="152"/>
        <v>22.935052000000006</v>
      </c>
      <c r="G4885" s="3">
        <f t="shared" si="153"/>
        <v>113.695052</v>
      </c>
    </row>
    <row r="4886" spans="1:7" x14ac:dyDescent="0.3">
      <c r="A4886" t="s">
        <v>13039</v>
      </c>
      <c r="B4886" t="s">
        <v>9802</v>
      </c>
      <c r="C4886" t="s">
        <v>9803</v>
      </c>
      <c r="D4886" s="1" t="s">
        <v>427</v>
      </c>
      <c r="E4886" s="3">
        <v>105.27</v>
      </c>
      <c r="F4886" s="3">
        <f t="shared" si="152"/>
        <v>26.601729000000002</v>
      </c>
      <c r="G4886" s="3">
        <f t="shared" si="153"/>
        <v>131.87172899999999</v>
      </c>
    </row>
    <row r="4887" spans="1:7" x14ac:dyDescent="0.3">
      <c r="A4887" t="s">
        <v>13039</v>
      </c>
      <c r="B4887" t="s">
        <v>9804</v>
      </c>
      <c r="C4887" t="s">
        <v>9805</v>
      </c>
      <c r="D4887" s="1" t="s">
        <v>427</v>
      </c>
      <c r="E4887" s="3">
        <v>61.71</v>
      </c>
      <c r="F4887" s="3">
        <f t="shared" si="152"/>
        <v>15.594117000000002</v>
      </c>
      <c r="G4887" s="3">
        <f t="shared" si="153"/>
        <v>77.304117000000005</v>
      </c>
    </row>
    <row r="4888" spans="1:7" x14ac:dyDescent="0.3">
      <c r="A4888" t="s">
        <v>13039</v>
      </c>
      <c r="B4888" t="s">
        <v>9806</v>
      </c>
      <c r="C4888" t="s">
        <v>9807</v>
      </c>
      <c r="D4888" s="1" t="s">
        <v>427</v>
      </c>
      <c r="E4888" s="3">
        <v>6.97</v>
      </c>
      <c r="F4888" s="3">
        <f t="shared" si="152"/>
        <v>1.7613190000000001</v>
      </c>
      <c r="G4888" s="3">
        <f t="shared" si="153"/>
        <v>8.7313189999999992</v>
      </c>
    </row>
    <row r="4889" spans="1:7" x14ac:dyDescent="0.3">
      <c r="A4889" t="s">
        <v>13039</v>
      </c>
      <c r="B4889" t="s">
        <v>9808</v>
      </c>
      <c r="C4889" t="s">
        <v>9809</v>
      </c>
      <c r="D4889" s="1" t="s">
        <v>427</v>
      </c>
      <c r="E4889" s="3">
        <v>8.59</v>
      </c>
      <c r="F4889" s="3">
        <f t="shared" si="152"/>
        <v>2.1706930000000004</v>
      </c>
      <c r="G4889" s="3">
        <f t="shared" si="153"/>
        <v>10.760693</v>
      </c>
    </row>
    <row r="4890" spans="1:7" x14ac:dyDescent="0.3">
      <c r="A4890" t="s">
        <v>13039</v>
      </c>
      <c r="B4890" t="s">
        <v>9810</v>
      </c>
      <c r="C4890" t="s">
        <v>9811</v>
      </c>
      <c r="D4890" s="1" t="s">
        <v>38</v>
      </c>
      <c r="E4890" s="3">
        <v>6.19</v>
      </c>
      <c r="F4890" s="3">
        <f t="shared" si="152"/>
        <v>1.5642130000000003</v>
      </c>
      <c r="G4890" s="3">
        <f t="shared" si="153"/>
        <v>7.7542130000000009</v>
      </c>
    </row>
    <row r="4891" spans="1:7" x14ac:dyDescent="0.3">
      <c r="A4891" t="s">
        <v>13039</v>
      </c>
      <c r="B4891" t="s">
        <v>9812</v>
      </c>
      <c r="C4891" t="s">
        <v>9813</v>
      </c>
      <c r="D4891" s="1" t="s">
        <v>195</v>
      </c>
      <c r="E4891" s="3">
        <v>42.05</v>
      </c>
      <c r="F4891" s="3">
        <f t="shared" si="152"/>
        <v>10.626035</v>
      </c>
      <c r="G4891" s="3">
        <f t="shared" si="153"/>
        <v>52.676034999999999</v>
      </c>
    </row>
    <row r="4892" spans="1:7" x14ac:dyDescent="0.3">
      <c r="A4892" t="s">
        <v>13039</v>
      </c>
      <c r="B4892" t="s">
        <v>9814</v>
      </c>
      <c r="C4892" t="s">
        <v>9815</v>
      </c>
      <c r="D4892" s="1" t="s">
        <v>427</v>
      </c>
      <c r="E4892" s="3">
        <v>22.73</v>
      </c>
      <c r="F4892" s="3">
        <f t="shared" si="152"/>
        <v>5.7438710000000013</v>
      </c>
      <c r="G4892" s="3">
        <f t="shared" si="153"/>
        <v>28.473871000000003</v>
      </c>
    </row>
    <row r="4893" spans="1:7" x14ac:dyDescent="0.3">
      <c r="A4893" t="s">
        <v>13039</v>
      </c>
      <c r="B4893" t="s">
        <v>9816</v>
      </c>
      <c r="C4893" t="s">
        <v>9817</v>
      </c>
      <c r="D4893" s="1" t="s">
        <v>6421</v>
      </c>
      <c r="E4893" s="3">
        <v>271.23</v>
      </c>
      <c r="F4893" s="3">
        <f t="shared" si="152"/>
        <v>68.539821000000018</v>
      </c>
      <c r="G4893" s="3">
        <f t="shared" si="153"/>
        <v>339.76982100000004</v>
      </c>
    </row>
    <row r="4894" spans="1:7" x14ac:dyDescent="0.3">
      <c r="A4894" t="s">
        <v>13039</v>
      </c>
      <c r="B4894" t="s">
        <v>9818</v>
      </c>
      <c r="C4894" t="s">
        <v>9819</v>
      </c>
      <c r="D4894" s="1" t="s">
        <v>6421</v>
      </c>
      <c r="E4894" s="3">
        <v>515.9</v>
      </c>
      <c r="F4894" s="3">
        <f t="shared" si="152"/>
        <v>130.36793</v>
      </c>
      <c r="G4894" s="3">
        <f t="shared" si="153"/>
        <v>646.26792999999998</v>
      </c>
    </row>
    <row r="4895" spans="1:7" x14ac:dyDescent="0.3">
      <c r="A4895" t="s">
        <v>13039</v>
      </c>
      <c r="B4895" t="s">
        <v>9820</v>
      </c>
      <c r="C4895" t="s">
        <v>9821</v>
      </c>
      <c r="D4895" s="1" t="s">
        <v>6421</v>
      </c>
      <c r="E4895" s="3">
        <v>344.91</v>
      </c>
      <c r="F4895" s="3">
        <f t="shared" si="152"/>
        <v>87.158757000000023</v>
      </c>
      <c r="G4895" s="3">
        <f t="shared" si="153"/>
        <v>432.06875700000006</v>
      </c>
    </row>
    <row r="4896" spans="1:7" x14ac:dyDescent="0.3">
      <c r="A4896" t="s">
        <v>13039</v>
      </c>
      <c r="B4896" t="s">
        <v>9822</v>
      </c>
      <c r="C4896" t="s">
        <v>9823</v>
      </c>
      <c r="D4896" s="1" t="s">
        <v>427</v>
      </c>
      <c r="E4896" s="3">
        <v>88</v>
      </c>
      <c r="F4896" s="3">
        <f t="shared" si="152"/>
        <v>22.237600000000004</v>
      </c>
      <c r="G4896" s="3">
        <f t="shared" si="153"/>
        <v>110.2376</v>
      </c>
    </row>
    <row r="4897" spans="1:7" x14ac:dyDescent="0.3">
      <c r="A4897" t="s">
        <v>13039</v>
      </c>
      <c r="B4897" t="s">
        <v>9824</v>
      </c>
      <c r="C4897" t="s">
        <v>9825</v>
      </c>
      <c r="D4897" s="1" t="s">
        <v>2904</v>
      </c>
      <c r="E4897" s="3">
        <v>5.13</v>
      </c>
      <c r="F4897" s="3">
        <f t="shared" si="152"/>
        <v>1.2963510000000003</v>
      </c>
      <c r="G4897" s="3">
        <f t="shared" si="153"/>
        <v>6.4263510000000004</v>
      </c>
    </row>
    <row r="4898" spans="1:7" x14ac:dyDescent="0.3">
      <c r="A4898" t="s">
        <v>13039</v>
      </c>
      <c r="B4898" t="s">
        <v>9826</v>
      </c>
      <c r="C4898" t="s">
        <v>9827</v>
      </c>
      <c r="D4898" s="1" t="s">
        <v>427</v>
      </c>
      <c r="E4898" s="3">
        <v>42.39</v>
      </c>
      <c r="F4898" s="3">
        <f t="shared" si="152"/>
        <v>10.711953000000001</v>
      </c>
      <c r="G4898" s="3">
        <f t="shared" si="153"/>
        <v>53.101953000000002</v>
      </c>
    </row>
    <row r="4899" spans="1:7" x14ac:dyDescent="0.3">
      <c r="A4899" t="s">
        <v>13039</v>
      </c>
      <c r="B4899" t="s">
        <v>9828</v>
      </c>
      <c r="C4899" t="s">
        <v>9829</v>
      </c>
      <c r="D4899" s="1" t="s">
        <v>2904</v>
      </c>
      <c r="E4899" s="3">
        <v>4.42</v>
      </c>
      <c r="F4899" s="3">
        <f t="shared" si="152"/>
        <v>1.1169340000000001</v>
      </c>
      <c r="G4899" s="3">
        <f t="shared" si="153"/>
        <v>5.5369340000000005</v>
      </c>
    </row>
    <row r="4900" spans="1:7" x14ac:dyDescent="0.3">
      <c r="A4900" t="s">
        <v>13039</v>
      </c>
      <c r="B4900" t="s">
        <v>9830</v>
      </c>
      <c r="C4900" t="s">
        <v>9831</v>
      </c>
      <c r="D4900" s="1" t="s">
        <v>427</v>
      </c>
      <c r="E4900" s="3">
        <v>18.05</v>
      </c>
      <c r="F4900" s="3">
        <f t="shared" si="152"/>
        <v>4.5612350000000008</v>
      </c>
      <c r="G4900" s="3">
        <f t="shared" si="153"/>
        <v>22.611235000000001</v>
      </c>
    </row>
    <row r="4901" spans="1:7" x14ac:dyDescent="0.3">
      <c r="A4901" t="s">
        <v>13039</v>
      </c>
      <c r="B4901" t="s">
        <v>9832</v>
      </c>
      <c r="C4901" t="s">
        <v>9833</v>
      </c>
      <c r="D4901" s="1" t="s">
        <v>195</v>
      </c>
      <c r="E4901" s="3">
        <v>8.26</v>
      </c>
      <c r="F4901" s="3">
        <f t="shared" si="152"/>
        <v>2.0873020000000002</v>
      </c>
      <c r="G4901" s="3">
        <f t="shared" si="153"/>
        <v>10.347301999999999</v>
      </c>
    </row>
    <row r="4902" spans="1:7" x14ac:dyDescent="0.3">
      <c r="A4902" t="s">
        <v>13039</v>
      </c>
      <c r="B4902" t="s">
        <v>9834</v>
      </c>
      <c r="C4902" t="s">
        <v>9835</v>
      </c>
      <c r="D4902" s="1" t="s">
        <v>427</v>
      </c>
      <c r="E4902" s="3">
        <v>1828.61</v>
      </c>
      <c r="F4902" s="3">
        <f t="shared" si="152"/>
        <v>462.08974700000005</v>
      </c>
      <c r="G4902" s="3">
        <f t="shared" si="153"/>
        <v>2290.6997470000001</v>
      </c>
    </row>
    <row r="4903" spans="1:7" x14ac:dyDescent="0.3">
      <c r="A4903" t="s">
        <v>13039</v>
      </c>
      <c r="B4903" t="s">
        <v>9836</v>
      </c>
      <c r="C4903" t="s">
        <v>9837</v>
      </c>
      <c r="D4903" s="1" t="s">
        <v>427</v>
      </c>
      <c r="E4903" s="3">
        <v>48.17</v>
      </c>
      <c r="F4903" s="3">
        <f t="shared" si="152"/>
        <v>12.172559000000001</v>
      </c>
      <c r="G4903" s="3">
        <f t="shared" si="153"/>
        <v>60.342559000000001</v>
      </c>
    </row>
    <row r="4904" spans="1:7" x14ac:dyDescent="0.3">
      <c r="A4904" t="s">
        <v>13039</v>
      </c>
      <c r="B4904" t="s">
        <v>9838</v>
      </c>
      <c r="C4904" t="s">
        <v>9839</v>
      </c>
      <c r="D4904" s="1" t="s">
        <v>427</v>
      </c>
      <c r="E4904" s="3">
        <v>40.14</v>
      </c>
      <c r="F4904" s="3">
        <f t="shared" si="152"/>
        <v>10.143378000000002</v>
      </c>
      <c r="G4904" s="3">
        <f t="shared" si="153"/>
        <v>50.283377999999999</v>
      </c>
    </row>
    <row r="4905" spans="1:7" x14ac:dyDescent="0.3">
      <c r="A4905" t="s">
        <v>13039</v>
      </c>
      <c r="B4905" t="s">
        <v>9840</v>
      </c>
      <c r="C4905" t="s">
        <v>9841</v>
      </c>
      <c r="D4905" s="1" t="s">
        <v>427</v>
      </c>
      <c r="E4905" s="3">
        <v>24.51</v>
      </c>
      <c r="F4905" s="3">
        <f t="shared" si="152"/>
        <v>6.193677000000001</v>
      </c>
      <c r="G4905" s="3">
        <f t="shared" si="153"/>
        <v>30.703677000000003</v>
      </c>
    </row>
    <row r="4906" spans="1:7" x14ac:dyDescent="0.3">
      <c r="A4906" t="s">
        <v>13039</v>
      </c>
      <c r="B4906" t="s">
        <v>9842</v>
      </c>
      <c r="C4906" t="s">
        <v>9843</v>
      </c>
      <c r="D4906" s="1" t="s">
        <v>427</v>
      </c>
      <c r="E4906" s="3">
        <v>36.78</v>
      </c>
      <c r="F4906" s="3">
        <f t="shared" si="152"/>
        <v>9.2943060000000024</v>
      </c>
      <c r="G4906" s="3">
        <f t="shared" si="153"/>
        <v>46.074306000000007</v>
      </c>
    </row>
    <row r="4907" spans="1:7" x14ac:dyDescent="0.3">
      <c r="A4907" t="s">
        <v>13039</v>
      </c>
      <c r="B4907" t="s">
        <v>9844</v>
      </c>
      <c r="C4907" t="s">
        <v>9845</v>
      </c>
      <c r="D4907" s="1" t="s">
        <v>195</v>
      </c>
      <c r="E4907" s="3">
        <v>47.81</v>
      </c>
      <c r="F4907" s="3">
        <f t="shared" si="152"/>
        <v>12.081587000000003</v>
      </c>
      <c r="G4907" s="3">
        <f t="shared" si="153"/>
        <v>59.891587000000001</v>
      </c>
    </row>
    <row r="4908" spans="1:7" x14ac:dyDescent="0.3">
      <c r="A4908" t="s">
        <v>13039</v>
      </c>
      <c r="B4908" t="s">
        <v>9846</v>
      </c>
      <c r="C4908" t="s">
        <v>9847</v>
      </c>
      <c r="D4908" s="1" t="s">
        <v>38</v>
      </c>
      <c r="E4908" s="3">
        <v>8.59</v>
      </c>
      <c r="F4908" s="3">
        <f t="shared" si="152"/>
        <v>2.1706930000000004</v>
      </c>
      <c r="G4908" s="3">
        <f t="shared" si="153"/>
        <v>10.760693</v>
      </c>
    </row>
    <row r="4909" spans="1:7" x14ac:dyDescent="0.3">
      <c r="A4909" t="s">
        <v>13039</v>
      </c>
      <c r="B4909" t="s">
        <v>9848</v>
      </c>
      <c r="C4909" t="s">
        <v>9849</v>
      </c>
      <c r="D4909" s="1" t="s">
        <v>38</v>
      </c>
      <c r="E4909" s="3">
        <v>10.220000000000001</v>
      </c>
      <c r="F4909" s="3">
        <f t="shared" si="152"/>
        <v>2.5825940000000007</v>
      </c>
      <c r="G4909" s="3">
        <f t="shared" si="153"/>
        <v>12.802594000000001</v>
      </c>
    </row>
    <row r="4910" spans="1:7" x14ac:dyDescent="0.3">
      <c r="A4910" t="s">
        <v>13039</v>
      </c>
      <c r="B4910" t="s">
        <v>9850</v>
      </c>
      <c r="C4910" t="s">
        <v>9851</v>
      </c>
      <c r="D4910" s="1" t="s">
        <v>2904</v>
      </c>
      <c r="E4910" s="3">
        <v>3.32</v>
      </c>
      <c r="F4910" s="3">
        <f t="shared" si="152"/>
        <v>0.83896400000000004</v>
      </c>
      <c r="G4910" s="3">
        <f t="shared" si="153"/>
        <v>4.1589640000000001</v>
      </c>
    </row>
    <row r="4911" spans="1:7" x14ac:dyDescent="0.3">
      <c r="A4911" t="s">
        <v>13039</v>
      </c>
      <c r="B4911" t="s">
        <v>9852</v>
      </c>
      <c r="C4911" t="s">
        <v>9853</v>
      </c>
      <c r="D4911" s="1" t="s">
        <v>2904</v>
      </c>
      <c r="E4911" s="3">
        <v>2.06</v>
      </c>
      <c r="F4911" s="3">
        <f t="shared" si="152"/>
        <v>0.52056200000000008</v>
      </c>
      <c r="G4911" s="3">
        <f t="shared" si="153"/>
        <v>2.580562</v>
      </c>
    </row>
    <row r="4912" spans="1:7" x14ac:dyDescent="0.3">
      <c r="A4912" t="s">
        <v>13039</v>
      </c>
      <c r="B4912" t="s">
        <v>9854</v>
      </c>
      <c r="C4912" t="s">
        <v>9855</v>
      </c>
      <c r="D4912" s="1" t="s">
        <v>2904</v>
      </c>
      <c r="E4912" s="3">
        <v>1.33</v>
      </c>
      <c r="F4912" s="3">
        <f t="shared" si="152"/>
        <v>0.33609100000000008</v>
      </c>
      <c r="G4912" s="3">
        <f t="shared" si="153"/>
        <v>1.6660910000000002</v>
      </c>
    </row>
    <row r="4913" spans="1:7" x14ac:dyDescent="0.3">
      <c r="A4913" t="s">
        <v>13039</v>
      </c>
      <c r="B4913" t="s">
        <v>9856</v>
      </c>
      <c r="C4913" t="s">
        <v>9857</v>
      </c>
      <c r="D4913" s="1" t="s">
        <v>2904</v>
      </c>
      <c r="E4913" s="3">
        <v>0.92</v>
      </c>
      <c r="F4913" s="3">
        <f t="shared" si="152"/>
        <v>0.23248400000000005</v>
      </c>
      <c r="G4913" s="3">
        <f t="shared" si="153"/>
        <v>1.1524840000000001</v>
      </c>
    </row>
    <row r="4914" spans="1:7" x14ac:dyDescent="0.3">
      <c r="A4914" t="s">
        <v>13039</v>
      </c>
      <c r="B4914" t="s">
        <v>9858</v>
      </c>
      <c r="C4914" t="s">
        <v>9859</v>
      </c>
      <c r="D4914" s="1" t="s">
        <v>2904</v>
      </c>
      <c r="E4914" s="3">
        <v>1.04</v>
      </c>
      <c r="F4914" s="3">
        <f t="shared" si="152"/>
        <v>0.26280800000000004</v>
      </c>
      <c r="G4914" s="3">
        <f t="shared" si="153"/>
        <v>1.3028080000000002</v>
      </c>
    </row>
    <row r="4915" spans="1:7" x14ac:dyDescent="0.3">
      <c r="A4915" t="s">
        <v>13039</v>
      </c>
      <c r="B4915" t="s">
        <v>9860</v>
      </c>
      <c r="C4915" t="s">
        <v>9861</v>
      </c>
      <c r="D4915" s="1" t="s">
        <v>2904</v>
      </c>
      <c r="E4915" s="3">
        <v>1.4</v>
      </c>
      <c r="F4915" s="3">
        <f t="shared" si="152"/>
        <v>0.35378000000000004</v>
      </c>
      <c r="G4915" s="3">
        <f t="shared" si="153"/>
        <v>1.7537799999999999</v>
      </c>
    </row>
    <row r="4916" spans="1:7" x14ac:dyDescent="0.3">
      <c r="A4916" t="s">
        <v>13039</v>
      </c>
      <c r="B4916" t="s">
        <v>9862</v>
      </c>
      <c r="C4916" t="s">
        <v>9863</v>
      </c>
      <c r="D4916" s="1" t="s">
        <v>2904</v>
      </c>
      <c r="E4916" s="3">
        <v>0.74</v>
      </c>
      <c r="F4916" s="3">
        <f t="shared" si="152"/>
        <v>0.18699800000000003</v>
      </c>
      <c r="G4916" s="3">
        <f t="shared" si="153"/>
        <v>0.92699799999999999</v>
      </c>
    </row>
    <row r="4917" spans="1:7" x14ac:dyDescent="0.3">
      <c r="A4917" t="s">
        <v>13039</v>
      </c>
      <c r="B4917" t="s">
        <v>9864</v>
      </c>
      <c r="C4917" t="s">
        <v>9865</v>
      </c>
      <c r="D4917" s="1" t="s">
        <v>2904</v>
      </c>
      <c r="E4917" s="3">
        <v>1.37</v>
      </c>
      <c r="F4917" s="3">
        <f t="shared" si="152"/>
        <v>0.34619900000000009</v>
      </c>
      <c r="G4917" s="3">
        <f t="shared" si="153"/>
        <v>1.7161990000000003</v>
      </c>
    </row>
    <row r="4918" spans="1:7" x14ac:dyDescent="0.3">
      <c r="A4918" t="s">
        <v>13039</v>
      </c>
      <c r="B4918" t="s">
        <v>9866</v>
      </c>
      <c r="C4918" t="s">
        <v>9867</v>
      </c>
      <c r="D4918" s="1" t="s">
        <v>2904</v>
      </c>
      <c r="E4918" s="3">
        <v>0.94</v>
      </c>
      <c r="F4918" s="3">
        <f t="shared" si="152"/>
        <v>0.23753800000000003</v>
      </c>
      <c r="G4918" s="3">
        <f t="shared" si="153"/>
        <v>1.177538</v>
      </c>
    </row>
    <row r="4919" spans="1:7" x14ac:dyDescent="0.3">
      <c r="A4919" t="s">
        <v>13039</v>
      </c>
      <c r="B4919" t="s">
        <v>9868</v>
      </c>
      <c r="C4919" t="s">
        <v>9869</v>
      </c>
      <c r="D4919" s="1" t="s">
        <v>2904</v>
      </c>
      <c r="E4919" s="3">
        <v>1.07</v>
      </c>
      <c r="F4919" s="3">
        <f t="shared" si="152"/>
        <v>0.27038900000000005</v>
      </c>
      <c r="G4919" s="3">
        <f t="shared" si="153"/>
        <v>1.3403890000000001</v>
      </c>
    </row>
    <row r="4920" spans="1:7" x14ac:dyDescent="0.3">
      <c r="A4920" t="s">
        <v>13039</v>
      </c>
      <c r="B4920" t="s">
        <v>9870</v>
      </c>
      <c r="C4920" t="s">
        <v>9871</v>
      </c>
      <c r="D4920" s="1" t="s">
        <v>2904</v>
      </c>
      <c r="E4920" s="3">
        <v>1.44</v>
      </c>
      <c r="F4920" s="3">
        <f t="shared" si="152"/>
        <v>0.36388800000000004</v>
      </c>
      <c r="G4920" s="3">
        <f t="shared" si="153"/>
        <v>1.8038879999999999</v>
      </c>
    </row>
    <row r="4921" spans="1:7" x14ac:dyDescent="0.3">
      <c r="A4921" t="s">
        <v>13039</v>
      </c>
      <c r="B4921" t="s">
        <v>9872</v>
      </c>
      <c r="C4921" t="s">
        <v>9873</v>
      </c>
      <c r="D4921" s="1" t="s">
        <v>427</v>
      </c>
      <c r="E4921" s="3">
        <v>113.89</v>
      </c>
      <c r="F4921" s="3">
        <f t="shared" si="152"/>
        <v>28.780003000000004</v>
      </c>
      <c r="G4921" s="3">
        <f t="shared" si="153"/>
        <v>142.67000300000001</v>
      </c>
    </row>
    <row r="4922" spans="1:7" x14ac:dyDescent="0.3">
      <c r="A4922" t="s">
        <v>13039</v>
      </c>
      <c r="B4922" t="s">
        <v>9874</v>
      </c>
      <c r="C4922" t="s">
        <v>9875</v>
      </c>
      <c r="D4922" s="1" t="s">
        <v>427</v>
      </c>
      <c r="E4922" s="3">
        <v>168.58</v>
      </c>
      <c r="F4922" s="3">
        <f t="shared" si="152"/>
        <v>42.600166000000009</v>
      </c>
      <c r="G4922" s="3">
        <f t="shared" si="153"/>
        <v>211.18016600000001</v>
      </c>
    </row>
    <row r="4923" spans="1:7" x14ac:dyDescent="0.3">
      <c r="A4923" t="s">
        <v>13039</v>
      </c>
      <c r="B4923" t="s">
        <v>9876</v>
      </c>
      <c r="C4923" t="s">
        <v>9877</v>
      </c>
      <c r="D4923" s="1" t="s">
        <v>2904</v>
      </c>
      <c r="E4923" s="3">
        <v>0.09</v>
      </c>
      <c r="F4923" s="3">
        <f t="shared" si="152"/>
        <v>2.2743000000000003E-2</v>
      </c>
      <c r="G4923" s="3">
        <f t="shared" si="153"/>
        <v>0.112743</v>
      </c>
    </row>
    <row r="4924" spans="1:7" x14ac:dyDescent="0.3">
      <c r="A4924" t="s">
        <v>13039</v>
      </c>
      <c r="B4924" t="s">
        <v>9878</v>
      </c>
      <c r="C4924" t="s">
        <v>9879</v>
      </c>
      <c r="D4924" s="1" t="s">
        <v>427</v>
      </c>
      <c r="E4924" s="3">
        <v>14.89</v>
      </c>
      <c r="F4924" s="3">
        <f t="shared" si="152"/>
        <v>3.7627030000000006</v>
      </c>
      <c r="G4924" s="3">
        <f t="shared" si="153"/>
        <v>18.652703000000002</v>
      </c>
    </row>
    <row r="4925" spans="1:7" x14ac:dyDescent="0.3">
      <c r="A4925" t="s">
        <v>13039</v>
      </c>
      <c r="B4925" t="s">
        <v>9880</v>
      </c>
      <c r="C4925" t="s">
        <v>9881</v>
      </c>
      <c r="D4925" s="1" t="s">
        <v>427</v>
      </c>
      <c r="E4925" s="3">
        <v>64.900000000000006</v>
      </c>
      <c r="F4925" s="3">
        <f t="shared" si="152"/>
        <v>16.400230000000004</v>
      </c>
      <c r="G4925" s="3">
        <f t="shared" si="153"/>
        <v>81.300230000000013</v>
      </c>
    </row>
    <row r="4926" spans="1:7" x14ac:dyDescent="0.3">
      <c r="A4926" t="s">
        <v>13039</v>
      </c>
      <c r="B4926" t="s">
        <v>9882</v>
      </c>
      <c r="C4926" t="s">
        <v>9883</v>
      </c>
      <c r="D4926" s="1" t="s">
        <v>427</v>
      </c>
      <c r="E4926" s="3">
        <v>104.75</v>
      </c>
      <c r="F4926" s="3">
        <f t="shared" si="152"/>
        <v>26.470325000000003</v>
      </c>
      <c r="G4926" s="3">
        <f t="shared" si="153"/>
        <v>131.220325</v>
      </c>
    </row>
    <row r="4927" spans="1:7" x14ac:dyDescent="0.3">
      <c r="A4927" t="s">
        <v>13039</v>
      </c>
      <c r="B4927" t="s">
        <v>9884</v>
      </c>
      <c r="C4927" t="s">
        <v>9885</v>
      </c>
      <c r="D4927" s="1" t="s">
        <v>427</v>
      </c>
      <c r="E4927" s="3">
        <v>82.74</v>
      </c>
      <c r="F4927" s="3">
        <f t="shared" si="152"/>
        <v>20.908398000000002</v>
      </c>
      <c r="G4927" s="3">
        <f t="shared" si="153"/>
        <v>103.648398</v>
      </c>
    </row>
    <row r="4928" spans="1:7" x14ac:dyDescent="0.3">
      <c r="A4928" t="s">
        <v>13039</v>
      </c>
      <c r="B4928" t="s">
        <v>9886</v>
      </c>
      <c r="C4928" t="s">
        <v>9887</v>
      </c>
      <c r="D4928" s="1" t="s">
        <v>427</v>
      </c>
      <c r="E4928" s="3">
        <v>69.69</v>
      </c>
      <c r="F4928" s="3">
        <f t="shared" si="152"/>
        <v>17.610663000000002</v>
      </c>
      <c r="G4928" s="3">
        <f t="shared" si="153"/>
        <v>87.300663</v>
      </c>
    </row>
    <row r="4929" spans="1:7" x14ac:dyDescent="0.3">
      <c r="A4929" t="s">
        <v>13039</v>
      </c>
      <c r="B4929" t="s">
        <v>9888</v>
      </c>
      <c r="C4929" t="s">
        <v>9889</v>
      </c>
      <c r="D4929" s="1" t="s">
        <v>427</v>
      </c>
      <c r="E4929" s="3">
        <v>61.24</v>
      </c>
      <c r="F4929" s="3">
        <f t="shared" si="152"/>
        <v>15.475348000000002</v>
      </c>
      <c r="G4929" s="3">
        <f t="shared" si="153"/>
        <v>76.715348000000006</v>
      </c>
    </row>
    <row r="4930" spans="1:7" x14ac:dyDescent="0.3">
      <c r="A4930" t="s">
        <v>13039</v>
      </c>
      <c r="B4930" t="s">
        <v>9890</v>
      </c>
      <c r="C4930" t="s">
        <v>9891</v>
      </c>
      <c r="D4930" s="1" t="s">
        <v>427</v>
      </c>
      <c r="E4930" s="3">
        <v>55.39</v>
      </c>
      <c r="F4930" s="3">
        <f t="shared" si="152"/>
        <v>13.997053000000003</v>
      </c>
      <c r="G4930" s="3">
        <f t="shared" si="153"/>
        <v>69.387053000000009</v>
      </c>
    </row>
    <row r="4931" spans="1:7" x14ac:dyDescent="0.3">
      <c r="A4931" t="s">
        <v>13039</v>
      </c>
      <c r="B4931" t="s">
        <v>9892</v>
      </c>
      <c r="C4931" t="s">
        <v>9893</v>
      </c>
      <c r="D4931" s="1" t="s">
        <v>427</v>
      </c>
      <c r="E4931" s="3">
        <v>51.27</v>
      </c>
      <c r="F4931" s="3">
        <f t="shared" si="152"/>
        <v>12.955929000000003</v>
      </c>
      <c r="G4931" s="3">
        <f t="shared" si="153"/>
        <v>64.225929000000008</v>
      </c>
    </row>
    <row r="4932" spans="1:7" x14ac:dyDescent="0.3">
      <c r="A4932" t="s">
        <v>13039</v>
      </c>
      <c r="B4932" t="s">
        <v>9894</v>
      </c>
      <c r="C4932" t="s">
        <v>9895</v>
      </c>
      <c r="D4932" s="1" t="s">
        <v>427</v>
      </c>
      <c r="E4932" s="3">
        <v>145.88</v>
      </c>
      <c r="F4932" s="3">
        <f t="shared" si="152"/>
        <v>36.863876000000005</v>
      </c>
      <c r="G4932" s="3">
        <f t="shared" si="153"/>
        <v>182.743876</v>
      </c>
    </row>
    <row r="4933" spans="1:7" x14ac:dyDescent="0.3">
      <c r="A4933" t="s">
        <v>13039</v>
      </c>
      <c r="B4933" t="s">
        <v>9896</v>
      </c>
      <c r="C4933" t="s">
        <v>9897</v>
      </c>
      <c r="D4933" s="1" t="s">
        <v>427</v>
      </c>
      <c r="E4933" s="3">
        <v>116.15</v>
      </c>
      <c r="F4933" s="3">
        <f t="shared" si="152"/>
        <v>29.351105000000004</v>
      </c>
      <c r="G4933" s="3">
        <f t="shared" si="153"/>
        <v>145.501105</v>
      </c>
    </row>
    <row r="4934" spans="1:7" x14ac:dyDescent="0.3">
      <c r="A4934" t="s">
        <v>13039</v>
      </c>
      <c r="B4934" t="s">
        <v>9898</v>
      </c>
      <c r="C4934" t="s">
        <v>9899</v>
      </c>
      <c r="D4934" s="1" t="s">
        <v>427</v>
      </c>
      <c r="E4934" s="3">
        <v>97.08</v>
      </c>
      <c r="F4934" s="3">
        <f t="shared" si="152"/>
        <v>24.532116000000002</v>
      </c>
      <c r="G4934" s="3">
        <f t="shared" si="153"/>
        <v>121.612116</v>
      </c>
    </row>
    <row r="4935" spans="1:7" x14ac:dyDescent="0.3">
      <c r="A4935" t="s">
        <v>13039</v>
      </c>
      <c r="B4935" t="s">
        <v>9900</v>
      </c>
      <c r="C4935" t="s">
        <v>9901</v>
      </c>
      <c r="D4935" s="1" t="s">
        <v>427</v>
      </c>
      <c r="E4935" s="3">
        <v>86.01</v>
      </c>
      <c r="F4935" s="3">
        <f t="shared" ref="F4935:F4998" si="154">+E4935*$F$4</f>
        <v>21.734727000000003</v>
      </c>
      <c r="G4935" s="3">
        <f t="shared" ref="G4935:G4998" si="155">+E4935+F4935</f>
        <v>107.74472700000001</v>
      </c>
    </row>
    <row r="4936" spans="1:7" x14ac:dyDescent="0.3">
      <c r="A4936" t="s">
        <v>13039</v>
      </c>
      <c r="B4936" t="s">
        <v>9902</v>
      </c>
      <c r="C4936" t="s">
        <v>9903</v>
      </c>
      <c r="D4936" s="1" t="s">
        <v>427</v>
      </c>
      <c r="E4936" s="3">
        <v>78.48</v>
      </c>
      <c r="F4936" s="3">
        <f t="shared" si="154"/>
        <v>19.831896000000004</v>
      </c>
      <c r="G4936" s="3">
        <f t="shared" si="155"/>
        <v>98.311896000000004</v>
      </c>
    </row>
    <row r="4937" spans="1:7" x14ac:dyDescent="0.3">
      <c r="A4937" t="s">
        <v>13039</v>
      </c>
      <c r="B4937" t="s">
        <v>9904</v>
      </c>
      <c r="C4937" t="s">
        <v>9905</v>
      </c>
      <c r="D4937" s="1" t="s">
        <v>427</v>
      </c>
      <c r="E4937" s="3">
        <v>73.16</v>
      </c>
      <c r="F4937" s="3">
        <f t="shared" si="154"/>
        <v>18.487532000000002</v>
      </c>
      <c r="G4937" s="3">
        <f t="shared" si="155"/>
        <v>91.647531999999998</v>
      </c>
    </row>
    <row r="4938" spans="1:7" x14ac:dyDescent="0.3">
      <c r="A4938" t="s">
        <v>13039</v>
      </c>
      <c r="B4938" t="s">
        <v>9906</v>
      </c>
      <c r="C4938" t="s">
        <v>9907</v>
      </c>
      <c r="D4938" s="1" t="s">
        <v>210</v>
      </c>
      <c r="E4938" s="3">
        <v>290.33999999999997</v>
      </c>
      <c r="F4938" s="3">
        <f t="shared" si="154"/>
        <v>73.368918000000008</v>
      </c>
      <c r="G4938" s="3">
        <f t="shared" si="155"/>
        <v>363.70891799999998</v>
      </c>
    </row>
    <row r="4939" spans="1:7" x14ac:dyDescent="0.3">
      <c r="A4939" t="s">
        <v>13039</v>
      </c>
      <c r="B4939" t="s">
        <v>9908</v>
      </c>
      <c r="C4939" t="s">
        <v>9909</v>
      </c>
      <c r="D4939" s="1" t="s">
        <v>210</v>
      </c>
      <c r="E4939" s="3">
        <v>213.7</v>
      </c>
      <c r="F4939" s="3">
        <f t="shared" si="154"/>
        <v>54.001990000000006</v>
      </c>
      <c r="G4939" s="3">
        <f t="shared" si="155"/>
        <v>267.70199000000002</v>
      </c>
    </row>
    <row r="4940" spans="1:7" x14ac:dyDescent="0.3">
      <c r="A4940" t="s">
        <v>13039</v>
      </c>
      <c r="B4940" t="s">
        <v>9910</v>
      </c>
      <c r="C4940" t="s">
        <v>9911</v>
      </c>
      <c r="D4940" s="1" t="s">
        <v>427</v>
      </c>
      <c r="E4940" s="3">
        <v>21.63</v>
      </c>
      <c r="F4940" s="3">
        <f t="shared" si="154"/>
        <v>5.4659010000000006</v>
      </c>
      <c r="G4940" s="3">
        <f t="shared" si="155"/>
        <v>27.095900999999998</v>
      </c>
    </row>
    <row r="4941" spans="1:7" x14ac:dyDescent="0.3">
      <c r="A4941" t="s">
        <v>13039</v>
      </c>
      <c r="B4941" t="s">
        <v>9912</v>
      </c>
      <c r="C4941" t="s">
        <v>9913</v>
      </c>
      <c r="D4941" s="1" t="s">
        <v>195</v>
      </c>
      <c r="E4941" s="3">
        <v>1.44</v>
      </c>
      <c r="F4941" s="3">
        <f t="shared" si="154"/>
        <v>0.36388800000000004</v>
      </c>
      <c r="G4941" s="3">
        <f t="shared" si="155"/>
        <v>1.8038879999999999</v>
      </c>
    </row>
    <row r="4942" spans="1:7" x14ac:dyDescent="0.3">
      <c r="A4942" t="s">
        <v>13039</v>
      </c>
      <c r="B4942" t="s">
        <v>9914</v>
      </c>
      <c r="C4942" t="s">
        <v>9915</v>
      </c>
      <c r="D4942" s="1" t="s">
        <v>2904</v>
      </c>
      <c r="E4942" s="3">
        <v>9.81</v>
      </c>
      <c r="F4942" s="3">
        <f t="shared" si="154"/>
        <v>2.4789870000000005</v>
      </c>
      <c r="G4942" s="3">
        <f t="shared" si="155"/>
        <v>12.288987000000001</v>
      </c>
    </row>
    <row r="4943" spans="1:7" x14ac:dyDescent="0.3">
      <c r="A4943" t="s">
        <v>13039</v>
      </c>
      <c r="B4943" t="s">
        <v>9916</v>
      </c>
      <c r="C4943" t="s">
        <v>9917</v>
      </c>
      <c r="D4943" s="1" t="s">
        <v>8767</v>
      </c>
      <c r="E4943" s="3">
        <v>260.62</v>
      </c>
      <c r="F4943" s="3">
        <f t="shared" si="154"/>
        <v>65.858674000000008</v>
      </c>
      <c r="G4943" s="3">
        <f t="shared" si="155"/>
        <v>326.47867400000001</v>
      </c>
    </row>
    <row r="4944" spans="1:7" x14ac:dyDescent="0.3">
      <c r="A4944" t="s">
        <v>13039</v>
      </c>
      <c r="B4944" t="s">
        <v>9918</v>
      </c>
      <c r="C4944" t="s">
        <v>9919</v>
      </c>
      <c r="D4944" s="1" t="s">
        <v>8767</v>
      </c>
      <c r="E4944" s="3">
        <v>205.13</v>
      </c>
      <c r="F4944" s="3">
        <f t="shared" si="154"/>
        <v>51.836351000000008</v>
      </c>
      <c r="G4944" s="3">
        <f t="shared" si="155"/>
        <v>256.96635100000003</v>
      </c>
    </row>
    <row r="4945" spans="1:7" x14ac:dyDescent="0.3">
      <c r="A4945" t="s">
        <v>13039</v>
      </c>
      <c r="B4945" t="s">
        <v>9920</v>
      </c>
      <c r="C4945" t="s">
        <v>9921</v>
      </c>
      <c r="D4945" s="1" t="s">
        <v>8767</v>
      </c>
      <c r="E4945" s="3">
        <v>91.56</v>
      </c>
      <c r="F4945" s="3">
        <f t="shared" si="154"/>
        <v>23.137212000000005</v>
      </c>
      <c r="G4945" s="3">
        <f t="shared" si="155"/>
        <v>114.69721200000001</v>
      </c>
    </row>
    <row r="4946" spans="1:7" x14ac:dyDescent="0.3">
      <c r="A4946" t="s">
        <v>13039</v>
      </c>
      <c r="B4946" t="s">
        <v>9922</v>
      </c>
      <c r="C4946" t="s">
        <v>9923</v>
      </c>
      <c r="D4946" s="1" t="s">
        <v>195</v>
      </c>
      <c r="E4946" s="3">
        <v>4.33</v>
      </c>
      <c r="F4946" s="3">
        <f t="shared" si="154"/>
        <v>1.0941910000000001</v>
      </c>
      <c r="G4946" s="3">
        <f t="shared" si="155"/>
        <v>5.4241910000000004</v>
      </c>
    </row>
    <row r="4947" spans="1:7" x14ac:dyDescent="0.3">
      <c r="A4947" t="s">
        <v>13039</v>
      </c>
      <c r="B4947" t="s">
        <v>9924</v>
      </c>
      <c r="C4947" t="s">
        <v>9925</v>
      </c>
      <c r="D4947" s="1" t="s">
        <v>195</v>
      </c>
      <c r="E4947" s="3">
        <v>0.72</v>
      </c>
      <c r="F4947" s="3">
        <f t="shared" si="154"/>
        <v>0.18194400000000002</v>
      </c>
      <c r="G4947" s="3">
        <f t="shared" si="155"/>
        <v>0.90194399999999997</v>
      </c>
    </row>
    <row r="4948" spans="1:7" x14ac:dyDescent="0.3">
      <c r="A4948" t="s">
        <v>13039</v>
      </c>
      <c r="B4948" t="s">
        <v>9926</v>
      </c>
      <c r="C4948" t="s">
        <v>9927</v>
      </c>
      <c r="D4948" s="1" t="s">
        <v>195</v>
      </c>
      <c r="E4948" s="3">
        <v>4.33</v>
      </c>
      <c r="F4948" s="3">
        <f t="shared" si="154"/>
        <v>1.0941910000000001</v>
      </c>
      <c r="G4948" s="3">
        <f t="shared" si="155"/>
        <v>5.4241910000000004</v>
      </c>
    </row>
    <row r="4949" spans="1:7" x14ac:dyDescent="0.3">
      <c r="A4949" t="s">
        <v>13039</v>
      </c>
      <c r="B4949" t="s">
        <v>9928</v>
      </c>
      <c r="C4949" t="s">
        <v>9929</v>
      </c>
      <c r="D4949" s="1" t="s">
        <v>195</v>
      </c>
      <c r="E4949" s="3">
        <v>1.08</v>
      </c>
      <c r="F4949" s="3">
        <f t="shared" si="154"/>
        <v>0.27291600000000005</v>
      </c>
      <c r="G4949" s="3">
        <f t="shared" si="155"/>
        <v>1.352916</v>
      </c>
    </row>
    <row r="4950" spans="1:7" x14ac:dyDescent="0.3">
      <c r="A4950" t="s">
        <v>13039</v>
      </c>
      <c r="B4950" t="s">
        <v>9930</v>
      </c>
      <c r="C4950" t="s">
        <v>9931</v>
      </c>
      <c r="D4950" s="1" t="s">
        <v>38</v>
      </c>
      <c r="E4950" s="3">
        <v>4.33</v>
      </c>
      <c r="F4950" s="3">
        <f t="shared" si="154"/>
        <v>1.0941910000000001</v>
      </c>
      <c r="G4950" s="3">
        <f t="shared" si="155"/>
        <v>5.4241910000000004</v>
      </c>
    </row>
    <row r="4951" spans="1:7" x14ac:dyDescent="0.3">
      <c r="A4951" t="s">
        <v>13039</v>
      </c>
      <c r="B4951" t="s">
        <v>9932</v>
      </c>
      <c r="C4951" t="s">
        <v>9933</v>
      </c>
      <c r="D4951" s="1" t="s">
        <v>38</v>
      </c>
      <c r="E4951" s="3">
        <v>2.7</v>
      </c>
      <c r="F4951" s="3">
        <f t="shared" si="154"/>
        <v>0.68229000000000017</v>
      </c>
      <c r="G4951" s="3">
        <f t="shared" si="155"/>
        <v>3.3822900000000002</v>
      </c>
    </row>
    <row r="4952" spans="1:7" x14ac:dyDescent="0.3">
      <c r="A4952" t="s">
        <v>13039</v>
      </c>
      <c r="B4952" t="s">
        <v>9934</v>
      </c>
      <c r="C4952" t="s">
        <v>9935</v>
      </c>
      <c r="D4952" s="1" t="s">
        <v>195</v>
      </c>
      <c r="E4952" s="3">
        <v>71.290000000000006</v>
      </c>
      <c r="F4952" s="3">
        <f t="shared" si="154"/>
        <v>18.014983000000004</v>
      </c>
      <c r="G4952" s="3">
        <f t="shared" si="155"/>
        <v>89.304983000000007</v>
      </c>
    </row>
    <row r="4953" spans="1:7" x14ac:dyDescent="0.3">
      <c r="A4953" t="s">
        <v>13039</v>
      </c>
      <c r="B4953" t="s">
        <v>9936</v>
      </c>
      <c r="C4953" t="s">
        <v>9937</v>
      </c>
      <c r="D4953" s="1" t="s">
        <v>195</v>
      </c>
      <c r="E4953" s="3">
        <v>23.51</v>
      </c>
      <c r="F4953" s="3">
        <f t="shared" si="154"/>
        <v>5.9409770000000011</v>
      </c>
      <c r="G4953" s="3">
        <f t="shared" si="155"/>
        <v>29.450977000000002</v>
      </c>
    </row>
    <row r="4954" spans="1:7" x14ac:dyDescent="0.3">
      <c r="A4954" t="s">
        <v>13039</v>
      </c>
      <c r="B4954" t="s">
        <v>9938</v>
      </c>
      <c r="C4954" t="s">
        <v>9939</v>
      </c>
      <c r="D4954" s="1" t="s">
        <v>195</v>
      </c>
      <c r="E4954" s="3">
        <v>2.98</v>
      </c>
      <c r="F4954" s="3">
        <f t="shared" si="154"/>
        <v>0.7530460000000001</v>
      </c>
      <c r="G4954" s="3">
        <f t="shared" si="155"/>
        <v>3.7330459999999999</v>
      </c>
    </row>
    <row r="4955" spans="1:7" x14ac:dyDescent="0.3">
      <c r="A4955" t="s">
        <v>13039</v>
      </c>
      <c r="B4955" t="s">
        <v>9940</v>
      </c>
      <c r="C4955" t="s">
        <v>9941</v>
      </c>
      <c r="D4955" s="1" t="s">
        <v>195</v>
      </c>
      <c r="E4955" s="3">
        <v>65.62</v>
      </c>
      <c r="F4955" s="3">
        <f t="shared" si="154"/>
        <v>16.582174000000002</v>
      </c>
      <c r="G4955" s="3">
        <f t="shared" si="155"/>
        <v>82.202174000000014</v>
      </c>
    </row>
    <row r="4956" spans="1:7" x14ac:dyDescent="0.3">
      <c r="A4956" t="s">
        <v>13039</v>
      </c>
      <c r="B4956" t="s">
        <v>9942</v>
      </c>
      <c r="C4956" t="s">
        <v>9943</v>
      </c>
      <c r="D4956" s="1" t="s">
        <v>195</v>
      </c>
      <c r="E4956" s="3">
        <v>45.58</v>
      </c>
      <c r="F4956" s="3">
        <f t="shared" si="154"/>
        <v>11.518066000000001</v>
      </c>
      <c r="G4956" s="3">
        <f t="shared" si="155"/>
        <v>57.098066000000003</v>
      </c>
    </row>
    <row r="4957" spans="1:7" x14ac:dyDescent="0.3">
      <c r="A4957" t="s">
        <v>13039</v>
      </c>
      <c r="B4957" t="s">
        <v>9944</v>
      </c>
      <c r="C4957" t="s">
        <v>9945</v>
      </c>
      <c r="D4957" s="1" t="s">
        <v>38</v>
      </c>
      <c r="E4957" s="3">
        <v>7.28</v>
      </c>
      <c r="F4957" s="3">
        <f t="shared" si="154"/>
        <v>1.8396560000000004</v>
      </c>
      <c r="G4957" s="3">
        <f t="shared" si="155"/>
        <v>9.1196560000000009</v>
      </c>
    </row>
    <row r="4958" spans="1:7" x14ac:dyDescent="0.3">
      <c r="A4958" t="s">
        <v>13039</v>
      </c>
      <c r="B4958" t="s">
        <v>9946</v>
      </c>
      <c r="C4958" t="s">
        <v>9947</v>
      </c>
      <c r="D4958" s="1" t="s">
        <v>195</v>
      </c>
      <c r="E4958" s="3">
        <v>4.3499999999999996</v>
      </c>
      <c r="F4958" s="3">
        <f t="shared" si="154"/>
        <v>1.099245</v>
      </c>
      <c r="G4958" s="3">
        <f t="shared" si="155"/>
        <v>5.4492449999999995</v>
      </c>
    </row>
    <row r="4959" spans="1:7" x14ac:dyDescent="0.3">
      <c r="A4959" t="s">
        <v>13039</v>
      </c>
      <c r="B4959" t="s">
        <v>9948</v>
      </c>
      <c r="C4959" t="s">
        <v>9949</v>
      </c>
      <c r="D4959" s="1" t="s">
        <v>427</v>
      </c>
      <c r="E4959" s="3">
        <v>21.63</v>
      </c>
      <c r="F4959" s="3">
        <f t="shared" si="154"/>
        <v>5.4659010000000006</v>
      </c>
      <c r="G4959" s="3">
        <f t="shared" si="155"/>
        <v>27.095900999999998</v>
      </c>
    </row>
    <row r="4960" spans="1:7" x14ac:dyDescent="0.3">
      <c r="A4960" t="s">
        <v>13039</v>
      </c>
      <c r="B4960" t="s">
        <v>9950</v>
      </c>
      <c r="C4960" t="s">
        <v>9951</v>
      </c>
      <c r="D4960" s="1" t="s">
        <v>2904</v>
      </c>
      <c r="E4960" s="3">
        <v>4.33</v>
      </c>
      <c r="F4960" s="3">
        <f t="shared" si="154"/>
        <v>1.0941910000000001</v>
      </c>
      <c r="G4960" s="3">
        <f t="shared" si="155"/>
        <v>5.4241910000000004</v>
      </c>
    </row>
    <row r="4961" spans="1:7" x14ac:dyDescent="0.3">
      <c r="A4961" t="s">
        <v>13039</v>
      </c>
      <c r="B4961" t="s">
        <v>9952</v>
      </c>
      <c r="C4961" t="s">
        <v>9953</v>
      </c>
      <c r="D4961" s="1" t="s">
        <v>2904</v>
      </c>
      <c r="E4961" s="3">
        <v>65.61</v>
      </c>
      <c r="F4961" s="3">
        <f t="shared" si="154"/>
        <v>16.579647000000001</v>
      </c>
      <c r="G4961" s="3">
        <f t="shared" si="155"/>
        <v>82.189647000000008</v>
      </c>
    </row>
    <row r="4962" spans="1:7" x14ac:dyDescent="0.3">
      <c r="A4962" t="s">
        <v>13039</v>
      </c>
      <c r="B4962" t="s">
        <v>9954</v>
      </c>
      <c r="C4962" t="s">
        <v>9955</v>
      </c>
      <c r="D4962" s="1" t="s">
        <v>2904</v>
      </c>
      <c r="E4962" s="3">
        <v>45.57</v>
      </c>
      <c r="F4962" s="3">
        <f t="shared" si="154"/>
        <v>11.515539000000002</v>
      </c>
      <c r="G4962" s="3">
        <f t="shared" si="155"/>
        <v>57.085539000000004</v>
      </c>
    </row>
    <row r="4963" spans="1:7" x14ac:dyDescent="0.3">
      <c r="A4963" t="s">
        <v>13039</v>
      </c>
      <c r="B4963" t="s">
        <v>9956</v>
      </c>
      <c r="C4963" t="s">
        <v>9957</v>
      </c>
      <c r="D4963" s="1" t="s">
        <v>195</v>
      </c>
      <c r="E4963" s="3">
        <v>7.28</v>
      </c>
      <c r="F4963" s="3">
        <f t="shared" si="154"/>
        <v>1.8396560000000004</v>
      </c>
      <c r="G4963" s="3">
        <f t="shared" si="155"/>
        <v>9.1196560000000009</v>
      </c>
    </row>
    <row r="4964" spans="1:7" x14ac:dyDescent="0.3">
      <c r="A4964" t="s">
        <v>13039</v>
      </c>
      <c r="B4964" t="s">
        <v>9958</v>
      </c>
      <c r="C4964" t="s">
        <v>9959</v>
      </c>
      <c r="D4964" s="1" t="s">
        <v>195</v>
      </c>
      <c r="E4964" s="3">
        <v>7.28</v>
      </c>
      <c r="F4964" s="3">
        <f t="shared" si="154"/>
        <v>1.8396560000000004</v>
      </c>
      <c r="G4964" s="3">
        <f t="shared" si="155"/>
        <v>9.1196560000000009</v>
      </c>
    </row>
    <row r="4965" spans="1:7" x14ac:dyDescent="0.3">
      <c r="A4965" t="s">
        <v>13039</v>
      </c>
      <c r="B4965" t="s">
        <v>9960</v>
      </c>
      <c r="C4965" t="s">
        <v>9961</v>
      </c>
      <c r="D4965" s="1" t="s">
        <v>195</v>
      </c>
      <c r="E4965" s="3">
        <v>29.92</v>
      </c>
      <c r="F4965" s="3">
        <f t="shared" si="154"/>
        <v>7.5607840000000017</v>
      </c>
      <c r="G4965" s="3">
        <f t="shared" si="155"/>
        <v>37.480784</v>
      </c>
    </row>
    <row r="4966" spans="1:7" x14ac:dyDescent="0.3">
      <c r="A4966" t="s">
        <v>13039</v>
      </c>
      <c r="B4966" t="s">
        <v>9962</v>
      </c>
      <c r="C4966" t="s">
        <v>9963</v>
      </c>
      <c r="D4966" s="1" t="s">
        <v>2904</v>
      </c>
      <c r="E4966" s="3">
        <v>12.12</v>
      </c>
      <c r="F4966" s="3">
        <f t="shared" si="154"/>
        <v>3.0627240000000002</v>
      </c>
      <c r="G4966" s="3">
        <f t="shared" si="155"/>
        <v>15.182724</v>
      </c>
    </row>
    <row r="4967" spans="1:7" x14ac:dyDescent="0.3">
      <c r="A4967" t="s">
        <v>13039</v>
      </c>
      <c r="B4967" t="s">
        <v>9964</v>
      </c>
      <c r="C4967" t="s">
        <v>9965</v>
      </c>
      <c r="D4967" s="1" t="s">
        <v>427</v>
      </c>
      <c r="E4967" s="3">
        <v>0</v>
      </c>
      <c r="F4967" s="3">
        <f t="shared" si="154"/>
        <v>0</v>
      </c>
      <c r="G4967" s="3">
        <f t="shared" si="155"/>
        <v>0</v>
      </c>
    </row>
    <row r="4968" spans="1:7" x14ac:dyDescent="0.3">
      <c r="A4968" t="s">
        <v>13039</v>
      </c>
      <c r="B4968" t="s">
        <v>9966</v>
      </c>
      <c r="C4968" t="s">
        <v>9967</v>
      </c>
      <c r="D4968" s="1" t="s">
        <v>427</v>
      </c>
      <c r="E4968" s="3">
        <v>0</v>
      </c>
      <c r="F4968" s="3">
        <f t="shared" si="154"/>
        <v>0</v>
      </c>
      <c r="G4968" s="3">
        <f t="shared" si="155"/>
        <v>0</v>
      </c>
    </row>
    <row r="4969" spans="1:7" x14ac:dyDescent="0.3">
      <c r="A4969" t="s">
        <v>13039</v>
      </c>
      <c r="B4969" t="s">
        <v>9968</v>
      </c>
      <c r="C4969" t="s">
        <v>9969</v>
      </c>
      <c r="D4969" s="1" t="s">
        <v>427</v>
      </c>
      <c r="E4969" s="3">
        <v>441.61</v>
      </c>
      <c r="F4969" s="3">
        <f t="shared" si="154"/>
        <v>111.59484700000002</v>
      </c>
      <c r="G4969" s="3">
        <f t="shared" si="155"/>
        <v>553.20484699999997</v>
      </c>
    </row>
    <row r="4970" spans="1:7" x14ac:dyDescent="0.3">
      <c r="A4970" t="s">
        <v>13039</v>
      </c>
      <c r="B4970" t="s">
        <v>9970</v>
      </c>
      <c r="C4970" t="s">
        <v>9971</v>
      </c>
      <c r="D4970" s="1" t="s">
        <v>427</v>
      </c>
      <c r="E4970" s="3">
        <v>188.86</v>
      </c>
      <c r="F4970" s="3">
        <f t="shared" si="154"/>
        <v>47.724922000000014</v>
      </c>
      <c r="G4970" s="3">
        <f t="shared" si="155"/>
        <v>236.58492200000003</v>
      </c>
    </row>
    <row r="4971" spans="1:7" x14ac:dyDescent="0.3">
      <c r="A4971" t="s">
        <v>13039</v>
      </c>
      <c r="B4971" t="s">
        <v>9972</v>
      </c>
      <c r="C4971" t="s">
        <v>9973</v>
      </c>
      <c r="D4971" s="1" t="s">
        <v>427</v>
      </c>
      <c r="E4971" s="3">
        <v>110.85</v>
      </c>
      <c r="F4971" s="3">
        <f t="shared" si="154"/>
        <v>28.011795000000003</v>
      </c>
      <c r="G4971" s="3">
        <f t="shared" si="155"/>
        <v>138.861795</v>
      </c>
    </row>
    <row r="4972" spans="1:7" x14ac:dyDescent="0.3">
      <c r="A4972" t="s">
        <v>13039</v>
      </c>
      <c r="B4972" t="s">
        <v>9974</v>
      </c>
      <c r="C4972" t="s">
        <v>9975</v>
      </c>
      <c r="D4972" s="1" t="s">
        <v>427</v>
      </c>
      <c r="E4972" s="3">
        <v>339.94</v>
      </c>
      <c r="F4972" s="3">
        <f t="shared" si="154"/>
        <v>85.902838000000017</v>
      </c>
      <c r="G4972" s="3">
        <f t="shared" si="155"/>
        <v>425.84283800000003</v>
      </c>
    </row>
    <row r="4973" spans="1:7" x14ac:dyDescent="0.3">
      <c r="A4973" t="s">
        <v>13039</v>
      </c>
      <c r="B4973" t="s">
        <v>9976</v>
      </c>
      <c r="C4973" t="s">
        <v>9977</v>
      </c>
      <c r="D4973" s="1" t="s">
        <v>427</v>
      </c>
      <c r="E4973" s="3">
        <v>72.84</v>
      </c>
      <c r="F4973" s="3">
        <f t="shared" si="154"/>
        <v>18.406668000000003</v>
      </c>
      <c r="G4973" s="3">
        <f t="shared" si="155"/>
        <v>91.246668</v>
      </c>
    </row>
    <row r="4974" spans="1:7" x14ac:dyDescent="0.3">
      <c r="A4974" t="s">
        <v>13039</v>
      </c>
      <c r="B4974" t="s">
        <v>9978</v>
      </c>
      <c r="C4974" t="s">
        <v>9979</v>
      </c>
      <c r="D4974" s="1" t="s">
        <v>195</v>
      </c>
      <c r="E4974" s="3">
        <v>14.16</v>
      </c>
      <c r="F4974" s="3">
        <f t="shared" si="154"/>
        <v>3.5782320000000007</v>
      </c>
      <c r="G4974" s="3">
        <f t="shared" si="155"/>
        <v>17.738232</v>
      </c>
    </row>
    <row r="4975" spans="1:7" x14ac:dyDescent="0.3">
      <c r="A4975" t="s">
        <v>13039</v>
      </c>
      <c r="B4975" t="s">
        <v>9980</v>
      </c>
      <c r="C4975" t="s">
        <v>9981</v>
      </c>
      <c r="D4975" s="1" t="s">
        <v>2904</v>
      </c>
      <c r="E4975" s="3">
        <v>4.8099999999999996</v>
      </c>
      <c r="F4975" s="3">
        <f t="shared" si="154"/>
        <v>1.215487</v>
      </c>
      <c r="G4975" s="3">
        <f t="shared" si="155"/>
        <v>6.025487</v>
      </c>
    </row>
    <row r="4976" spans="1:7" x14ac:dyDescent="0.3">
      <c r="A4976" t="s">
        <v>13039</v>
      </c>
      <c r="B4976" t="s">
        <v>9982</v>
      </c>
      <c r="C4976" t="s">
        <v>9983</v>
      </c>
      <c r="D4976" s="1" t="s">
        <v>427</v>
      </c>
      <c r="E4976" s="3">
        <v>25.5</v>
      </c>
      <c r="F4976" s="3">
        <f t="shared" si="154"/>
        <v>6.4438500000000012</v>
      </c>
      <c r="G4976" s="3">
        <f t="shared" si="155"/>
        <v>31.943850000000001</v>
      </c>
    </row>
    <row r="4977" spans="1:7" x14ac:dyDescent="0.3">
      <c r="A4977" t="s">
        <v>13039</v>
      </c>
      <c r="B4977" t="s">
        <v>9984</v>
      </c>
      <c r="C4977" t="s">
        <v>9985</v>
      </c>
      <c r="D4977" s="1" t="s">
        <v>2904</v>
      </c>
      <c r="E4977" s="3">
        <v>36.99</v>
      </c>
      <c r="F4977" s="3">
        <f t="shared" si="154"/>
        <v>9.347373000000001</v>
      </c>
      <c r="G4977" s="3">
        <f t="shared" si="155"/>
        <v>46.337372999999999</v>
      </c>
    </row>
    <row r="4978" spans="1:7" x14ac:dyDescent="0.3">
      <c r="A4978" t="s">
        <v>13039</v>
      </c>
      <c r="B4978" t="s">
        <v>9986</v>
      </c>
      <c r="C4978" t="s">
        <v>9987</v>
      </c>
      <c r="D4978" s="1" t="s">
        <v>427</v>
      </c>
      <c r="E4978" s="3">
        <v>12.14</v>
      </c>
      <c r="F4978" s="3">
        <f t="shared" si="154"/>
        <v>3.0677780000000006</v>
      </c>
      <c r="G4978" s="3">
        <f t="shared" si="155"/>
        <v>15.207778000000001</v>
      </c>
    </row>
    <row r="4979" spans="1:7" x14ac:dyDescent="0.3">
      <c r="A4979" t="s">
        <v>13039</v>
      </c>
      <c r="B4979" t="s">
        <v>9988</v>
      </c>
      <c r="C4979" t="s">
        <v>9989</v>
      </c>
      <c r="D4979" s="1" t="s">
        <v>427</v>
      </c>
      <c r="E4979" s="3">
        <v>41.19</v>
      </c>
      <c r="F4979" s="3">
        <f t="shared" si="154"/>
        <v>10.408713000000001</v>
      </c>
      <c r="G4979" s="3">
        <f t="shared" si="155"/>
        <v>51.598712999999996</v>
      </c>
    </row>
    <row r="4980" spans="1:7" x14ac:dyDescent="0.3">
      <c r="A4980" t="s">
        <v>13039</v>
      </c>
      <c r="B4980" t="s">
        <v>9990</v>
      </c>
      <c r="C4980" t="s">
        <v>9991</v>
      </c>
      <c r="D4980" s="1" t="s">
        <v>427</v>
      </c>
      <c r="E4980" s="3">
        <v>14.52</v>
      </c>
      <c r="F4980" s="3">
        <f t="shared" si="154"/>
        <v>3.6692040000000006</v>
      </c>
      <c r="G4980" s="3">
        <f t="shared" si="155"/>
        <v>18.189204</v>
      </c>
    </row>
    <row r="4981" spans="1:7" x14ac:dyDescent="0.3">
      <c r="A4981" t="s">
        <v>13039</v>
      </c>
      <c r="B4981" t="s">
        <v>9992</v>
      </c>
      <c r="C4981" t="s">
        <v>9993</v>
      </c>
      <c r="D4981" s="1" t="s">
        <v>195</v>
      </c>
      <c r="E4981" s="3">
        <v>10.89</v>
      </c>
      <c r="F4981" s="3">
        <f t="shared" si="154"/>
        <v>2.7519030000000004</v>
      </c>
      <c r="G4981" s="3">
        <f t="shared" si="155"/>
        <v>13.641903000000001</v>
      </c>
    </row>
    <row r="4982" spans="1:7" x14ac:dyDescent="0.3">
      <c r="A4982" t="s">
        <v>13039</v>
      </c>
      <c r="B4982" t="s">
        <v>9994</v>
      </c>
      <c r="C4982" t="s">
        <v>9995</v>
      </c>
      <c r="D4982" s="1" t="s">
        <v>195</v>
      </c>
      <c r="E4982" s="3">
        <v>25.39</v>
      </c>
      <c r="F4982" s="3">
        <f t="shared" si="154"/>
        <v>6.4160530000000007</v>
      </c>
      <c r="G4982" s="3">
        <f t="shared" si="155"/>
        <v>31.806053000000002</v>
      </c>
    </row>
    <row r="4983" spans="1:7" x14ac:dyDescent="0.3">
      <c r="A4983" t="s">
        <v>13039</v>
      </c>
      <c r="B4983" t="s">
        <v>9996</v>
      </c>
      <c r="C4983" t="s">
        <v>9997</v>
      </c>
      <c r="D4983" s="1" t="s">
        <v>195</v>
      </c>
      <c r="E4983" s="3">
        <v>23.49</v>
      </c>
      <c r="F4983" s="3">
        <f t="shared" si="154"/>
        <v>5.9359230000000007</v>
      </c>
      <c r="G4983" s="3">
        <f t="shared" si="155"/>
        <v>29.425922999999997</v>
      </c>
    </row>
    <row r="4984" spans="1:7" x14ac:dyDescent="0.3">
      <c r="A4984" t="s">
        <v>13039</v>
      </c>
      <c r="B4984" t="s">
        <v>9998</v>
      </c>
      <c r="C4984" t="s">
        <v>9999</v>
      </c>
      <c r="D4984" s="1" t="s">
        <v>195</v>
      </c>
      <c r="E4984" s="3">
        <v>19.77</v>
      </c>
      <c r="F4984" s="3">
        <f t="shared" si="154"/>
        <v>4.9958790000000004</v>
      </c>
      <c r="G4984" s="3">
        <f t="shared" si="155"/>
        <v>24.765878999999998</v>
      </c>
    </row>
    <row r="4985" spans="1:7" x14ac:dyDescent="0.3">
      <c r="A4985" t="s">
        <v>13039</v>
      </c>
      <c r="B4985" t="s">
        <v>10000</v>
      </c>
      <c r="C4985" t="s">
        <v>10001</v>
      </c>
      <c r="D4985" s="1" t="s">
        <v>195</v>
      </c>
      <c r="E4985" s="3">
        <v>18.940000000000001</v>
      </c>
      <c r="F4985" s="3">
        <f t="shared" si="154"/>
        <v>4.7861380000000011</v>
      </c>
      <c r="G4985" s="3">
        <f t="shared" si="155"/>
        <v>23.726138000000002</v>
      </c>
    </row>
    <row r="4986" spans="1:7" x14ac:dyDescent="0.3">
      <c r="A4986" t="s">
        <v>13039</v>
      </c>
      <c r="B4986" t="s">
        <v>10002</v>
      </c>
      <c r="C4986" t="s">
        <v>10003</v>
      </c>
      <c r="D4986" s="1" t="s">
        <v>195</v>
      </c>
      <c r="E4986" s="3">
        <v>8.34</v>
      </c>
      <c r="F4986" s="3">
        <f t="shared" si="154"/>
        <v>2.1075180000000002</v>
      </c>
      <c r="G4986" s="3">
        <f t="shared" si="155"/>
        <v>10.447518000000001</v>
      </c>
    </row>
    <row r="4987" spans="1:7" x14ac:dyDescent="0.3">
      <c r="A4987" t="s">
        <v>13039</v>
      </c>
      <c r="B4987" t="s">
        <v>10004</v>
      </c>
      <c r="C4987" t="s">
        <v>10005</v>
      </c>
      <c r="D4987" s="1" t="s">
        <v>195</v>
      </c>
      <c r="E4987" s="3">
        <v>20.100000000000001</v>
      </c>
      <c r="F4987" s="3">
        <f t="shared" si="154"/>
        <v>5.0792700000000011</v>
      </c>
      <c r="G4987" s="3">
        <f t="shared" si="155"/>
        <v>25.179270000000002</v>
      </c>
    </row>
    <row r="4988" spans="1:7" x14ac:dyDescent="0.3">
      <c r="A4988" t="s">
        <v>13039</v>
      </c>
      <c r="B4988" t="s">
        <v>10006</v>
      </c>
      <c r="C4988" t="s">
        <v>10007</v>
      </c>
      <c r="D4988" s="1" t="s">
        <v>195</v>
      </c>
      <c r="E4988" s="3">
        <v>30.47</v>
      </c>
      <c r="F4988" s="3">
        <f t="shared" si="154"/>
        <v>7.6997690000000008</v>
      </c>
      <c r="G4988" s="3">
        <f t="shared" si="155"/>
        <v>38.169769000000002</v>
      </c>
    </row>
    <row r="4989" spans="1:7" x14ac:dyDescent="0.3">
      <c r="A4989" t="s">
        <v>13039</v>
      </c>
      <c r="B4989" t="s">
        <v>10008</v>
      </c>
      <c r="C4989" t="s">
        <v>10009</v>
      </c>
      <c r="D4989" s="1" t="s">
        <v>195</v>
      </c>
      <c r="E4989" s="3">
        <v>28.57</v>
      </c>
      <c r="F4989" s="3">
        <f t="shared" si="154"/>
        <v>7.2196390000000008</v>
      </c>
      <c r="G4989" s="3">
        <f t="shared" si="155"/>
        <v>35.789639000000001</v>
      </c>
    </row>
    <row r="4990" spans="1:7" x14ac:dyDescent="0.3">
      <c r="A4990" t="s">
        <v>13039</v>
      </c>
      <c r="B4990" t="s">
        <v>10010</v>
      </c>
      <c r="C4990" t="s">
        <v>10011</v>
      </c>
      <c r="D4990" s="1" t="s">
        <v>195</v>
      </c>
      <c r="E4990" s="3">
        <v>30.2</v>
      </c>
      <c r="F4990" s="3">
        <f t="shared" si="154"/>
        <v>7.6315400000000011</v>
      </c>
      <c r="G4990" s="3">
        <f t="shared" si="155"/>
        <v>37.831540000000004</v>
      </c>
    </row>
    <row r="4991" spans="1:7" x14ac:dyDescent="0.3">
      <c r="A4991" t="s">
        <v>13039</v>
      </c>
      <c r="B4991" t="s">
        <v>10012</v>
      </c>
      <c r="C4991" t="s">
        <v>10013</v>
      </c>
      <c r="D4991" s="1" t="s">
        <v>195</v>
      </c>
      <c r="E4991" s="3">
        <v>29.38</v>
      </c>
      <c r="F4991" s="3">
        <f t="shared" si="154"/>
        <v>7.4243260000000006</v>
      </c>
      <c r="G4991" s="3">
        <f t="shared" si="155"/>
        <v>36.804326000000003</v>
      </c>
    </row>
    <row r="4992" spans="1:7" x14ac:dyDescent="0.3">
      <c r="A4992" t="s">
        <v>13039</v>
      </c>
      <c r="B4992" t="s">
        <v>10014</v>
      </c>
      <c r="C4992" t="s">
        <v>10015</v>
      </c>
      <c r="D4992" s="1" t="s">
        <v>195</v>
      </c>
      <c r="E4992" s="3">
        <v>27.55</v>
      </c>
      <c r="F4992" s="3">
        <f t="shared" si="154"/>
        <v>6.9618850000000014</v>
      </c>
      <c r="G4992" s="3">
        <f t="shared" si="155"/>
        <v>34.511884999999999</v>
      </c>
    </row>
    <row r="4993" spans="1:7" x14ac:dyDescent="0.3">
      <c r="A4993" t="s">
        <v>13039</v>
      </c>
      <c r="B4993" t="s">
        <v>10016</v>
      </c>
      <c r="C4993" t="s">
        <v>10017</v>
      </c>
      <c r="D4993" s="1" t="s">
        <v>2904</v>
      </c>
      <c r="E4993" s="3">
        <v>0.12</v>
      </c>
      <c r="F4993" s="3">
        <f t="shared" si="154"/>
        <v>3.0324000000000004E-2</v>
      </c>
      <c r="G4993" s="3">
        <f t="shared" si="155"/>
        <v>0.15032400000000001</v>
      </c>
    </row>
    <row r="4994" spans="1:7" x14ac:dyDescent="0.3">
      <c r="A4994" t="s">
        <v>13039</v>
      </c>
      <c r="B4994" t="s">
        <v>10018</v>
      </c>
      <c r="C4994" t="s">
        <v>10019</v>
      </c>
      <c r="D4994" s="1" t="s">
        <v>2904</v>
      </c>
      <c r="E4994" s="3">
        <v>243.52</v>
      </c>
      <c r="F4994" s="3">
        <f t="shared" si="154"/>
        <v>61.537504000000013</v>
      </c>
      <c r="G4994" s="3">
        <f t="shared" si="155"/>
        <v>305.05750399999999</v>
      </c>
    </row>
    <row r="4995" spans="1:7" x14ac:dyDescent="0.3">
      <c r="A4995" t="s">
        <v>13039</v>
      </c>
      <c r="B4995" t="s">
        <v>10020</v>
      </c>
      <c r="C4995" t="s">
        <v>10021</v>
      </c>
      <c r="D4995" s="1" t="s">
        <v>2904</v>
      </c>
      <c r="E4995" s="3">
        <v>2.76</v>
      </c>
      <c r="F4995" s="3">
        <f t="shared" si="154"/>
        <v>0.69745200000000007</v>
      </c>
      <c r="G4995" s="3">
        <f t="shared" si="155"/>
        <v>3.457452</v>
      </c>
    </row>
    <row r="4996" spans="1:7" x14ac:dyDescent="0.3">
      <c r="A4996" t="s">
        <v>13039</v>
      </c>
      <c r="B4996" t="s">
        <v>10022</v>
      </c>
      <c r="C4996" t="s">
        <v>10023</v>
      </c>
      <c r="D4996" s="1" t="s">
        <v>2904</v>
      </c>
      <c r="E4996" s="3">
        <v>0.27</v>
      </c>
      <c r="F4996" s="3">
        <f t="shared" si="154"/>
        <v>6.8229000000000012E-2</v>
      </c>
      <c r="G4996" s="3">
        <f t="shared" si="155"/>
        <v>0.338229</v>
      </c>
    </row>
    <row r="4997" spans="1:7" x14ac:dyDescent="0.3">
      <c r="A4997" t="s">
        <v>13039</v>
      </c>
      <c r="B4997" t="s">
        <v>10024</v>
      </c>
      <c r="C4997" t="s">
        <v>10025</v>
      </c>
      <c r="D4997" s="1" t="s">
        <v>427</v>
      </c>
      <c r="E4997" s="3">
        <v>402.28</v>
      </c>
      <c r="F4997" s="3">
        <f t="shared" si="154"/>
        <v>101.65615600000001</v>
      </c>
      <c r="G4997" s="3">
        <f t="shared" si="155"/>
        <v>503.93615599999998</v>
      </c>
    </row>
    <row r="4998" spans="1:7" x14ac:dyDescent="0.3">
      <c r="A4998" t="s">
        <v>13039</v>
      </c>
      <c r="B4998" t="s">
        <v>10026</v>
      </c>
      <c r="C4998" t="s">
        <v>10027</v>
      </c>
      <c r="D4998" s="1" t="s">
        <v>427</v>
      </c>
      <c r="E4998" s="3">
        <v>309.89999999999998</v>
      </c>
      <c r="F4998" s="3">
        <f t="shared" si="154"/>
        <v>78.311730000000011</v>
      </c>
      <c r="G4998" s="3">
        <f t="shared" si="155"/>
        <v>388.21172999999999</v>
      </c>
    </row>
    <row r="4999" spans="1:7" x14ac:dyDescent="0.3">
      <c r="A4999" t="s">
        <v>13039</v>
      </c>
      <c r="B4999" t="s">
        <v>10028</v>
      </c>
      <c r="C4999" t="s">
        <v>10029</v>
      </c>
      <c r="D4999" s="1" t="s">
        <v>427</v>
      </c>
      <c r="E4999" s="3">
        <v>402.28</v>
      </c>
      <c r="F4999" s="3">
        <f t="shared" ref="F4999:F5062" si="156">+E4999*$F$4</f>
        <v>101.65615600000001</v>
      </c>
      <c r="G4999" s="3">
        <f t="shared" ref="G4999:G5062" si="157">+E4999+F4999</f>
        <v>503.93615599999998</v>
      </c>
    </row>
    <row r="5000" spans="1:7" x14ac:dyDescent="0.3">
      <c r="A5000" t="s">
        <v>13039</v>
      </c>
      <c r="B5000" t="s">
        <v>10030</v>
      </c>
      <c r="C5000" t="s">
        <v>10031</v>
      </c>
      <c r="D5000" s="1" t="s">
        <v>427</v>
      </c>
      <c r="E5000" s="3">
        <v>309.89999999999998</v>
      </c>
      <c r="F5000" s="3">
        <f t="shared" si="156"/>
        <v>78.311730000000011</v>
      </c>
      <c r="G5000" s="3">
        <f t="shared" si="157"/>
        <v>388.21172999999999</v>
      </c>
    </row>
    <row r="5001" spans="1:7" x14ac:dyDescent="0.3">
      <c r="A5001" t="s">
        <v>13039</v>
      </c>
      <c r="B5001" t="s">
        <v>10032</v>
      </c>
      <c r="C5001" t="s">
        <v>10033</v>
      </c>
      <c r="D5001" s="1" t="s">
        <v>8767</v>
      </c>
      <c r="E5001" s="3">
        <v>406.82</v>
      </c>
      <c r="F5001" s="3">
        <f t="shared" si="156"/>
        <v>102.80341400000002</v>
      </c>
      <c r="G5001" s="3">
        <f t="shared" si="157"/>
        <v>509.62341400000003</v>
      </c>
    </row>
    <row r="5002" spans="1:7" x14ac:dyDescent="0.3">
      <c r="A5002" t="s">
        <v>13039</v>
      </c>
      <c r="B5002" t="s">
        <v>10034</v>
      </c>
      <c r="C5002" t="s">
        <v>10035</v>
      </c>
      <c r="D5002" s="1" t="s">
        <v>8767</v>
      </c>
      <c r="E5002" s="3">
        <v>166.04</v>
      </c>
      <c r="F5002" s="3">
        <f t="shared" si="156"/>
        <v>41.958308000000002</v>
      </c>
      <c r="G5002" s="3">
        <f t="shared" si="157"/>
        <v>207.99830800000001</v>
      </c>
    </row>
    <row r="5003" spans="1:7" x14ac:dyDescent="0.3">
      <c r="A5003" t="s">
        <v>13039</v>
      </c>
      <c r="B5003" t="s">
        <v>10036</v>
      </c>
      <c r="C5003" t="s">
        <v>10037</v>
      </c>
      <c r="D5003" s="1" t="s">
        <v>8767</v>
      </c>
      <c r="E5003" s="3">
        <v>383.66</v>
      </c>
      <c r="F5003" s="3">
        <f t="shared" si="156"/>
        <v>96.950882000000021</v>
      </c>
      <c r="G5003" s="3">
        <f t="shared" si="157"/>
        <v>480.61088200000006</v>
      </c>
    </row>
    <row r="5004" spans="1:7" x14ac:dyDescent="0.3">
      <c r="A5004" t="s">
        <v>13039</v>
      </c>
      <c r="B5004" t="s">
        <v>10038</v>
      </c>
      <c r="C5004" t="s">
        <v>10039</v>
      </c>
      <c r="D5004" s="1" t="s">
        <v>8767</v>
      </c>
      <c r="E5004" s="3">
        <v>50.79</v>
      </c>
      <c r="F5004" s="3">
        <f t="shared" si="156"/>
        <v>12.834633000000002</v>
      </c>
      <c r="G5004" s="3">
        <f t="shared" si="157"/>
        <v>63.624633000000003</v>
      </c>
    </row>
    <row r="5005" spans="1:7" x14ac:dyDescent="0.3">
      <c r="A5005" t="s">
        <v>13039</v>
      </c>
      <c r="B5005" t="s">
        <v>10040</v>
      </c>
      <c r="C5005" t="s">
        <v>10041</v>
      </c>
      <c r="D5005" s="1" t="s">
        <v>8767</v>
      </c>
      <c r="E5005" s="3">
        <v>39.36</v>
      </c>
      <c r="F5005" s="3">
        <f t="shared" si="156"/>
        <v>9.9462720000000004</v>
      </c>
      <c r="G5005" s="3">
        <f t="shared" si="157"/>
        <v>49.306272</v>
      </c>
    </row>
    <row r="5006" spans="1:7" x14ac:dyDescent="0.3">
      <c r="A5006" t="s">
        <v>13039</v>
      </c>
      <c r="B5006" t="s">
        <v>10042</v>
      </c>
      <c r="C5006" t="s">
        <v>10043</v>
      </c>
      <c r="D5006" s="1" t="s">
        <v>8767</v>
      </c>
      <c r="E5006" s="3">
        <v>20.8</v>
      </c>
      <c r="F5006" s="3">
        <f t="shared" si="156"/>
        <v>5.2561600000000013</v>
      </c>
      <c r="G5006" s="3">
        <f t="shared" si="157"/>
        <v>26.056160000000002</v>
      </c>
    </row>
    <row r="5007" spans="1:7" x14ac:dyDescent="0.3">
      <c r="A5007" t="s">
        <v>13039</v>
      </c>
      <c r="B5007" t="s">
        <v>10044</v>
      </c>
      <c r="C5007" t="s">
        <v>10045</v>
      </c>
      <c r="D5007" s="1" t="s">
        <v>8767</v>
      </c>
      <c r="E5007" s="3">
        <v>615.01</v>
      </c>
      <c r="F5007" s="3">
        <f t="shared" si="156"/>
        <v>155.41302700000003</v>
      </c>
      <c r="G5007" s="3">
        <f t="shared" si="157"/>
        <v>770.42302700000005</v>
      </c>
    </row>
    <row r="5008" spans="1:7" x14ac:dyDescent="0.3">
      <c r="A5008" t="s">
        <v>13039</v>
      </c>
      <c r="B5008" t="s">
        <v>10046</v>
      </c>
      <c r="C5008" t="s">
        <v>10047</v>
      </c>
      <c r="D5008" s="1" t="s">
        <v>38</v>
      </c>
      <c r="E5008" s="3">
        <v>1838.64</v>
      </c>
      <c r="F5008" s="3">
        <f t="shared" si="156"/>
        <v>464.62432800000011</v>
      </c>
      <c r="G5008" s="3">
        <f t="shared" si="157"/>
        <v>2303.2643280000002</v>
      </c>
    </row>
    <row r="5009" spans="1:7" x14ac:dyDescent="0.3">
      <c r="A5009" t="s">
        <v>13039</v>
      </c>
      <c r="B5009" t="s">
        <v>10048</v>
      </c>
      <c r="C5009" t="s">
        <v>10049</v>
      </c>
      <c r="D5009" s="1" t="s">
        <v>38</v>
      </c>
      <c r="E5009" s="3">
        <v>1749.9</v>
      </c>
      <c r="F5009" s="3">
        <f t="shared" si="156"/>
        <v>442.1997300000001</v>
      </c>
      <c r="G5009" s="3">
        <f t="shared" si="157"/>
        <v>2192.0997300000004</v>
      </c>
    </row>
    <row r="5010" spans="1:7" x14ac:dyDescent="0.3">
      <c r="A5010" t="s">
        <v>13039</v>
      </c>
      <c r="B5010" t="s">
        <v>10050</v>
      </c>
      <c r="C5010" t="s">
        <v>10051</v>
      </c>
      <c r="D5010" s="1" t="s">
        <v>38</v>
      </c>
      <c r="E5010" s="3">
        <v>1667.52</v>
      </c>
      <c r="F5010" s="3">
        <f t="shared" si="156"/>
        <v>421.38230400000003</v>
      </c>
      <c r="G5010" s="3">
        <f t="shared" si="157"/>
        <v>2088.9023040000002</v>
      </c>
    </row>
    <row r="5011" spans="1:7" x14ac:dyDescent="0.3">
      <c r="A5011" t="s">
        <v>13039</v>
      </c>
      <c r="B5011" t="s">
        <v>10052</v>
      </c>
      <c r="C5011" t="s">
        <v>10053</v>
      </c>
      <c r="D5011" s="1" t="s">
        <v>38</v>
      </c>
      <c r="E5011" s="3">
        <v>992.94</v>
      </c>
      <c r="F5011" s="3">
        <f t="shared" si="156"/>
        <v>250.91593800000004</v>
      </c>
      <c r="G5011" s="3">
        <f t="shared" si="157"/>
        <v>1243.8559380000002</v>
      </c>
    </row>
    <row r="5012" spans="1:7" x14ac:dyDescent="0.3">
      <c r="A5012" t="s">
        <v>13039</v>
      </c>
      <c r="B5012" t="s">
        <v>10054</v>
      </c>
      <c r="C5012" t="s">
        <v>10055</v>
      </c>
      <c r="D5012" s="1" t="s">
        <v>38</v>
      </c>
      <c r="E5012" s="3">
        <v>920.11</v>
      </c>
      <c r="F5012" s="3">
        <f t="shared" si="156"/>
        <v>232.51179700000003</v>
      </c>
      <c r="G5012" s="3">
        <f t="shared" si="157"/>
        <v>1152.621797</v>
      </c>
    </row>
    <row r="5013" spans="1:7" x14ac:dyDescent="0.3">
      <c r="A5013" t="s">
        <v>13039</v>
      </c>
      <c r="B5013" t="s">
        <v>10056</v>
      </c>
      <c r="C5013" t="s">
        <v>10057</v>
      </c>
      <c r="D5013" s="1" t="s">
        <v>38</v>
      </c>
      <c r="E5013" s="3">
        <v>361.35</v>
      </c>
      <c r="F5013" s="3">
        <f t="shared" si="156"/>
        <v>91.31314500000002</v>
      </c>
      <c r="G5013" s="3">
        <f t="shared" si="157"/>
        <v>452.66314500000004</v>
      </c>
    </row>
    <row r="5014" spans="1:7" x14ac:dyDescent="0.3">
      <c r="A5014" t="s">
        <v>13039</v>
      </c>
      <c r="B5014" t="s">
        <v>10058</v>
      </c>
      <c r="C5014" t="s">
        <v>10059</v>
      </c>
      <c r="D5014" s="1" t="s">
        <v>2904</v>
      </c>
      <c r="E5014" s="3">
        <v>21.89</v>
      </c>
      <c r="F5014" s="3">
        <f t="shared" si="156"/>
        <v>5.5316030000000005</v>
      </c>
      <c r="G5014" s="3">
        <f t="shared" si="157"/>
        <v>27.421603000000001</v>
      </c>
    </row>
    <row r="5015" spans="1:7" x14ac:dyDescent="0.3">
      <c r="A5015" t="s">
        <v>13039</v>
      </c>
      <c r="B5015" t="s">
        <v>10060</v>
      </c>
      <c r="C5015" t="s">
        <v>10061</v>
      </c>
      <c r="D5015" s="1" t="s">
        <v>8767</v>
      </c>
      <c r="E5015" s="3">
        <v>32.229999999999997</v>
      </c>
      <c r="F5015" s="3">
        <f t="shared" si="156"/>
        <v>8.144521000000001</v>
      </c>
      <c r="G5015" s="3">
        <f t="shared" si="157"/>
        <v>40.374521000000001</v>
      </c>
    </row>
    <row r="5016" spans="1:7" x14ac:dyDescent="0.3">
      <c r="A5016" t="s">
        <v>13039</v>
      </c>
      <c r="B5016" t="s">
        <v>10062</v>
      </c>
      <c r="C5016" t="s">
        <v>10063</v>
      </c>
      <c r="D5016" s="1" t="s">
        <v>427</v>
      </c>
      <c r="E5016" s="3">
        <v>16.28</v>
      </c>
      <c r="F5016" s="3">
        <f t="shared" si="156"/>
        <v>4.1139560000000008</v>
      </c>
      <c r="G5016" s="3">
        <f t="shared" si="157"/>
        <v>20.393956000000003</v>
      </c>
    </row>
    <row r="5017" spans="1:7" x14ac:dyDescent="0.3">
      <c r="A5017" t="s">
        <v>13039</v>
      </c>
      <c r="B5017" t="s">
        <v>10064</v>
      </c>
      <c r="C5017" t="s">
        <v>10065</v>
      </c>
      <c r="D5017" s="1" t="s">
        <v>427</v>
      </c>
      <c r="E5017" s="3">
        <v>13.25</v>
      </c>
      <c r="F5017" s="3">
        <f t="shared" si="156"/>
        <v>3.3482750000000006</v>
      </c>
      <c r="G5017" s="3">
        <f t="shared" si="157"/>
        <v>16.598275000000001</v>
      </c>
    </row>
    <row r="5018" spans="1:7" x14ac:dyDescent="0.3">
      <c r="A5018" t="s">
        <v>13039</v>
      </c>
      <c r="B5018" t="s">
        <v>10066</v>
      </c>
      <c r="C5018" t="s">
        <v>10067</v>
      </c>
      <c r="D5018" s="1" t="s">
        <v>427</v>
      </c>
      <c r="E5018" s="3">
        <v>194.49</v>
      </c>
      <c r="F5018" s="3">
        <f t="shared" si="156"/>
        <v>49.14762300000001</v>
      </c>
      <c r="G5018" s="3">
        <f t="shared" si="157"/>
        <v>243.63762300000002</v>
      </c>
    </row>
    <row r="5019" spans="1:7" x14ac:dyDescent="0.3">
      <c r="A5019" t="s">
        <v>13039</v>
      </c>
      <c r="B5019" t="s">
        <v>10068</v>
      </c>
      <c r="C5019" t="s">
        <v>10069</v>
      </c>
      <c r="D5019" s="1" t="s">
        <v>427</v>
      </c>
      <c r="E5019" s="3">
        <v>303.60000000000002</v>
      </c>
      <c r="F5019" s="3">
        <f t="shared" si="156"/>
        <v>76.719720000000024</v>
      </c>
      <c r="G5019" s="3">
        <f t="shared" si="157"/>
        <v>380.31972000000007</v>
      </c>
    </row>
    <row r="5020" spans="1:7" x14ac:dyDescent="0.3">
      <c r="A5020" t="s">
        <v>13039</v>
      </c>
      <c r="B5020" t="s">
        <v>10070</v>
      </c>
      <c r="C5020" t="s">
        <v>10071</v>
      </c>
      <c r="D5020" s="1" t="s">
        <v>2904</v>
      </c>
      <c r="E5020" s="3">
        <v>4.33</v>
      </c>
      <c r="F5020" s="3">
        <f t="shared" si="156"/>
        <v>1.0941910000000001</v>
      </c>
      <c r="G5020" s="3">
        <f t="shared" si="157"/>
        <v>5.4241910000000004</v>
      </c>
    </row>
    <row r="5021" spans="1:7" x14ac:dyDescent="0.3">
      <c r="A5021" t="s">
        <v>13039</v>
      </c>
      <c r="B5021" t="s">
        <v>10072</v>
      </c>
      <c r="C5021" t="s">
        <v>10073</v>
      </c>
      <c r="D5021" s="1" t="s">
        <v>195</v>
      </c>
      <c r="E5021" s="3">
        <v>2.16</v>
      </c>
      <c r="F5021" s="3">
        <f t="shared" si="156"/>
        <v>0.54583200000000009</v>
      </c>
      <c r="G5021" s="3">
        <f t="shared" si="157"/>
        <v>2.705832</v>
      </c>
    </row>
    <row r="5022" spans="1:7" x14ac:dyDescent="0.3">
      <c r="A5022" t="s">
        <v>13039</v>
      </c>
      <c r="B5022" t="s">
        <v>10074</v>
      </c>
      <c r="C5022" t="s">
        <v>10075</v>
      </c>
      <c r="D5022" s="1" t="s">
        <v>427</v>
      </c>
      <c r="E5022" s="3">
        <v>6.1</v>
      </c>
      <c r="F5022" s="3">
        <f t="shared" si="156"/>
        <v>1.5414700000000001</v>
      </c>
      <c r="G5022" s="3">
        <f t="shared" si="157"/>
        <v>7.64147</v>
      </c>
    </row>
    <row r="5023" spans="1:7" x14ac:dyDescent="0.3">
      <c r="A5023" t="s">
        <v>13039</v>
      </c>
      <c r="B5023" t="s">
        <v>10076</v>
      </c>
      <c r="C5023" t="s">
        <v>10077</v>
      </c>
      <c r="D5023" s="1" t="s">
        <v>427</v>
      </c>
      <c r="E5023" s="3">
        <v>5.1100000000000003</v>
      </c>
      <c r="F5023" s="3">
        <f t="shared" si="156"/>
        <v>1.2912970000000004</v>
      </c>
      <c r="G5023" s="3">
        <f t="shared" si="157"/>
        <v>6.4012970000000005</v>
      </c>
    </row>
    <row r="5024" spans="1:7" x14ac:dyDescent="0.3">
      <c r="A5024" t="s">
        <v>13039</v>
      </c>
      <c r="B5024" t="s">
        <v>10078</v>
      </c>
      <c r="C5024" t="s">
        <v>10079</v>
      </c>
      <c r="D5024" s="1" t="s">
        <v>427</v>
      </c>
      <c r="E5024" s="3">
        <v>8.27</v>
      </c>
      <c r="F5024" s="3">
        <f t="shared" si="156"/>
        <v>2.0898290000000004</v>
      </c>
      <c r="G5024" s="3">
        <f t="shared" si="157"/>
        <v>10.359829</v>
      </c>
    </row>
    <row r="5025" spans="1:7" x14ac:dyDescent="0.3">
      <c r="A5025" t="s">
        <v>13039</v>
      </c>
      <c r="B5025" t="s">
        <v>10080</v>
      </c>
      <c r="C5025" t="s">
        <v>10081</v>
      </c>
      <c r="D5025" s="1" t="s">
        <v>427</v>
      </c>
      <c r="E5025" s="3">
        <v>13.41</v>
      </c>
      <c r="F5025" s="3">
        <f t="shared" si="156"/>
        <v>3.3887070000000006</v>
      </c>
      <c r="G5025" s="3">
        <f t="shared" si="157"/>
        <v>16.798707</v>
      </c>
    </row>
    <row r="5026" spans="1:7" x14ac:dyDescent="0.3">
      <c r="A5026" t="s">
        <v>13039</v>
      </c>
      <c r="B5026" t="s">
        <v>10082</v>
      </c>
      <c r="C5026" t="s">
        <v>10083</v>
      </c>
      <c r="D5026" s="1" t="s">
        <v>427</v>
      </c>
      <c r="E5026" s="3">
        <v>441.74</v>
      </c>
      <c r="F5026" s="3">
        <f t="shared" si="156"/>
        <v>111.62769800000002</v>
      </c>
      <c r="G5026" s="3">
        <f t="shared" si="157"/>
        <v>553.36769800000002</v>
      </c>
    </row>
    <row r="5027" spans="1:7" x14ac:dyDescent="0.3">
      <c r="A5027" t="s">
        <v>13039</v>
      </c>
      <c r="B5027" t="s">
        <v>10084</v>
      </c>
      <c r="C5027" t="s">
        <v>10085</v>
      </c>
      <c r="D5027" s="1" t="s">
        <v>427</v>
      </c>
      <c r="E5027" s="3">
        <v>1428.07</v>
      </c>
      <c r="F5027" s="3">
        <f t="shared" si="156"/>
        <v>360.87328900000006</v>
      </c>
      <c r="G5027" s="3">
        <f t="shared" si="157"/>
        <v>1788.943289</v>
      </c>
    </row>
    <row r="5028" spans="1:7" x14ac:dyDescent="0.3">
      <c r="A5028" t="s">
        <v>13039</v>
      </c>
      <c r="B5028" t="s">
        <v>10086</v>
      </c>
      <c r="C5028" t="s">
        <v>10087</v>
      </c>
      <c r="D5028" s="1" t="s">
        <v>10088</v>
      </c>
      <c r="E5028" s="3">
        <v>781.05</v>
      </c>
      <c r="F5028" s="3">
        <f t="shared" si="156"/>
        <v>197.37133500000002</v>
      </c>
      <c r="G5028" s="3">
        <f t="shared" si="157"/>
        <v>978.421335</v>
      </c>
    </row>
    <row r="5029" spans="1:7" x14ac:dyDescent="0.3">
      <c r="A5029" t="s">
        <v>13039</v>
      </c>
      <c r="B5029" t="s">
        <v>10089</v>
      </c>
      <c r="C5029" t="s">
        <v>10090</v>
      </c>
      <c r="D5029" s="1" t="s">
        <v>10088</v>
      </c>
      <c r="E5029" s="3">
        <v>1839.67</v>
      </c>
      <c r="F5029" s="3">
        <f t="shared" si="156"/>
        <v>464.88460900000007</v>
      </c>
      <c r="G5029" s="3">
        <f t="shared" si="157"/>
        <v>2304.5546090000003</v>
      </c>
    </row>
    <row r="5030" spans="1:7" x14ac:dyDescent="0.3">
      <c r="A5030" t="s">
        <v>13039</v>
      </c>
      <c r="B5030" t="s">
        <v>10091</v>
      </c>
      <c r="C5030" t="s">
        <v>10092</v>
      </c>
      <c r="D5030" s="1" t="s">
        <v>10088</v>
      </c>
      <c r="E5030" s="3">
        <v>4415.2</v>
      </c>
      <c r="F5030" s="3">
        <f t="shared" si="156"/>
        <v>1115.7210400000001</v>
      </c>
      <c r="G5030" s="3">
        <f t="shared" si="157"/>
        <v>5530.9210400000002</v>
      </c>
    </row>
    <row r="5031" spans="1:7" x14ac:dyDescent="0.3">
      <c r="A5031" t="s">
        <v>13039</v>
      </c>
      <c r="B5031" t="s">
        <v>10093</v>
      </c>
      <c r="C5031" t="s">
        <v>10094</v>
      </c>
      <c r="D5031" s="1" t="s">
        <v>10088</v>
      </c>
      <c r="E5031" s="3">
        <v>859.56</v>
      </c>
      <c r="F5031" s="3">
        <f t="shared" si="156"/>
        <v>217.210812</v>
      </c>
      <c r="G5031" s="3">
        <f t="shared" si="157"/>
        <v>1076.770812</v>
      </c>
    </row>
    <row r="5032" spans="1:7" x14ac:dyDescent="0.3">
      <c r="A5032" t="s">
        <v>13039</v>
      </c>
      <c r="B5032" t="s">
        <v>10095</v>
      </c>
      <c r="C5032" t="s">
        <v>10096</v>
      </c>
      <c r="D5032" s="1" t="s">
        <v>10088</v>
      </c>
      <c r="E5032" s="3">
        <v>519.48</v>
      </c>
      <c r="F5032" s="3">
        <f t="shared" si="156"/>
        <v>131.27259600000002</v>
      </c>
      <c r="G5032" s="3">
        <f t="shared" si="157"/>
        <v>650.75259600000004</v>
      </c>
    </row>
    <row r="5033" spans="1:7" x14ac:dyDescent="0.3">
      <c r="A5033" t="s">
        <v>13039</v>
      </c>
      <c r="B5033" t="s">
        <v>10097</v>
      </c>
      <c r="C5033" t="s">
        <v>10098</v>
      </c>
      <c r="D5033" s="1" t="s">
        <v>195</v>
      </c>
      <c r="E5033" s="3">
        <v>2.84</v>
      </c>
      <c r="F5033" s="3">
        <f t="shared" si="156"/>
        <v>0.71766800000000008</v>
      </c>
      <c r="G5033" s="3">
        <f t="shared" si="157"/>
        <v>3.5576680000000001</v>
      </c>
    </row>
    <row r="5034" spans="1:7" x14ac:dyDescent="0.3">
      <c r="A5034" t="s">
        <v>13039</v>
      </c>
      <c r="B5034" t="s">
        <v>10099</v>
      </c>
      <c r="C5034" t="s">
        <v>10100</v>
      </c>
      <c r="D5034" s="1" t="s">
        <v>210</v>
      </c>
      <c r="E5034" s="3">
        <v>73.22</v>
      </c>
      <c r="F5034" s="3">
        <f t="shared" si="156"/>
        <v>18.502694000000002</v>
      </c>
      <c r="G5034" s="3">
        <f t="shared" si="157"/>
        <v>91.722694000000004</v>
      </c>
    </row>
    <row r="5035" spans="1:7" x14ac:dyDescent="0.3">
      <c r="A5035" t="s">
        <v>13039</v>
      </c>
      <c r="B5035" t="s">
        <v>10101</v>
      </c>
      <c r="C5035" t="s">
        <v>10102</v>
      </c>
      <c r="D5035" s="1" t="s">
        <v>427</v>
      </c>
      <c r="E5035" s="3">
        <v>75.040000000000006</v>
      </c>
      <c r="F5035" s="3">
        <f t="shared" si="156"/>
        <v>18.962608000000003</v>
      </c>
      <c r="G5035" s="3">
        <f t="shared" si="157"/>
        <v>94.002608000000009</v>
      </c>
    </row>
    <row r="5036" spans="1:7" x14ac:dyDescent="0.3">
      <c r="A5036" t="s">
        <v>13039</v>
      </c>
      <c r="B5036" t="s">
        <v>10103</v>
      </c>
      <c r="C5036" t="s">
        <v>10104</v>
      </c>
      <c r="D5036" s="1" t="s">
        <v>427</v>
      </c>
      <c r="E5036" s="3">
        <v>40.659999999999997</v>
      </c>
      <c r="F5036" s="3">
        <f t="shared" si="156"/>
        <v>10.274782</v>
      </c>
      <c r="G5036" s="3">
        <f t="shared" si="157"/>
        <v>50.934781999999998</v>
      </c>
    </row>
    <row r="5037" spans="1:7" x14ac:dyDescent="0.3">
      <c r="A5037" t="s">
        <v>13039</v>
      </c>
      <c r="B5037" t="s">
        <v>10105</v>
      </c>
      <c r="C5037" t="s">
        <v>10106</v>
      </c>
      <c r="D5037" s="1" t="s">
        <v>427</v>
      </c>
      <c r="E5037" s="3">
        <v>5.1100000000000003</v>
      </c>
      <c r="F5037" s="3">
        <f t="shared" si="156"/>
        <v>1.2912970000000004</v>
      </c>
      <c r="G5037" s="3">
        <f t="shared" si="157"/>
        <v>6.4012970000000005</v>
      </c>
    </row>
    <row r="5038" spans="1:7" x14ac:dyDescent="0.3">
      <c r="A5038" t="s">
        <v>13039</v>
      </c>
      <c r="B5038" t="s">
        <v>10107</v>
      </c>
      <c r="C5038" t="s">
        <v>10108</v>
      </c>
      <c r="D5038" s="1" t="s">
        <v>38</v>
      </c>
      <c r="E5038" s="3">
        <v>32.85</v>
      </c>
      <c r="F5038" s="3">
        <f t="shared" si="156"/>
        <v>8.3011950000000017</v>
      </c>
      <c r="G5038" s="3">
        <f t="shared" si="157"/>
        <v>41.151195000000001</v>
      </c>
    </row>
    <row r="5039" spans="1:7" x14ac:dyDescent="0.3">
      <c r="A5039" t="s">
        <v>13039</v>
      </c>
      <c r="B5039" t="s">
        <v>10109</v>
      </c>
      <c r="C5039" t="s">
        <v>10110</v>
      </c>
      <c r="D5039" s="1" t="s">
        <v>38</v>
      </c>
      <c r="E5039" s="3">
        <v>31.79</v>
      </c>
      <c r="F5039" s="3">
        <f t="shared" si="156"/>
        <v>8.0333330000000007</v>
      </c>
      <c r="G5039" s="3">
        <f t="shared" si="157"/>
        <v>39.823332999999998</v>
      </c>
    </row>
    <row r="5040" spans="1:7" x14ac:dyDescent="0.3">
      <c r="A5040" t="s">
        <v>13039</v>
      </c>
      <c r="B5040" t="s">
        <v>10111</v>
      </c>
      <c r="C5040" t="s">
        <v>10112</v>
      </c>
      <c r="D5040" s="1" t="s">
        <v>38</v>
      </c>
      <c r="E5040" s="3">
        <v>5572.46</v>
      </c>
      <c r="F5040" s="3">
        <f t="shared" si="156"/>
        <v>1408.1606420000003</v>
      </c>
      <c r="G5040" s="3">
        <f t="shared" si="157"/>
        <v>6980.6206419999999</v>
      </c>
    </row>
    <row r="5041" spans="1:7" x14ac:dyDescent="0.3">
      <c r="A5041" t="s">
        <v>13039</v>
      </c>
      <c r="B5041" t="s">
        <v>10113</v>
      </c>
      <c r="C5041" t="s">
        <v>10114</v>
      </c>
      <c r="D5041" s="1" t="s">
        <v>38</v>
      </c>
      <c r="E5041" s="3">
        <v>5452.5</v>
      </c>
      <c r="F5041" s="3">
        <f t="shared" si="156"/>
        <v>1377.8467500000002</v>
      </c>
      <c r="G5041" s="3">
        <f t="shared" si="157"/>
        <v>6830.3467500000006</v>
      </c>
    </row>
    <row r="5042" spans="1:7" x14ac:dyDescent="0.3">
      <c r="A5042" t="s">
        <v>13039</v>
      </c>
      <c r="B5042" t="s">
        <v>10115</v>
      </c>
      <c r="C5042" t="s">
        <v>10116</v>
      </c>
      <c r="D5042" s="1" t="s">
        <v>427</v>
      </c>
      <c r="E5042" s="3">
        <v>462.4</v>
      </c>
      <c r="F5042" s="3">
        <f t="shared" si="156"/>
        <v>116.84848000000001</v>
      </c>
      <c r="G5042" s="3">
        <f t="shared" si="157"/>
        <v>579.24847999999997</v>
      </c>
    </row>
    <row r="5043" spans="1:7" x14ac:dyDescent="0.3">
      <c r="A5043" t="s">
        <v>13039</v>
      </c>
      <c r="B5043" t="s">
        <v>10117</v>
      </c>
      <c r="C5043" t="s">
        <v>10118</v>
      </c>
      <c r="D5043" s="1" t="s">
        <v>427</v>
      </c>
      <c r="E5043" s="3">
        <v>409.41</v>
      </c>
      <c r="F5043" s="3">
        <f t="shared" si="156"/>
        <v>103.45790700000002</v>
      </c>
      <c r="G5043" s="3">
        <f t="shared" si="157"/>
        <v>512.86790700000006</v>
      </c>
    </row>
    <row r="5044" spans="1:7" x14ac:dyDescent="0.3">
      <c r="A5044" t="s">
        <v>13039</v>
      </c>
      <c r="B5044" t="s">
        <v>10119</v>
      </c>
      <c r="C5044" t="s">
        <v>10120</v>
      </c>
      <c r="D5044" s="1" t="s">
        <v>38</v>
      </c>
      <c r="E5044" s="3">
        <v>471.1</v>
      </c>
      <c r="F5044" s="3">
        <f t="shared" si="156"/>
        <v>119.04697000000002</v>
      </c>
      <c r="G5044" s="3">
        <f t="shared" si="157"/>
        <v>590.14697000000001</v>
      </c>
    </row>
    <row r="5045" spans="1:7" x14ac:dyDescent="0.3">
      <c r="A5045" t="s">
        <v>13039</v>
      </c>
      <c r="B5045" t="s">
        <v>10121</v>
      </c>
      <c r="C5045" t="s">
        <v>10122</v>
      </c>
      <c r="D5045" s="1" t="s">
        <v>2904</v>
      </c>
      <c r="E5045" s="3">
        <v>10.96</v>
      </c>
      <c r="F5045" s="3">
        <f t="shared" si="156"/>
        <v>2.7695920000000007</v>
      </c>
      <c r="G5045" s="3">
        <f t="shared" si="157"/>
        <v>13.729592000000002</v>
      </c>
    </row>
    <row r="5046" spans="1:7" x14ac:dyDescent="0.3">
      <c r="A5046" t="s">
        <v>13039</v>
      </c>
      <c r="B5046" t="s">
        <v>10123</v>
      </c>
      <c r="C5046" t="s">
        <v>10124</v>
      </c>
      <c r="D5046" s="1" t="s">
        <v>195</v>
      </c>
      <c r="E5046" s="3">
        <v>210.98</v>
      </c>
      <c r="F5046" s="3">
        <f t="shared" si="156"/>
        <v>53.314646000000003</v>
      </c>
      <c r="G5046" s="3">
        <f t="shared" si="157"/>
        <v>264.294646</v>
      </c>
    </row>
    <row r="5047" spans="1:7" x14ac:dyDescent="0.3">
      <c r="A5047" t="s">
        <v>13039</v>
      </c>
      <c r="B5047" t="s">
        <v>10125</v>
      </c>
      <c r="C5047" t="s">
        <v>10126</v>
      </c>
      <c r="D5047" s="1" t="s">
        <v>427</v>
      </c>
      <c r="E5047" s="3">
        <v>33.31</v>
      </c>
      <c r="F5047" s="3">
        <f t="shared" si="156"/>
        <v>8.4174370000000014</v>
      </c>
      <c r="G5047" s="3">
        <f t="shared" si="157"/>
        <v>41.727437000000002</v>
      </c>
    </row>
    <row r="5048" spans="1:7" x14ac:dyDescent="0.3">
      <c r="A5048" t="s">
        <v>13039</v>
      </c>
      <c r="B5048" t="s">
        <v>10127</v>
      </c>
      <c r="C5048" t="s">
        <v>10128</v>
      </c>
      <c r="D5048" s="1" t="s">
        <v>10129</v>
      </c>
      <c r="E5048" s="3">
        <v>1.23</v>
      </c>
      <c r="F5048" s="3">
        <f t="shared" si="156"/>
        <v>0.31082100000000001</v>
      </c>
      <c r="G5048" s="3">
        <f t="shared" si="157"/>
        <v>1.540821</v>
      </c>
    </row>
    <row r="5049" spans="1:7" x14ac:dyDescent="0.3">
      <c r="A5049" t="s">
        <v>13039</v>
      </c>
      <c r="B5049" t="s">
        <v>10130</v>
      </c>
      <c r="C5049" t="s">
        <v>10131</v>
      </c>
      <c r="D5049" s="1" t="s">
        <v>38</v>
      </c>
      <c r="E5049" s="3">
        <v>20.329999999999998</v>
      </c>
      <c r="F5049" s="3">
        <f t="shared" si="156"/>
        <v>5.137391</v>
      </c>
      <c r="G5049" s="3">
        <f t="shared" si="157"/>
        <v>25.467390999999999</v>
      </c>
    </row>
    <row r="5050" spans="1:7" x14ac:dyDescent="0.3">
      <c r="A5050" t="s">
        <v>13039</v>
      </c>
      <c r="B5050" t="s">
        <v>10132</v>
      </c>
      <c r="C5050" t="s">
        <v>10133</v>
      </c>
      <c r="D5050" s="1" t="s">
        <v>38</v>
      </c>
      <c r="E5050" s="3">
        <v>18.61</v>
      </c>
      <c r="F5050" s="3">
        <f t="shared" si="156"/>
        <v>4.7027470000000005</v>
      </c>
      <c r="G5050" s="3">
        <f t="shared" si="157"/>
        <v>23.312747000000002</v>
      </c>
    </row>
    <row r="5051" spans="1:7" x14ac:dyDescent="0.3">
      <c r="A5051" t="s">
        <v>13039</v>
      </c>
      <c r="B5051" t="s">
        <v>10134</v>
      </c>
      <c r="C5051" t="s">
        <v>10135</v>
      </c>
      <c r="D5051" s="1" t="s">
        <v>38</v>
      </c>
      <c r="E5051" s="3">
        <v>345.24</v>
      </c>
      <c r="F5051" s="3">
        <f t="shared" si="156"/>
        <v>87.242148000000014</v>
      </c>
      <c r="G5051" s="3">
        <f t="shared" si="157"/>
        <v>432.48214800000005</v>
      </c>
    </row>
    <row r="5052" spans="1:7" x14ac:dyDescent="0.3">
      <c r="A5052" t="s">
        <v>13039</v>
      </c>
      <c r="B5052" t="s">
        <v>10136</v>
      </c>
      <c r="C5052" t="s">
        <v>10137</v>
      </c>
      <c r="D5052" s="1" t="s">
        <v>10129</v>
      </c>
      <c r="E5052" s="3">
        <v>3.82</v>
      </c>
      <c r="F5052" s="3">
        <f t="shared" si="156"/>
        <v>0.96531400000000012</v>
      </c>
      <c r="G5052" s="3">
        <f t="shared" si="157"/>
        <v>4.7853139999999996</v>
      </c>
    </row>
    <row r="5053" spans="1:7" x14ac:dyDescent="0.3">
      <c r="A5053" t="s">
        <v>13039</v>
      </c>
      <c r="B5053" t="s">
        <v>10138</v>
      </c>
      <c r="C5053" t="s">
        <v>10139</v>
      </c>
      <c r="D5053" s="1" t="s">
        <v>195</v>
      </c>
      <c r="E5053" s="3">
        <v>294.29000000000002</v>
      </c>
      <c r="F5053" s="3">
        <f t="shared" si="156"/>
        <v>74.367083000000022</v>
      </c>
      <c r="G5053" s="3">
        <f t="shared" si="157"/>
        <v>368.65708300000006</v>
      </c>
    </row>
    <row r="5054" spans="1:7" x14ac:dyDescent="0.3">
      <c r="A5054" t="s">
        <v>13039</v>
      </c>
      <c r="B5054" t="s">
        <v>10140</v>
      </c>
      <c r="C5054" t="s">
        <v>10141</v>
      </c>
      <c r="D5054" s="1" t="s">
        <v>10142</v>
      </c>
      <c r="E5054" s="3">
        <v>3.32</v>
      </c>
      <c r="F5054" s="3">
        <f t="shared" si="156"/>
        <v>0.83896400000000004</v>
      </c>
      <c r="G5054" s="3">
        <f t="shared" si="157"/>
        <v>4.1589640000000001</v>
      </c>
    </row>
    <row r="5055" spans="1:7" x14ac:dyDescent="0.3">
      <c r="A5055" t="s">
        <v>13039</v>
      </c>
      <c r="B5055" t="s">
        <v>10143</v>
      </c>
      <c r="C5055" t="s">
        <v>10144</v>
      </c>
      <c r="D5055" s="1" t="s">
        <v>38</v>
      </c>
      <c r="E5055" s="3">
        <v>591.21</v>
      </c>
      <c r="F5055" s="3">
        <f t="shared" si="156"/>
        <v>149.39876700000002</v>
      </c>
      <c r="G5055" s="3">
        <f t="shared" si="157"/>
        <v>740.60876700000006</v>
      </c>
    </row>
    <row r="5056" spans="1:7" x14ac:dyDescent="0.3">
      <c r="A5056" t="s">
        <v>13039</v>
      </c>
      <c r="B5056" t="s">
        <v>10145</v>
      </c>
      <c r="C5056" t="s">
        <v>10146</v>
      </c>
      <c r="D5056" s="1" t="s">
        <v>10129</v>
      </c>
      <c r="E5056" s="3">
        <v>5.8</v>
      </c>
      <c r="F5056" s="3">
        <f t="shared" si="156"/>
        <v>1.4656600000000002</v>
      </c>
      <c r="G5056" s="3">
        <f t="shared" si="157"/>
        <v>7.2656600000000005</v>
      </c>
    </row>
    <row r="5057" spans="1:7" x14ac:dyDescent="0.3">
      <c r="A5057" t="s">
        <v>13039</v>
      </c>
      <c r="B5057" t="s">
        <v>10147</v>
      </c>
      <c r="C5057" t="s">
        <v>10148</v>
      </c>
      <c r="D5057" s="1" t="s">
        <v>38</v>
      </c>
      <c r="E5057" s="3">
        <v>855.85</v>
      </c>
      <c r="F5057" s="3">
        <f t="shared" si="156"/>
        <v>216.27329500000005</v>
      </c>
      <c r="G5057" s="3">
        <f t="shared" si="157"/>
        <v>1072.1232950000001</v>
      </c>
    </row>
    <row r="5058" spans="1:7" x14ac:dyDescent="0.3">
      <c r="A5058" t="s">
        <v>13039</v>
      </c>
      <c r="B5058" t="s">
        <v>10149</v>
      </c>
      <c r="C5058" t="s">
        <v>10150</v>
      </c>
      <c r="D5058" s="1" t="s">
        <v>10129</v>
      </c>
      <c r="E5058" s="3">
        <v>8.19</v>
      </c>
      <c r="F5058" s="3">
        <f t="shared" si="156"/>
        <v>2.0696130000000004</v>
      </c>
      <c r="G5058" s="3">
        <f t="shared" si="157"/>
        <v>10.259613</v>
      </c>
    </row>
    <row r="5059" spans="1:7" x14ac:dyDescent="0.3">
      <c r="A5059" t="s">
        <v>13039</v>
      </c>
      <c r="B5059" t="s">
        <v>10151</v>
      </c>
      <c r="C5059" t="s">
        <v>10152</v>
      </c>
      <c r="D5059" s="1" t="s">
        <v>10142</v>
      </c>
      <c r="E5059" s="3">
        <v>1.02</v>
      </c>
      <c r="F5059" s="3">
        <f t="shared" si="156"/>
        <v>0.25775400000000004</v>
      </c>
      <c r="G5059" s="3">
        <f t="shared" si="157"/>
        <v>1.2777540000000001</v>
      </c>
    </row>
    <row r="5060" spans="1:7" x14ac:dyDescent="0.3">
      <c r="A5060" t="s">
        <v>13039</v>
      </c>
      <c r="B5060" t="s">
        <v>10153</v>
      </c>
      <c r="C5060" t="s">
        <v>10154</v>
      </c>
      <c r="D5060" s="1" t="s">
        <v>10129</v>
      </c>
      <c r="E5060" s="3">
        <v>11.55</v>
      </c>
      <c r="F5060" s="3">
        <f t="shared" si="156"/>
        <v>2.9186850000000004</v>
      </c>
      <c r="G5060" s="3">
        <f t="shared" si="157"/>
        <v>14.468685000000001</v>
      </c>
    </row>
    <row r="5061" spans="1:7" x14ac:dyDescent="0.3">
      <c r="A5061" t="s">
        <v>13039</v>
      </c>
      <c r="B5061" t="s">
        <v>10155</v>
      </c>
      <c r="C5061" t="s">
        <v>10156</v>
      </c>
      <c r="D5061" s="1" t="s">
        <v>10129</v>
      </c>
      <c r="E5061" s="3">
        <v>7.56</v>
      </c>
      <c r="F5061" s="3">
        <f t="shared" si="156"/>
        <v>1.9104120000000002</v>
      </c>
      <c r="G5061" s="3">
        <f t="shared" si="157"/>
        <v>9.4704119999999996</v>
      </c>
    </row>
    <row r="5062" spans="1:7" x14ac:dyDescent="0.3">
      <c r="A5062" t="s">
        <v>13039</v>
      </c>
      <c r="B5062" t="s">
        <v>10157</v>
      </c>
      <c r="C5062" t="s">
        <v>10158</v>
      </c>
      <c r="D5062" s="1" t="s">
        <v>38</v>
      </c>
      <c r="E5062" s="3">
        <v>226.09</v>
      </c>
      <c r="F5062" s="3">
        <f t="shared" si="156"/>
        <v>57.132943000000012</v>
      </c>
      <c r="G5062" s="3">
        <f t="shared" si="157"/>
        <v>283.22294299999999</v>
      </c>
    </row>
    <row r="5063" spans="1:7" x14ac:dyDescent="0.3">
      <c r="A5063" t="s">
        <v>13039</v>
      </c>
      <c r="B5063" t="s">
        <v>10159</v>
      </c>
      <c r="C5063" t="s">
        <v>10160</v>
      </c>
      <c r="D5063" s="1" t="s">
        <v>10129</v>
      </c>
      <c r="E5063" s="3">
        <v>0.81</v>
      </c>
      <c r="F5063" s="3">
        <f t="shared" ref="F5063:F5126" si="158">+E5063*$F$4</f>
        <v>0.20468700000000004</v>
      </c>
      <c r="G5063" s="3">
        <f t="shared" ref="G5063:G5126" si="159">+E5063+F5063</f>
        <v>1.0146870000000001</v>
      </c>
    </row>
    <row r="5064" spans="1:7" x14ac:dyDescent="0.3">
      <c r="A5064" t="s">
        <v>13039</v>
      </c>
      <c r="B5064" t="s">
        <v>10161</v>
      </c>
      <c r="C5064" t="s">
        <v>10162</v>
      </c>
      <c r="D5064" s="1" t="s">
        <v>10129</v>
      </c>
      <c r="E5064" s="3">
        <v>1.92</v>
      </c>
      <c r="F5064" s="3">
        <f t="shared" si="158"/>
        <v>0.48518400000000006</v>
      </c>
      <c r="G5064" s="3">
        <f t="shared" si="159"/>
        <v>2.4051840000000002</v>
      </c>
    </row>
    <row r="5065" spans="1:7" x14ac:dyDescent="0.3">
      <c r="A5065" t="s">
        <v>13039</v>
      </c>
      <c r="B5065" t="s">
        <v>10163</v>
      </c>
      <c r="C5065" t="s">
        <v>10164</v>
      </c>
      <c r="D5065" s="1" t="s">
        <v>10129</v>
      </c>
      <c r="E5065" s="3">
        <v>5.13</v>
      </c>
      <c r="F5065" s="3">
        <f t="shared" si="158"/>
        <v>1.2963510000000003</v>
      </c>
      <c r="G5065" s="3">
        <f t="shared" si="159"/>
        <v>6.4263510000000004</v>
      </c>
    </row>
    <row r="5066" spans="1:7" x14ac:dyDescent="0.3">
      <c r="A5066" t="s">
        <v>13039</v>
      </c>
      <c r="B5066" t="s">
        <v>10165</v>
      </c>
      <c r="C5066" t="s">
        <v>10166</v>
      </c>
      <c r="D5066" s="1" t="s">
        <v>38</v>
      </c>
      <c r="E5066" s="3">
        <v>183.23</v>
      </c>
      <c r="F5066" s="3">
        <f t="shared" si="158"/>
        <v>46.302221000000003</v>
      </c>
      <c r="G5066" s="3">
        <f t="shared" si="159"/>
        <v>229.53222099999999</v>
      </c>
    </row>
    <row r="5067" spans="1:7" x14ac:dyDescent="0.3">
      <c r="A5067" t="s">
        <v>13039</v>
      </c>
      <c r="B5067" t="s">
        <v>10167</v>
      </c>
      <c r="C5067" t="s">
        <v>10168</v>
      </c>
      <c r="D5067" s="1" t="s">
        <v>10129</v>
      </c>
      <c r="E5067" s="3">
        <v>0.8</v>
      </c>
      <c r="F5067" s="3">
        <f t="shared" si="158"/>
        <v>0.20216000000000003</v>
      </c>
      <c r="G5067" s="3">
        <f t="shared" si="159"/>
        <v>1.0021600000000002</v>
      </c>
    </row>
    <row r="5068" spans="1:7" x14ac:dyDescent="0.3">
      <c r="A5068" t="s">
        <v>13039</v>
      </c>
      <c r="B5068" t="s">
        <v>10169</v>
      </c>
      <c r="C5068" t="s">
        <v>10170</v>
      </c>
      <c r="D5068" s="1" t="s">
        <v>2904</v>
      </c>
      <c r="E5068" s="3">
        <v>331.91</v>
      </c>
      <c r="F5068" s="3">
        <f t="shared" si="158"/>
        <v>83.873657000000023</v>
      </c>
      <c r="G5068" s="3">
        <f t="shared" si="159"/>
        <v>415.78365700000006</v>
      </c>
    </row>
    <row r="5069" spans="1:7" x14ac:dyDescent="0.3">
      <c r="A5069" t="s">
        <v>13039</v>
      </c>
      <c r="B5069" t="s">
        <v>10171</v>
      </c>
      <c r="C5069" t="s">
        <v>10172</v>
      </c>
      <c r="D5069" s="1" t="s">
        <v>10173</v>
      </c>
      <c r="E5069" s="3">
        <v>7.41</v>
      </c>
      <c r="F5069" s="3">
        <f t="shared" si="158"/>
        <v>1.8725070000000004</v>
      </c>
      <c r="G5069" s="3">
        <f t="shared" si="159"/>
        <v>9.2825070000000007</v>
      </c>
    </row>
    <row r="5070" spans="1:7" x14ac:dyDescent="0.3">
      <c r="A5070" t="s">
        <v>13039</v>
      </c>
      <c r="B5070" t="s">
        <v>10174</v>
      </c>
      <c r="C5070" t="s">
        <v>10175</v>
      </c>
      <c r="D5070" s="1" t="s">
        <v>2904</v>
      </c>
      <c r="E5070" s="3">
        <v>28.75</v>
      </c>
      <c r="F5070" s="3">
        <f t="shared" si="158"/>
        <v>7.2651250000000012</v>
      </c>
      <c r="G5070" s="3">
        <f t="shared" si="159"/>
        <v>36.015124999999998</v>
      </c>
    </row>
    <row r="5071" spans="1:7" x14ac:dyDescent="0.3">
      <c r="A5071" t="s">
        <v>13039</v>
      </c>
      <c r="B5071" t="s">
        <v>10176</v>
      </c>
      <c r="C5071" t="s">
        <v>10177</v>
      </c>
      <c r="D5071" s="1" t="s">
        <v>10173</v>
      </c>
      <c r="E5071" s="3">
        <v>0.63</v>
      </c>
      <c r="F5071" s="3">
        <f t="shared" si="158"/>
        <v>0.15920100000000004</v>
      </c>
      <c r="G5071" s="3">
        <f t="shared" si="159"/>
        <v>0.78920100000000004</v>
      </c>
    </row>
    <row r="5072" spans="1:7" x14ac:dyDescent="0.3">
      <c r="A5072" t="s">
        <v>13039</v>
      </c>
      <c r="B5072" t="s">
        <v>10178</v>
      </c>
      <c r="C5072" t="s">
        <v>10179</v>
      </c>
      <c r="D5072" s="1" t="s">
        <v>2904</v>
      </c>
      <c r="E5072" s="3">
        <v>59.05</v>
      </c>
      <c r="F5072" s="3">
        <f t="shared" si="158"/>
        <v>14.921935000000001</v>
      </c>
      <c r="G5072" s="3">
        <f t="shared" si="159"/>
        <v>73.971935000000002</v>
      </c>
    </row>
    <row r="5073" spans="1:7" x14ac:dyDescent="0.3">
      <c r="A5073" t="s">
        <v>13039</v>
      </c>
      <c r="B5073" t="s">
        <v>10180</v>
      </c>
      <c r="C5073" t="s">
        <v>10181</v>
      </c>
      <c r="D5073" s="1" t="s">
        <v>10173</v>
      </c>
      <c r="E5073" s="3">
        <v>0.74</v>
      </c>
      <c r="F5073" s="3">
        <f t="shared" si="158"/>
        <v>0.18699800000000003</v>
      </c>
      <c r="G5073" s="3">
        <f t="shared" si="159"/>
        <v>0.92699799999999999</v>
      </c>
    </row>
    <row r="5074" spans="1:7" x14ac:dyDescent="0.3">
      <c r="A5074" t="s">
        <v>13039</v>
      </c>
      <c r="B5074" t="s">
        <v>10182</v>
      </c>
      <c r="C5074" t="s">
        <v>10183</v>
      </c>
      <c r="D5074" s="1" t="s">
        <v>38</v>
      </c>
      <c r="E5074" s="3">
        <v>17.510000000000002</v>
      </c>
      <c r="F5074" s="3">
        <f t="shared" si="158"/>
        <v>4.4247770000000006</v>
      </c>
      <c r="G5074" s="3">
        <f t="shared" si="159"/>
        <v>21.934777000000004</v>
      </c>
    </row>
    <row r="5075" spans="1:7" x14ac:dyDescent="0.3">
      <c r="A5075" t="s">
        <v>13039</v>
      </c>
      <c r="B5075" t="s">
        <v>10184</v>
      </c>
      <c r="C5075" t="s">
        <v>10185</v>
      </c>
      <c r="D5075" s="1" t="s">
        <v>38</v>
      </c>
      <c r="E5075" s="3">
        <v>16.45</v>
      </c>
      <c r="F5075" s="3">
        <f t="shared" si="158"/>
        <v>4.1569150000000006</v>
      </c>
      <c r="G5075" s="3">
        <f t="shared" si="159"/>
        <v>20.606915000000001</v>
      </c>
    </row>
    <row r="5076" spans="1:7" x14ac:dyDescent="0.3">
      <c r="A5076" t="s">
        <v>13039</v>
      </c>
      <c r="B5076" t="s">
        <v>10186</v>
      </c>
      <c r="C5076" t="s">
        <v>10187</v>
      </c>
      <c r="D5076" s="1" t="s">
        <v>195</v>
      </c>
      <c r="E5076" s="3">
        <v>0.13</v>
      </c>
      <c r="F5076" s="3">
        <f t="shared" si="158"/>
        <v>3.2851000000000005E-2</v>
      </c>
      <c r="G5076" s="3">
        <f t="shared" si="159"/>
        <v>0.16285100000000002</v>
      </c>
    </row>
    <row r="5077" spans="1:7" x14ac:dyDescent="0.3">
      <c r="A5077" t="s">
        <v>13039</v>
      </c>
      <c r="B5077" t="s">
        <v>10188</v>
      </c>
      <c r="C5077" t="s">
        <v>10189</v>
      </c>
      <c r="D5077" s="1" t="s">
        <v>2904</v>
      </c>
      <c r="E5077" s="3">
        <v>191.26</v>
      </c>
      <c r="F5077" s="3">
        <f t="shared" si="158"/>
        <v>48.331402000000004</v>
      </c>
      <c r="G5077" s="3">
        <f t="shared" si="159"/>
        <v>239.59140199999999</v>
      </c>
    </row>
    <row r="5078" spans="1:7" x14ac:dyDescent="0.3">
      <c r="A5078" t="s">
        <v>13039</v>
      </c>
      <c r="B5078" t="s">
        <v>10190</v>
      </c>
      <c r="C5078" t="s">
        <v>10191</v>
      </c>
      <c r="D5078" s="1" t="s">
        <v>10129</v>
      </c>
      <c r="E5078" s="3">
        <v>1.1000000000000001</v>
      </c>
      <c r="F5078" s="3">
        <f t="shared" si="158"/>
        <v>0.27797000000000005</v>
      </c>
      <c r="G5078" s="3">
        <f t="shared" si="159"/>
        <v>1.3779700000000001</v>
      </c>
    </row>
    <row r="5079" spans="1:7" x14ac:dyDescent="0.3">
      <c r="A5079" t="s">
        <v>13039</v>
      </c>
      <c r="B5079" t="s">
        <v>10192</v>
      </c>
      <c r="C5079" t="s">
        <v>10193</v>
      </c>
      <c r="D5079" s="1" t="s">
        <v>2904</v>
      </c>
      <c r="E5079" s="3">
        <v>19.59</v>
      </c>
      <c r="F5079" s="3">
        <f t="shared" si="158"/>
        <v>4.9503930000000009</v>
      </c>
      <c r="G5079" s="3">
        <f t="shared" si="159"/>
        <v>24.540393000000002</v>
      </c>
    </row>
    <row r="5080" spans="1:7" x14ac:dyDescent="0.3">
      <c r="A5080" t="s">
        <v>13039</v>
      </c>
      <c r="B5080" t="s">
        <v>10194</v>
      </c>
      <c r="C5080" t="s">
        <v>10195</v>
      </c>
      <c r="D5080" s="1" t="s">
        <v>2904</v>
      </c>
      <c r="E5080" s="3">
        <v>27.08</v>
      </c>
      <c r="F5080" s="3">
        <f t="shared" si="158"/>
        <v>6.8431160000000002</v>
      </c>
      <c r="G5080" s="3">
        <f t="shared" si="159"/>
        <v>33.923116</v>
      </c>
    </row>
    <row r="5081" spans="1:7" x14ac:dyDescent="0.3">
      <c r="A5081" t="s">
        <v>13039</v>
      </c>
      <c r="B5081" t="s">
        <v>10196</v>
      </c>
      <c r="C5081" t="s">
        <v>10197</v>
      </c>
      <c r="D5081" s="1" t="s">
        <v>2904</v>
      </c>
      <c r="E5081" s="3">
        <v>11.96</v>
      </c>
      <c r="F5081" s="3">
        <f t="shared" si="158"/>
        <v>3.0222920000000006</v>
      </c>
      <c r="G5081" s="3">
        <f t="shared" si="159"/>
        <v>14.982292000000001</v>
      </c>
    </row>
    <row r="5082" spans="1:7" x14ac:dyDescent="0.3">
      <c r="A5082" t="s">
        <v>13039</v>
      </c>
      <c r="B5082" t="s">
        <v>10198</v>
      </c>
      <c r="C5082" t="s">
        <v>10199</v>
      </c>
      <c r="D5082" s="1" t="s">
        <v>2904</v>
      </c>
      <c r="E5082" s="3">
        <v>14.34</v>
      </c>
      <c r="F5082" s="3">
        <f t="shared" si="158"/>
        <v>3.6237180000000007</v>
      </c>
      <c r="G5082" s="3">
        <f t="shared" si="159"/>
        <v>17.963718</v>
      </c>
    </row>
    <row r="5083" spans="1:7" x14ac:dyDescent="0.3">
      <c r="A5083" t="s">
        <v>13039</v>
      </c>
      <c r="B5083" t="s">
        <v>10200</v>
      </c>
      <c r="C5083" t="s">
        <v>10201</v>
      </c>
      <c r="D5083" s="1" t="s">
        <v>2904</v>
      </c>
      <c r="E5083" s="3">
        <v>16.75</v>
      </c>
      <c r="F5083" s="3">
        <f t="shared" si="158"/>
        <v>4.2327250000000003</v>
      </c>
      <c r="G5083" s="3">
        <f t="shared" si="159"/>
        <v>20.982725000000002</v>
      </c>
    </row>
    <row r="5084" spans="1:7" x14ac:dyDescent="0.3">
      <c r="A5084" t="s">
        <v>13039</v>
      </c>
      <c r="B5084" t="s">
        <v>10202</v>
      </c>
      <c r="C5084" t="s">
        <v>10203</v>
      </c>
      <c r="D5084" s="1" t="s">
        <v>6421</v>
      </c>
      <c r="E5084" s="3">
        <v>21.63</v>
      </c>
      <c r="F5084" s="3">
        <f t="shared" si="158"/>
        <v>5.4659010000000006</v>
      </c>
      <c r="G5084" s="3">
        <f t="shared" si="159"/>
        <v>27.095900999999998</v>
      </c>
    </row>
    <row r="5085" spans="1:7" x14ac:dyDescent="0.3">
      <c r="A5085" t="s">
        <v>13039</v>
      </c>
      <c r="B5085" t="s">
        <v>10204</v>
      </c>
      <c r="C5085" t="s">
        <v>10205</v>
      </c>
      <c r="D5085" s="1" t="s">
        <v>6421</v>
      </c>
      <c r="E5085" s="3">
        <v>6.5</v>
      </c>
      <c r="F5085" s="3">
        <f t="shared" si="158"/>
        <v>1.6425500000000002</v>
      </c>
      <c r="G5085" s="3">
        <f t="shared" si="159"/>
        <v>8.14255</v>
      </c>
    </row>
    <row r="5086" spans="1:7" x14ac:dyDescent="0.3">
      <c r="A5086" t="s">
        <v>13039</v>
      </c>
      <c r="B5086" t="s">
        <v>10206</v>
      </c>
      <c r="C5086" t="s">
        <v>10207</v>
      </c>
      <c r="D5086" s="1" t="s">
        <v>6421</v>
      </c>
      <c r="E5086" s="3">
        <v>109.73</v>
      </c>
      <c r="F5086" s="3">
        <f t="shared" si="158"/>
        <v>27.728771000000005</v>
      </c>
      <c r="G5086" s="3">
        <f t="shared" si="159"/>
        <v>137.45877100000001</v>
      </c>
    </row>
    <row r="5087" spans="1:7" x14ac:dyDescent="0.3">
      <c r="A5087" t="s">
        <v>13039</v>
      </c>
      <c r="B5087" t="s">
        <v>10208</v>
      </c>
      <c r="C5087" t="s">
        <v>10209</v>
      </c>
      <c r="D5087" s="1" t="s">
        <v>6421</v>
      </c>
      <c r="E5087" s="3">
        <v>28.59</v>
      </c>
      <c r="F5087" s="3">
        <f t="shared" si="158"/>
        <v>7.2246930000000011</v>
      </c>
      <c r="G5087" s="3">
        <f t="shared" si="159"/>
        <v>35.814692999999998</v>
      </c>
    </row>
    <row r="5088" spans="1:7" x14ac:dyDescent="0.3">
      <c r="A5088" t="s">
        <v>13039</v>
      </c>
      <c r="B5088" t="s">
        <v>10210</v>
      </c>
      <c r="C5088" t="s">
        <v>10211</v>
      </c>
      <c r="D5088" s="1" t="s">
        <v>2904</v>
      </c>
      <c r="E5088" s="3">
        <v>124.82</v>
      </c>
      <c r="F5088" s="3">
        <f t="shared" si="158"/>
        <v>31.542014000000002</v>
      </c>
      <c r="G5088" s="3">
        <f t="shared" si="159"/>
        <v>156.36201399999999</v>
      </c>
    </row>
    <row r="5089" spans="1:7" x14ac:dyDescent="0.3">
      <c r="A5089" t="s">
        <v>13039</v>
      </c>
      <c r="B5089" t="s">
        <v>10212</v>
      </c>
      <c r="C5089" t="s">
        <v>10213</v>
      </c>
      <c r="D5089" s="1" t="s">
        <v>2904</v>
      </c>
      <c r="E5089" s="3">
        <v>218.49</v>
      </c>
      <c r="F5089" s="3">
        <f t="shared" si="158"/>
        <v>55.212423000000008</v>
      </c>
      <c r="G5089" s="3">
        <f t="shared" si="159"/>
        <v>273.70242300000001</v>
      </c>
    </row>
    <row r="5090" spans="1:7" x14ac:dyDescent="0.3">
      <c r="A5090" t="s">
        <v>13039</v>
      </c>
      <c r="B5090" t="s">
        <v>10214</v>
      </c>
      <c r="C5090" t="s">
        <v>10215</v>
      </c>
      <c r="D5090" s="1" t="s">
        <v>2904</v>
      </c>
      <c r="E5090" s="3">
        <v>124.82</v>
      </c>
      <c r="F5090" s="3">
        <f t="shared" si="158"/>
        <v>31.542014000000002</v>
      </c>
      <c r="G5090" s="3">
        <f t="shared" si="159"/>
        <v>156.36201399999999</v>
      </c>
    </row>
    <row r="5091" spans="1:7" x14ac:dyDescent="0.3">
      <c r="A5091" t="s">
        <v>13039</v>
      </c>
      <c r="B5091" t="s">
        <v>10216</v>
      </c>
      <c r="C5091" t="s">
        <v>10217</v>
      </c>
      <c r="D5091" s="1" t="s">
        <v>2904</v>
      </c>
      <c r="E5091" s="3">
        <v>226.63</v>
      </c>
      <c r="F5091" s="3">
        <f t="shared" si="158"/>
        <v>57.269401000000009</v>
      </c>
      <c r="G5091" s="3">
        <f t="shared" si="159"/>
        <v>283.89940100000001</v>
      </c>
    </row>
    <row r="5092" spans="1:7" x14ac:dyDescent="0.3">
      <c r="A5092" t="s">
        <v>13039</v>
      </c>
      <c r="B5092" t="s">
        <v>10218</v>
      </c>
      <c r="C5092" t="s">
        <v>10219</v>
      </c>
      <c r="D5092" s="1" t="s">
        <v>2904</v>
      </c>
      <c r="E5092" s="3">
        <v>69.62</v>
      </c>
      <c r="F5092" s="3">
        <f t="shared" si="158"/>
        <v>17.592974000000005</v>
      </c>
      <c r="G5092" s="3">
        <f t="shared" si="159"/>
        <v>87.212974000000003</v>
      </c>
    </row>
    <row r="5093" spans="1:7" x14ac:dyDescent="0.3">
      <c r="A5093" t="s">
        <v>13039</v>
      </c>
      <c r="B5093" t="s">
        <v>10220</v>
      </c>
      <c r="C5093" t="s">
        <v>10221</v>
      </c>
      <c r="D5093" s="1" t="s">
        <v>2904</v>
      </c>
      <c r="E5093" s="3">
        <v>145.41</v>
      </c>
      <c r="F5093" s="3">
        <f t="shared" si="158"/>
        <v>36.745107000000004</v>
      </c>
      <c r="G5093" s="3">
        <f t="shared" si="159"/>
        <v>182.15510699999999</v>
      </c>
    </row>
    <row r="5094" spans="1:7" x14ac:dyDescent="0.3">
      <c r="A5094" t="s">
        <v>13039</v>
      </c>
      <c r="B5094" t="s">
        <v>10222</v>
      </c>
      <c r="C5094" t="s">
        <v>10223</v>
      </c>
      <c r="D5094" s="1" t="s">
        <v>2904</v>
      </c>
      <c r="E5094" s="3">
        <v>171.62</v>
      </c>
      <c r="F5094" s="3">
        <f t="shared" si="158"/>
        <v>43.36837400000001</v>
      </c>
      <c r="G5094" s="3">
        <f t="shared" si="159"/>
        <v>214.98837400000002</v>
      </c>
    </row>
    <row r="5095" spans="1:7" x14ac:dyDescent="0.3">
      <c r="A5095" t="s">
        <v>13039</v>
      </c>
      <c r="B5095" t="s">
        <v>10224</v>
      </c>
      <c r="C5095" t="s">
        <v>10225</v>
      </c>
      <c r="D5095" s="1" t="s">
        <v>2904</v>
      </c>
      <c r="E5095" s="3">
        <v>155.47999999999999</v>
      </c>
      <c r="F5095" s="3">
        <f t="shared" si="158"/>
        <v>39.289796000000003</v>
      </c>
      <c r="G5095" s="3">
        <f t="shared" si="159"/>
        <v>194.76979599999999</v>
      </c>
    </row>
    <row r="5096" spans="1:7" x14ac:dyDescent="0.3">
      <c r="A5096" t="s">
        <v>13039</v>
      </c>
      <c r="B5096" t="s">
        <v>10226</v>
      </c>
      <c r="C5096" t="s">
        <v>10227</v>
      </c>
      <c r="D5096" s="1" t="s">
        <v>2904</v>
      </c>
      <c r="E5096" s="3">
        <v>105.39</v>
      </c>
      <c r="F5096" s="3">
        <f t="shared" si="158"/>
        <v>26.632053000000003</v>
      </c>
      <c r="G5096" s="3">
        <f t="shared" si="159"/>
        <v>132.022053</v>
      </c>
    </row>
    <row r="5097" spans="1:7" x14ac:dyDescent="0.3">
      <c r="A5097" t="s">
        <v>13039</v>
      </c>
      <c r="B5097" t="s">
        <v>10228</v>
      </c>
      <c r="C5097" t="s">
        <v>10229</v>
      </c>
      <c r="D5097" s="1" t="s">
        <v>2904</v>
      </c>
      <c r="E5097" s="3">
        <v>92.28</v>
      </c>
      <c r="F5097" s="3">
        <f t="shared" si="158"/>
        <v>23.319156000000003</v>
      </c>
      <c r="G5097" s="3">
        <f t="shared" si="159"/>
        <v>115.59915600000001</v>
      </c>
    </row>
    <row r="5098" spans="1:7" x14ac:dyDescent="0.3">
      <c r="A5098" t="s">
        <v>13039</v>
      </c>
      <c r="B5098" t="s">
        <v>10230</v>
      </c>
      <c r="C5098" t="s">
        <v>10231</v>
      </c>
      <c r="D5098" s="1" t="s">
        <v>2904</v>
      </c>
      <c r="E5098" s="3">
        <v>90.88</v>
      </c>
      <c r="F5098" s="3">
        <f t="shared" si="158"/>
        <v>22.965376000000003</v>
      </c>
      <c r="G5098" s="3">
        <f t="shared" si="159"/>
        <v>113.845376</v>
      </c>
    </row>
    <row r="5099" spans="1:7" x14ac:dyDescent="0.3">
      <c r="A5099" t="s">
        <v>13039</v>
      </c>
      <c r="B5099" t="s">
        <v>10232</v>
      </c>
      <c r="C5099" t="s">
        <v>10233</v>
      </c>
      <c r="D5099" s="1" t="s">
        <v>2904</v>
      </c>
      <c r="E5099" s="3">
        <v>46.76</v>
      </c>
      <c r="F5099" s="3">
        <f t="shared" si="158"/>
        <v>11.816252</v>
      </c>
      <c r="G5099" s="3">
        <f t="shared" si="159"/>
        <v>58.576251999999997</v>
      </c>
    </row>
    <row r="5100" spans="1:7" x14ac:dyDescent="0.3">
      <c r="A5100" t="s">
        <v>13039</v>
      </c>
      <c r="B5100" t="s">
        <v>10234</v>
      </c>
      <c r="C5100" t="s">
        <v>10235</v>
      </c>
      <c r="D5100" s="1" t="s">
        <v>2904</v>
      </c>
      <c r="E5100" s="3">
        <v>19.87</v>
      </c>
      <c r="F5100" s="3">
        <f t="shared" si="158"/>
        <v>5.0211490000000012</v>
      </c>
      <c r="G5100" s="3">
        <f t="shared" si="159"/>
        <v>24.891149000000002</v>
      </c>
    </row>
    <row r="5101" spans="1:7" x14ac:dyDescent="0.3">
      <c r="A5101" t="s">
        <v>13039</v>
      </c>
      <c r="B5101" t="s">
        <v>10236</v>
      </c>
      <c r="C5101" t="s">
        <v>10237</v>
      </c>
      <c r="D5101" s="1" t="s">
        <v>2904</v>
      </c>
      <c r="E5101" s="3">
        <v>27.4</v>
      </c>
      <c r="F5101" s="3">
        <f t="shared" si="158"/>
        <v>6.9239800000000002</v>
      </c>
      <c r="G5101" s="3">
        <f t="shared" si="159"/>
        <v>34.323979999999999</v>
      </c>
    </row>
    <row r="5102" spans="1:7" x14ac:dyDescent="0.3">
      <c r="A5102" t="s">
        <v>13039</v>
      </c>
      <c r="B5102" t="s">
        <v>10238</v>
      </c>
      <c r="C5102" t="s">
        <v>10239</v>
      </c>
      <c r="D5102" s="1" t="s">
        <v>2904</v>
      </c>
      <c r="E5102" s="3">
        <v>12.22</v>
      </c>
      <c r="F5102" s="3">
        <f t="shared" si="158"/>
        <v>3.0879940000000006</v>
      </c>
      <c r="G5102" s="3">
        <f t="shared" si="159"/>
        <v>15.307994000000001</v>
      </c>
    </row>
    <row r="5103" spans="1:7" x14ac:dyDescent="0.3">
      <c r="A5103" t="s">
        <v>13039</v>
      </c>
      <c r="B5103" t="s">
        <v>10240</v>
      </c>
      <c r="C5103" t="s">
        <v>10241</v>
      </c>
      <c r="D5103" s="1" t="s">
        <v>2904</v>
      </c>
      <c r="E5103" s="3">
        <v>14.61</v>
      </c>
      <c r="F5103" s="3">
        <f t="shared" si="158"/>
        <v>3.6919470000000003</v>
      </c>
      <c r="G5103" s="3">
        <f t="shared" si="159"/>
        <v>18.301946999999998</v>
      </c>
    </row>
    <row r="5104" spans="1:7" x14ac:dyDescent="0.3">
      <c r="A5104" t="s">
        <v>13039</v>
      </c>
      <c r="B5104" t="s">
        <v>10242</v>
      </c>
      <c r="C5104" t="s">
        <v>10243</v>
      </c>
      <c r="D5104" s="1" t="s">
        <v>2904</v>
      </c>
      <c r="E5104" s="3">
        <v>17.04</v>
      </c>
      <c r="F5104" s="3">
        <f t="shared" si="158"/>
        <v>4.3060080000000003</v>
      </c>
      <c r="G5104" s="3">
        <f t="shared" si="159"/>
        <v>21.346007999999998</v>
      </c>
    </row>
    <row r="5105" spans="1:7" x14ac:dyDescent="0.3">
      <c r="A5105" t="s">
        <v>13039</v>
      </c>
      <c r="B5105" t="s">
        <v>10244</v>
      </c>
      <c r="C5105" t="s">
        <v>10245</v>
      </c>
      <c r="D5105" s="1" t="s">
        <v>2904</v>
      </c>
      <c r="E5105" s="3">
        <v>58.71</v>
      </c>
      <c r="F5105" s="3">
        <f t="shared" si="158"/>
        <v>14.836017000000002</v>
      </c>
      <c r="G5105" s="3">
        <f t="shared" si="159"/>
        <v>73.546017000000006</v>
      </c>
    </row>
    <row r="5106" spans="1:7" x14ac:dyDescent="0.3">
      <c r="A5106" t="s">
        <v>13039</v>
      </c>
      <c r="B5106" t="s">
        <v>10246</v>
      </c>
      <c r="C5106" t="s">
        <v>10247</v>
      </c>
      <c r="D5106" s="1" t="s">
        <v>2904</v>
      </c>
      <c r="E5106" s="3">
        <v>93.78</v>
      </c>
      <c r="F5106" s="3">
        <f t="shared" si="158"/>
        <v>23.698206000000003</v>
      </c>
      <c r="G5106" s="3">
        <f t="shared" si="159"/>
        <v>117.478206</v>
      </c>
    </row>
    <row r="5107" spans="1:7" x14ac:dyDescent="0.3">
      <c r="A5107" t="s">
        <v>13039</v>
      </c>
      <c r="B5107" t="s">
        <v>10248</v>
      </c>
      <c r="C5107" t="s">
        <v>10249</v>
      </c>
      <c r="D5107" s="1" t="s">
        <v>2904</v>
      </c>
      <c r="E5107" s="3">
        <v>35.39</v>
      </c>
      <c r="F5107" s="3">
        <f t="shared" si="158"/>
        <v>8.9430530000000008</v>
      </c>
      <c r="G5107" s="3">
        <f t="shared" si="159"/>
        <v>44.333053</v>
      </c>
    </row>
    <row r="5108" spans="1:7" x14ac:dyDescent="0.3">
      <c r="A5108" t="s">
        <v>13039</v>
      </c>
      <c r="B5108" t="s">
        <v>10250</v>
      </c>
      <c r="C5108" t="s">
        <v>10251</v>
      </c>
      <c r="D5108" s="1" t="s">
        <v>2904</v>
      </c>
      <c r="E5108" s="3">
        <v>42.34</v>
      </c>
      <c r="F5108" s="3">
        <f t="shared" si="158"/>
        <v>10.699318000000002</v>
      </c>
      <c r="G5108" s="3">
        <f t="shared" si="159"/>
        <v>53.039318000000009</v>
      </c>
    </row>
    <row r="5109" spans="1:7" x14ac:dyDescent="0.3">
      <c r="A5109" t="s">
        <v>13039</v>
      </c>
      <c r="B5109" t="s">
        <v>10252</v>
      </c>
      <c r="C5109" t="s">
        <v>10253</v>
      </c>
      <c r="D5109" s="1" t="s">
        <v>2904</v>
      </c>
      <c r="E5109" s="3">
        <v>27.97</v>
      </c>
      <c r="F5109" s="3">
        <f t="shared" si="158"/>
        <v>7.0680190000000005</v>
      </c>
      <c r="G5109" s="3">
        <f t="shared" si="159"/>
        <v>35.038018999999998</v>
      </c>
    </row>
    <row r="5110" spans="1:7" x14ac:dyDescent="0.3">
      <c r="A5110" t="s">
        <v>13039</v>
      </c>
      <c r="B5110" t="s">
        <v>10254</v>
      </c>
      <c r="C5110" t="s">
        <v>10255</v>
      </c>
      <c r="D5110" s="1" t="s">
        <v>2904</v>
      </c>
      <c r="E5110" s="3">
        <v>30.13</v>
      </c>
      <c r="F5110" s="3">
        <f t="shared" si="158"/>
        <v>7.6138510000000013</v>
      </c>
      <c r="G5110" s="3">
        <f t="shared" si="159"/>
        <v>37.743850999999999</v>
      </c>
    </row>
    <row r="5111" spans="1:7" x14ac:dyDescent="0.3">
      <c r="A5111" t="s">
        <v>13039</v>
      </c>
      <c r="B5111" t="s">
        <v>10256</v>
      </c>
      <c r="C5111" t="s">
        <v>10257</v>
      </c>
      <c r="D5111" s="1" t="s">
        <v>2904</v>
      </c>
      <c r="E5111" s="3">
        <v>32.29</v>
      </c>
      <c r="F5111" s="3">
        <f t="shared" si="158"/>
        <v>8.1596830000000011</v>
      </c>
      <c r="G5111" s="3">
        <f t="shared" si="159"/>
        <v>40.449683</v>
      </c>
    </row>
    <row r="5112" spans="1:7" x14ac:dyDescent="0.3">
      <c r="A5112" t="s">
        <v>13039</v>
      </c>
      <c r="B5112" t="s">
        <v>10258</v>
      </c>
      <c r="C5112" t="s">
        <v>10259</v>
      </c>
      <c r="D5112" s="1" t="s">
        <v>2904</v>
      </c>
      <c r="E5112" s="3">
        <v>16.96</v>
      </c>
      <c r="F5112" s="3">
        <f t="shared" si="158"/>
        <v>4.2857920000000007</v>
      </c>
      <c r="G5112" s="3">
        <f t="shared" si="159"/>
        <v>21.245792000000002</v>
      </c>
    </row>
    <row r="5113" spans="1:7" x14ac:dyDescent="0.3">
      <c r="A5113" t="s">
        <v>13039</v>
      </c>
      <c r="B5113" t="s">
        <v>10260</v>
      </c>
      <c r="C5113" t="s">
        <v>10261</v>
      </c>
      <c r="D5113" s="1" t="s">
        <v>38</v>
      </c>
      <c r="E5113" s="3">
        <v>279.12</v>
      </c>
      <c r="F5113" s="3">
        <f t="shared" si="158"/>
        <v>70.533624000000017</v>
      </c>
      <c r="G5113" s="3">
        <f t="shared" si="159"/>
        <v>349.65362400000004</v>
      </c>
    </row>
    <row r="5114" spans="1:7" x14ac:dyDescent="0.3">
      <c r="A5114" t="s">
        <v>13039</v>
      </c>
      <c r="B5114" t="s">
        <v>10262</v>
      </c>
      <c r="C5114" t="s">
        <v>10263</v>
      </c>
      <c r="D5114" s="1" t="s">
        <v>38</v>
      </c>
      <c r="E5114" s="3">
        <v>476.98</v>
      </c>
      <c r="F5114" s="3">
        <f t="shared" si="158"/>
        <v>120.53284600000002</v>
      </c>
      <c r="G5114" s="3">
        <f t="shared" si="159"/>
        <v>597.51284600000008</v>
      </c>
    </row>
    <row r="5115" spans="1:7" x14ac:dyDescent="0.3">
      <c r="A5115" t="s">
        <v>13039</v>
      </c>
      <c r="B5115" t="s">
        <v>10264</v>
      </c>
      <c r="C5115" t="s">
        <v>10265</v>
      </c>
      <c r="D5115" s="1" t="s">
        <v>38</v>
      </c>
      <c r="E5115" s="3">
        <v>667.87</v>
      </c>
      <c r="F5115" s="3">
        <f t="shared" si="158"/>
        <v>168.77074900000002</v>
      </c>
      <c r="G5115" s="3">
        <f t="shared" si="159"/>
        <v>836.64074900000003</v>
      </c>
    </row>
    <row r="5116" spans="1:7" x14ac:dyDescent="0.3">
      <c r="A5116" t="s">
        <v>13039</v>
      </c>
      <c r="B5116" t="s">
        <v>10266</v>
      </c>
      <c r="C5116" t="s">
        <v>10267</v>
      </c>
      <c r="D5116" s="1" t="s">
        <v>38</v>
      </c>
      <c r="E5116" s="3">
        <v>1070.67</v>
      </c>
      <c r="F5116" s="3">
        <f t="shared" si="158"/>
        <v>270.55830900000007</v>
      </c>
      <c r="G5116" s="3">
        <f t="shared" si="159"/>
        <v>1341.2283090000001</v>
      </c>
    </row>
    <row r="5117" spans="1:7" x14ac:dyDescent="0.3">
      <c r="A5117" t="s">
        <v>13039</v>
      </c>
      <c r="B5117" t="s">
        <v>10268</v>
      </c>
      <c r="C5117" t="s">
        <v>10269</v>
      </c>
      <c r="D5117" s="1" t="s">
        <v>38</v>
      </c>
      <c r="E5117" s="3">
        <v>266.93</v>
      </c>
      <c r="F5117" s="3">
        <f t="shared" si="158"/>
        <v>67.45321100000001</v>
      </c>
      <c r="G5117" s="3">
        <f t="shared" si="159"/>
        <v>334.38321100000002</v>
      </c>
    </row>
    <row r="5118" spans="1:7" x14ac:dyDescent="0.3">
      <c r="A5118" t="s">
        <v>13039</v>
      </c>
      <c r="B5118" t="s">
        <v>10270</v>
      </c>
      <c r="C5118" t="s">
        <v>10271</v>
      </c>
      <c r="D5118" s="1" t="s">
        <v>38</v>
      </c>
      <c r="E5118" s="3">
        <v>453.77</v>
      </c>
      <c r="F5118" s="3">
        <f t="shared" si="158"/>
        <v>114.66767900000001</v>
      </c>
      <c r="G5118" s="3">
        <f t="shared" si="159"/>
        <v>568.437679</v>
      </c>
    </row>
    <row r="5119" spans="1:7" x14ac:dyDescent="0.3">
      <c r="A5119" t="s">
        <v>13039</v>
      </c>
      <c r="B5119" t="s">
        <v>10272</v>
      </c>
      <c r="C5119" t="s">
        <v>10273</v>
      </c>
      <c r="D5119" s="1" t="s">
        <v>38</v>
      </c>
      <c r="E5119" s="3">
        <v>634.02</v>
      </c>
      <c r="F5119" s="3">
        <f t="shared" si="158"/>
        <v>160.21685400000001</v>
      </c>
      <c r="G5119" s="3">
        <f t="shared" si="159"/>
        <v>794.23685399999999</v>
      </c>
    </row>
    <row r="5120" spans="1:7" x14ac:dyDescent="0.3">
      <c r="A5120" t="s">
        <v>13039</v>
      </c>
      <c r="B5120" t="s">
        <v>10274</v>
      </c>
      <c r="C5120" t="s">
        <v>10275</v>
      </c>
      <c r="D5120" s="1" t="s">
        <v>38</v>
      </c>
      <c r="E5120" s="3">
        <v>1021.92</v>
      </c>
      <c r="F5120" s="3">
        <f t="shared" si="158"/>
        <v>258.23918400000002</v>
      </c>
      <c r="G5120" s="3">
        <f t="shared" si="159"/>
        <v>1280.1591840000001</v>
      </c>
    </row>
    <row r="5121" spans="1:7" x14ac:dyDescent="0.3">
      <c r="A5121" t="s">
        <v>13039</v>
      </c>
      <c r="B5121" t="s">
        <v>10276</v>
      </c>
      <c r="C5121" t="s">
        <v>10277</v>
      </c>
      <c r="D5121" s="1" t="s">
        <v>10129</v>
      </c>
      <c r="E5121" s="3">
        <v>3.99</v>
      </c>
      <c r="F5121" s="3">
        <f t="shared" si="158"/>
        <v>1.0082730000000002</v>
      </c>
      <c r="G5121" s="3">
        <f t="shared" si="159"/>
        <v>4.9982730000000002</v>
      </c>
    </row>
    <row r="5122" spans="1:7" x14ac:dyDescent="0.3">
      <c r="A5122" t="s">
        <v>13039</v>
      </c>
      <c r="B5122" t="s">
        <v>10278</v>
      </c>
      <c r="C5122" t="s">
        <v>10279</v>
      </c>
      <c r="D5122" s="1" t="s">
        <v>38</v>
      </c>
      <c r="E5122" s="3">
        <v>309.74</v>
      </c>
      <c r="F5122" s="3">
        <f t="shared" si="158"/>
        <v>78.271298000000016</v>
      </c>
      <c r="G5122" s="3">
        <f t="shared" si="159"/>
        <v>388.01129800000001</v>
      </c>
    </row>
    <row r="5123" spans="1:7" x14ac:dyDescent="0.3">
      <c r="A5123" t="s">
        <v>13039</v>
      </c>
      <c r="B5123" t="s">
        <v>10280</v>
      </c>
      <c r="C5123" t="s">
        <v>10281</v>
      </c>
      <c r="D5123" s="1" t="s">
        <v>38</v>
      </c>
      <c r="E5123" s="3">
        <v>401</v>
      </c>
      <c r="F5123" s="3">
        <f t="shared" si="158"/>
        <v>101.33270000000002</v>
      </c>
      <c r="G5123" s="3">
        <f t="shared" si="159"/>
        <v>502.33270000000005</v>
      </c>
    </row>
    <row r="5124" spans="1:7" x14ac:dyDescent="0.3">
      <c r="A5124" t="s">
        <v>13039</v>
      </c>
      <c r="B5124" t="s">
        <v>10282</v>
      </c>
      <c r="C5124" t="s">
        <v>10283</v>
      </c>
      <c r="D5124" s="1" t="s">
        <v>38</v>
      </c>
      <c r="E5124" s="3">
        <v>289.43</v>
      </c>
      <c r="F5124" s="3">
        <f t="shared" si="158"/>
        <v>73.138961000000009</v>
      </c>
      <c r="G5124" s="3">
        <f t="shared" si="159"/>
        <v>362.568961</v>
      </c>
    </row>
    <row r="5125" spans="1:7" x14ac:dyDescent="0.3">
      <c r="A5125" t="s">
        <v>13039</v>
      </c>
      <c r="B5125" t="s">
        <v>10284</v>
      </c>
      <c r="C5125" t="s">
        <v>10285</v>
      </c>
      <c r="D5125" s="1" t="s">
        <v>38</v>
      </c>
      <c r="E5125" s="3">
        <v>375.62</v>
      </c>
      <c r="F5125" s="3">
        <f t="shared" si="158"/>
        <v>94.919174000000012</v>
      </c>
      <c r="G5125" s="3">
        <f t="shared" si="159"/>
        <v>470.539174</v>
      </c>
    </row>
    <row r="5126" spans="1:7" x14ac:dyDescent="0.3">
      <c r="A5126" t="s">
        <v>13039</v>
      </c>
      <c r="B5126" t="s">
        <v>10286</v>
      </c>
      <c r="C5126" t="s">
        <v>10287</v>
      </c>
      <c r="D5126" s="1" t="s">
        <v>38</v>
      </c>
      <c r="E5126" s="3">
        <v>279.08</v>
      </c>
      <c r="F5126" s="3">
        <f t="shared" si="158"/>
        <v>70.523516000000001</v>
      </c>
      <c r="G5126" s="3">
        <f t="shared" si="159"/>
        <v>349.60351600000001</v>
      </c>
    </row>
    <row r="5127" spans="1:7" x14ac:dyDescent="0.3">
      <c r="A5127" t="s">
        <v>13039</v>
      </c>
      <c r="B5127" t="s">
        <v>10288</v>
      </c>
      <c r="C5127" t="s">
        <v>10289</v>
      </c>
      <c r="D5127" s="1" t="s">
        <v>38</v>
      </c>
      <c r="E5127" s="3">
        <v>477.02</v>
      </c>
      <c r="F5127" s="3">
        <f t="shared" ref="F5127:F5190" si="160">+E5127*$F$4</f>
        <v>120.54295400000001</v>
      </c>
      <c r="G5127" s="3">
        <f t="shared" ref="G5127:G5190" si="161">+E5127+F5127</f>
        <v>597.56295399999999</v>
      </c>
    </row>
    <row r="5128" spans="1:7" x14ac:dyDescent="0.3">
      <c r="A5128" t="s">
        <v>13039</v>
      </c>
      <c r="B5128" t="s">
        <v>10290</v>
      </c>
      <c r="C5128" t="s">
        <v>10291</v>
      </c>
      <c r="D5128" s="1" t="s">
        <v>38</v>
      </c>
      <c r="E5128" s="3">
        <v>667.87</v>
      </c>
      <c r="F5128" s="3">
        <f t="shared" si="160"/>
        <v>168.77074900000002</v>
      </c>
      <c r="G5128" s="3">
        <f t="shared" si="161"/>
        <v>836.64074900000003</v>
      </c>
    </row>
    <row r="5129" spans="1:7" x14ac:dyDescent="0.3">
      <c r="A5129" t="s">
        <v>13039</v>
      </c>
      <c r="B5129" t="s">
        <v>10292</v>
      </c>
      <c r="C5129" t="s">
        <v>10293</v>
      </c>
      <c r="D5129" s="1" t="s">
        <v>38</v>
      </c>
      <c r="E5129" s="3">
        <v>1070.69</v>
      </c>
      <c r="F5129" s="3">
        <f t="shared" si="160"/>
        <v>270.56336300000004</v>
      </c>
      <c r="G5129" s="3">
        <f t="shared" si="161"/>
        <v>1341.253363</v>
      </c>
    </row>
    <row r="5130" spans="1:7" x14ac:dyDescent="0.3">
      <c r="A5130" t="s">
        <v>13039</v>
      </c>
      <c r="B5130" t="s">
        <v>10294</v>
      </c>
      <c r="C5130" t="s">
        <v>10295</v>
      </c>
      <c r="D5130" s="1" t="s">
        <v>38</v>
      </c>
      <c r="E5130" s="3">
        <v>279.14</v>
      </c>
      <c r="F5130" s="3">
        <f t="shared" si="160"/>
        <v>70.538678000000004</v>
      </c>
      <c r="G5130" s="3">
        <f t="shared" si="161"/>
        <v>349.67867799999999</v>
      </c>
    </row>
    <row r="5131" spans="1:7" x14ac:dyDescent="0.3">
      <c r="A5131" t="s">
        <v>13039</v>
      </c>
      <c r="B5131" t="s">
        <v>10296</v>
      </c>
      <c r="C5131" t="s">
        <v>10297</v>
      </c>
      <c r="D5131" s="1" t="s">
        <v>38</v>
      </c>
      <c r="E5131" s="3">
        <v>476.94</v>
      </c>
      <c r="F5131" s="3">
        <f t="shared" si="160"/>
        <v>120.52273800000002</v>
      </c>
      <c r="G5131" s="3">
        <f t="shared" si="161"/>
        <v>597.46273800000006</v>
      </c>
    </row>
    <row r="5132" spans="1:7" x14ac:dyDescent="0.3">
      <c r="A5132" t="s">
        <v>13039</v>
      </c>
      <c r="B5132" t="s">
        <v>10298</v>
      </c>
      <c r="C5132" t="s">
        <v>10299</v>
      </c>
      <c r="D5132" s="1" t="s">
        <v>38</v>
      </c>
      <c r="E5132" s="3">
        <v>667.87</v>
      </c>
      <c r="F5132" s="3">
        <f t="shared" si="160"/>
        <v>168.77074900000002</v>
      </c>
      <c r="G5132" s="3">
        <f t="shared" si="161"/>
        <v>836.64074900000003</v>
      </c>
    </row>
    <row r="5133" spans="1:7" x14ac:dyDescent="0.3">
      <c r="A5133" t="s">
        <v>13039</v>
      </c>
      <c r="B5133" t="s">
        <v>10300</v>
      </c>
      <c r="C5133" t="s">
        <v>10301</v>
      </c>
      <c r="D5133" s="1" t="s">
        <v>38</v>
      </c>
      <c r="E5133" s="3">
        <v>1070.74</v>
      </c>
      <c r="F5133" s="3">
        <f t="shared" si="160"/>
        <v>270.57599800000003</v>
      </c>
      <c r="G5133" s="3">
        <f t="shared" si="161"/>
        <v>1341.315998</v>
      </c>
    </row>
    <row r="5134" spans="1:7" x14ac:dyDescent="0.3">
      <c r="A5134" t="s">
        <v>13039</v>
      </c>
      <c r="B5134" t="s">
        <v>10302</v>
      </c>
      <c r="C5134" t="s">
        <v>10303</v>
      </c>
      <c r="D5134" s="1" t="s">
        <v>38</v>
      </c>
      <c r="E5134" s="3">
        <v>192.98</v>
      </c>
      <c r="F5134" s="3">
        <f t="shared" si="160"/>
        <v>48.766046000000003</v>
      </c>
      <c r="G5134" s="3">
        <f t="shared" si="161"/>
        <v>241.74604599999998</v>
      </c>
    </row>
    <row r="5135" spans="1:7" x14ac:dyDescent="0.3">
      <c r="A5135" t="s">
        <v>13039</v>
      </c>
      <c r="B5135" t="s">
        <v>10304</v>
      </c>
      <c r="C5135" t="s">
        <v>10305</v>
      </c>
      <c r="D5135" s="1" t="s">
        <v>38</v>
      </c>
      <c r="E5135" s="3">
        <v>303.39999999999998</v>
      </c>
      <c r="F5135" s="3">
        <f t="shared" si="160"/>
        <v>76.669180000000011</v>
      </c>
      <c r="G5135" s="3">
        <f t="shared" si="161"/>
        <v>380.06917999999996</v>
      </c>
    </row>
    <row r="5136" spans="1:7" x14ac:dyDescent="0.3">
      <c r="A5136" t="s">
        <v>13039</v>
      </c>
      <c r="B5136" t="s">
        <v>10306</v>
      </c>
      <c r="C5136" t="s">
        <v>10307</v>
      </c>
      <c r="D5136" s="1" t="s">
        <v>38</v>
      </c>
      <c r="E5136" s="3">
        <v>424.88</v>
      </c>
      <c r="F5136" s="3">
        <f t="shared" si="160"/>
        <v>107.36717600000001</v>
      </c>
      <c r="G5136" s="3">
        <f t="shared" si="161"/>
        <v>532.24717599999997</v>
      </c>
    </row>
    <row r="5137" spans="1:7" x14ac:dyDescent="0.3">
      <c r="A5137" t="s">
        <v>13039</v>
      </c>
      <c r="B5137" t="s">
        <v>10308</v>
      </c>
      <c r="C5137" t="s">
        <v>10309</v>
      </c>
      <c r="D5137" s="1" t="s">
        <v>38</v>
      </c>
      <c r="E5137" s="3">
        <v>621.66</v>
      </c>
      <c r="F5137" s="3">
        <f t="shared" si="160"/>
        <v>157.09348200000002</v>
      </c>
      <c r="G5137" s="3">
        <f t="shared" si="161"/>
        <v>778.75348199999996</v>
      </c>
    </row>
    <row r="5138" spans="1:7" x14ac:dyDescent="0.3">
      <c r="A5138" t="s">
        <v>13039</v>
      </c>
      <c r="B5138" t="s">
        <v>10310</v>
      </c>
      <c r="C5138" t="s">
        <v>10311</v>
      </c>
      <c r="D5138" s="1" t="s">
        <v>38</v>
      </c>
      <c r="E5138" s="3">
        <v>266.89999999999998</v>
      </c>
      <c r="F5138" s="3">
        <f t="shared" si="160"/>
        <v>67.445630000000008</v>
      </c>
      <c r="G5138" s="3">
        <f t="shared" si="161"/>
        <v>334.34562999999997</v>
      </c>
    </row>
    <row r="5139" spans="1:7" x14ac:dyDescent="0.3">
      <c r="A5139" t="s">
        <v>13039</v>
      </c>
      <c r="B5139" t="s">
        <v>10312</v>
      </c>
      <c r="C5139" t="s">
        <v>10313</v>
      </c>
      <c r="D5139" s="1" t="s">
        <v>38</v>
      </c>
      <c r="E5139" s="3">
        <v>453.81</v>
      </c>
      <c r="F5139" s="3">
        <f t="shared" si="160"/>
        <v>114.67778700000002</v>
      </c>
      <c r="G5139" s="3">
        <f t="shared" si="161"/>
        <v>568.48778700000003</v>
      </c>
    </row>
    <row r="5140" spans="1:7" x14ac:dyDescent="0.3">
      <c r="A5140" t="s">
        <v>13039</v>
      </c>
      <c r="B5140" t="s">
        <v>10314</v>
      </c>
      <c r="C5140" t="s">
        <v>10315</v>
      </c>
      <c r="D5140" s="1" t="s">
        <v>38</v>
      </c>
      <c r="E5140" s="3">
        <v>634.02</v>
      </c>
      <c r="F5140" s="3">
        <f t="shared" si="160"/>
        <v>160.21685400000001</v>
      </c>
      <c r="G5140" s="3">
        <f t="shared" si="161"/>
        <v>794.23685399999999</v>
      </c>
    </row>
    <row r="5141" spans="1:7" x14ac:dyDescent="0.3">
      <c r="A5141" t="s">
        <v>13039</v>
      </c>
      <c r="B5141" t="s">
        <v>10316</v>
      </c>
      <c r="C5141" t="s">
        <v>10317</v>
      </c>
      <c r="D5141" s="1" t="s">
        <v>38</v>
      </c>
      <c r="E5141" s="3">
        <v>1021.94</v>
      </c>
      <c r="F5141" s="3">
        <f t="shared" si="160"/>
        <v>258.24423800000005</v>
      </c>
      <c r="G5141" s="3">
        <f t="shared" si="161"/>
        <v>1280.1842380000001</v>
      </c>
    </row>
    <row r="5142" spans="1:7" x14ac:dyDescent="0.3">
      <c r="A5142" t="s">
        <v>13039</v>
      </c>
      <c r="B5142" t="s">
        <v>10318</v>
      </c>
      <c r="C5142" t="s">
        <v>10319</v>
      </c>
      <c r="D5142" s="1" t="s">
        <v>38</v>
      </c>
      <c r="E5142" s="3">
        <v>266.95999999999998</v>
      </c>
      <c r="F5142" s="3">
        <f t="shared" si="160"/>
        <v>67.460791999999998</v>
      </c>
      <c r="G5142" s="3">
        <f t="shared" si="161"/>
        <v>334.42079200000001</v>
      </c>
    </row>
    <row r="5143" spans="1:7" x14ac:dyDescent="0.3">
      <c r="A5143" t="s">
        <v>13039</v>
      </c>
      <c r="B5143" t="s">
        <v>10320</v>
      </c>
      <c r="C5143" t="s">
        <v>10321</v>
      </c>
      <c r="D5143" s="1" t="s">
        <v>38</v>
      </c>
      <c r="E5143" s="3">
        <v>453.73</v>
      </c>
      <c r="F5143" s="3">
        <f t="shared" si="160"/>
        <v>114.65757100000002</v>
      </c>
      <c r="G5143" s="3">
        <f t="shared" si="161"/>
        <v>568.38757099999998</v>
      </c>
    </row>
    <row r="5144" spans="1:7" x14ac:dyDescent="0.3">
      <c r="A5144" t="s">
        <v>13039</v>
      </c>
      <c r="B5144" t="s">
        <v>10322</v>
      </c>
      <c r="C5144" t="s">
        <v>10323</v>
      </c>
      <c r="D5144" s="1" t="s">
        <v>38</v>
      </c>
      <c r="E5144" s="3">
        <v>634.02</v>
      </c>
      <c r="F5144" s="3">
        <f t="shared" si="160"/>
        <v>160.21685400000001</v>
      </c>
      <c r="G5144" s="3">
        <f t="shared" si="161"/>
        <v>794.23685399999999</v>
      </c>
    </row>
    <row r="5145" spans="1:7" x14ac:dyDescent="0.3">
      <c r="A5145" t="s">
        <v>13039</v>
      </c>
      <c r="B5145" t="s">
        <v>10324</v>
      </c>
      <c r="C5145" t="s">
        <v>10325</v>
      </c>
      <c r="D5145" s="1" t="s">
        <v>38</v>
      </c>
      <c r="E5145" s="3">
        <v>1022</v>
      </c>
      <c r="F5145" s="3">
        <f t="shared" si="160"/>
        <v>258.25940000000003</v>
      </c>
      <c r="G5145" s="3">
        <f t="shared" si="161"/>
        <v>1280.2593999999999</v>
      </c>
    </row>
    <row r="5146" spans="1:7" x14ac:dyDescent="0.3">
      <c r="A5146" t="s">
        <v>13039</v>
      </c>
      <c r="B5146" t="s">
        <v>10326</v>
      </c>
      <c r="C5146" t="s">
        <v>10327</v>
      </c>
      <c r="D5146" s="1" t="s">
        <v>38</v>
      </c>
      <c r="E5146" s="3">
        <v>185.6</v>
      </c>
      <c r="F5146" s="3">
        <f t="shared" si="160"/>
        <v>46.901120000000006</v>
      </c>
      <c r="G5146" s="3">
        <f t="shared" si="161"/>
        <v>232.50112000000001</v>
      </c>
    </row>
    <row r="5147" spans="1:7" x14ac:dyDescent="0.3">
      <c r="A5147" t="s">
        <v>13039</v>
      </c>
      <c r="B5147" t="s">
        <v>10328</v>
      </c>
      <c r="C5147" t="s">
        <v>10329</v>
      </c>
      <c r="D5147" s="1" t="s">
        <v>38</v>
      </c>
      <c r="E5147" s="3">
        <v>289.86</v>
      </c>
      <c r="F5147" s="3">
        <f t="shared" si="160"/>
        <v>73.247622000000007</v>
      </c>
      <c r="G5147" s="3">
        <f t="shared" si="161"/>
        <v>363.10762199999999</v>
      </c>
    </row>
    <row r="5148" spans="1:7" x14ac:dyDescent="0.3">
      <c r="A5148" t="s">
        <v>13039</v>
      </c>
      <c r="B5148" t="s">
        <v>10330</v>
      </c>
      <c r="C5148" t="s">
        <v>10331</v>
      </c>
      <c r="D5148" s="1" t="s">
        <v>38</v>
      </c>
      <c r="E5148" s="3">
        <v>404.57</v>
      </c>
      <c r="F5148" s="3">
        <f t="shared" si="160"/>
        <v>102.23483900000001</v>
      </c>
      <c r="G5148" s="3">
        <f t="shared" si="161"/>
        <v>506.80483900000002</v>
      </c>
    </row>
    <row r="5149" spans="1:7" x14ac:dyDescent="0.3">
      <c r="A5149" t="s">
        <v>13039</v>
      </c>
      <c r="B5149" t="s">
        <v>10332</v>
      </c>
      <c r="C5149" t="s">
        <v>10333</v>
      </c>
      <c r="D5149" s="1" t="s">
        <v>38</v>
      </c>
      <c r="E5149" s="3">
        <v>519.29</v>
      </c>
      <c r="F5149" s="3">
        <f t="shared" si="160"/>
        <v>131.224583</v>
      </c>
      <c r="G5149" s="3">
        <f t="shared" si="161"/>
        <v>650.5145829999999</v>
      </c>
    </row>
    <row r="5150" spans="1:7" x14ac:dyDescent="0.3">
      <c r="A5150" t="s">
        <v>13039</v>
      </c>
      <c r="B5150" t="s">
        <v>10334</v>
      </c>
      <c r="C5150" t="s">
        <v>10335</v>
      </c>
      <c r="D5150" s="1" t="s">
        <v>10129</v>
      </c>
      <c r="E5150" s="3">
        <v>3.75</v>
      </c>
      <c r="F5150" s="3">
        <f t="shared" si="160"/>
        <v>0.94762500000000016</v>
      </c>
      <c r="G5150" s="3">
        <f t="shared" si="161"/>
        <v>4.6976250000000004</v>
      </c>
    </row>
    <row r="5151" spans="1:7" x14ac:dyDescent="0.3">
      <c r="A5151" t="s">
        <v>13039</v>
      </c>
      <c r="B5151" t="s">
        <v>10336</v>
      </c>
      <c r="C5151" t="s">
        <v>10337</v>
      </c>
      <c r="D5151" s="1" t="s">
        <v>10129</v>
      </c>
      <c r="E5151" s="3">
        <v>3.8</v>
      </c>
      <c r="F5151" s="3">
        <f t="shared" si="160"/>
        <v>0.96026000000000011</v>
      </c>
      <c r="G5151" s="3">
        <f t="shared" si="161"/>
        <v>4.7602599999999997</v>
      </c>
    </row>
    <row r="5152" spans="1:7" x14ac:dyDescent="0.3">
      <c r="A5152" t="s">
        <v>13039</v>
      </c>
      <c r="B5152" t="s">
        <v>10338</v>
      </c>
      <c r="C5152" t="s">
        <v>10339</v>
      </c>
      <c r="D5152" s="1" t="s">
        <v>10129</v>
      </c>
      <c r="E5152" s="3">
        <v>3.36</v>
      </c>
      <c r="F5152" s="3">
        <f t="shared" si="160"/>
        <v>0.84907200000000005</v>
      </c>
      <c r="G5152" s="3">
        <f t="shared" si="161"/>
        <v>4.2090719999999999</v>
      </c>
    </row>
    <row r="5153" spans="1:7" x14ac:dyDescent="0.3">
      <c r="A5153" t="s">
        <v>13039</v>
      </c>
      <c r="B5153" t="s">
        <v>10340</v>
      </c>
      <c r="C5153" t="s">
        <v>10341</v>
      </c>
      <c r="D5153" s="1" t="s">
        <v>38</v>
      </c>
      <c r="E5153" s="3">
        <v>171.21</v>
      </c>
      <c r="F5153" s="3">
        <f t="shared" si="160"/>
        <v>43.264767000000006</v>
      </c>
      <c r="G5153" s="3">
        <f t="shared" si="161"/>
        <v>214.47476700000001</v>
      </c>
    </row>
    <row r="5154" spans="1:7" x14ac:dyDescent="0.3">
      <c r="A5154" t="s">
        <v>13039</v>
      </c>
      <c r="B5154" t="s">
        <v>10342</v>
      </c>
      <c r="C5154" t="s">
        <v>10343</v>
      </c>
      <c r="D5154" s="1" t="s">
        <v>38</v>
      </c>
      <c r="E5154" s="3">
        <v>183.52</v>
      </c>
      <c r="F5154" s="3">
        <f t="shared" si="160"/>
        <v>46.375504000000006</v>
      </c>
      <c r="G5154" s="3">
        <f t="shared" si="161"/>
        <v>229.89550400000002</v>
      </c>
    </row>
    <row r="5155" spans="1:7" x14ac:dyDescent="0.3">
      <c r="A5155" t="s">
        <v>13039</v>
      </c>
      <c r="B5155" t="s">
        <v>10344</v>
      </c>
      <c r="C5155" t="s">
        <v>10345</v>
      </c>
      <c r="D5155" s="1" t="s">
        <v>38</v>
      </c>
      <c r="E5155" s="3">
        <v>162.07</v>
      </c>
      <c r="F5155" s="3">
        <f t="shared" si="160"/>
        <v>40.955089000000001</v>
      </c>
      <c r="G5155" s="3">
        <f t="shared" si="161"/>
        <v>203.02508899999998</v>
      </c>
    </row>
    <row r="5156" spans="1:7" x14ac:dyDescent="0.3">
      <c r="A5156" t="s">
        <v>13039</v>
      </c>
      <c r="B5156" t="s">
        <v>10346</v>
      </c>
      <c r="C5156" t="s">
        <v>10347</v>
      </c>
      <c r="D5156" s="1" t="s">
        <v>38</v>
      </c>
      <c r="E5156" s="3">
        <v>173.37</v>
      </c>
      <c r="F5156" s="3">
        <f t="shared" si="160"/>
        <v>43.810599000000011</v>
      </c>
      <c r="G5156" s="3">
        <f t="shared" si="161"/>
        <v>217.18059900000003</v>
      </c>
    </row>
    <row r="5157" spans="1:7" x14ac:dyDescent="0.3">
      <c r="A5157" t="s">
        <v>13039</v>
      </c>
      <c r="B5157" t="s">
        <v>10348</v>
      </c>
      <c r="C5157" t="s">
        <v>10349</v>
      </c>
      <c r="D5157" s="1" t="s">
        <v>38</v>
      </c>
      <c r="E5157" s="3">
        <v>921.65</v>
      </c>
      <c r="F5157" s="3">
        <f t="shared" si="160"/>
        <v>232.90095500000004</v>
      </c>
      <c r="G5157" s="3">
        <f t="shared" si="161"/>
        <v>1154.5509549999999</v>
      </c>
    </row>
    <row r="5158" spans="1:7" x14ac:dyDescent="0.3">
      <c r="A5158" t="s">
        <v>13039</v>
      </c>
      <c r="B5158" t="s">
        <v>10350</v>
      </c>
      <c r="C5158" t="s">
        <v>10351</v>
      </c>
      <c r="D5158" s="1" t="s">
        <v>38</v>
      </c>
      <c r="E5158" s="3">
        <v>998.77</v>
      </c>
      <c r="F5158" s="3">
        <f t="shared" si="160"/>
        <v>252.38917900000004</v>
      </c>
      <c r="G5158" s="3">
        <f t="shared" si="161"/>
        <v>1251.159179</v>
      </c>
    </row>
    <row r="5159" spans="1:7" x14ac:dyDescent="0.3">
      <c r="A5159" t="s">
        <v>13039</v>
      </c>
      <c r="B5159" t="s">
        <v>10352</v>
      </c>
      <c r="C5159" t="s">
        <v>10353</v>
      </c>
      <c r="D5159" s="1" t="s">
        <v>38</v>
      </c>
      <c r="E5159" s="3">
        <v>1153.77</v>
      </c>
      <c r="F5159" s="3">
        <f t="shared" si="160"/>
        <v>291.55767900000006</v>
      </c>
      <c r="G5159" s="3">
        <f t="shared" si="161"/>
        <v>1445.327679</v>
      </c>
    </row>
    <row r="5160" spans="1:7" x14ac:dyDescent="0.3">
      <c r="A5160" t="s">
        <v>13039</v>
      </c>
      <c r="B5160" t="s">
        <v>10354</v>
      </c>
      <c r="C5160" t="s">
        <v>10355</v>
      </c>
      <c r="D5160" s="1" t="s">
        <v>38</v>
      </c>
      <c r="E5160" s="3">
        <v>1191.6099999999999</v>
      </c>
      <c r="F5160" s="3">
        <f t="shared" si="160"/>
        <v>301.11984699999999</v>
      </c>
      <c r="G5160" s="3">
        <f t="shared" si="161"/>
        <v>1492.7298469999998</v>
      </c>
    </row>
    <row r="5161" spans="1:7" x14ac:dyDescent="0.3">
      <c r="A5161" t="s">
        <v>13039</v>
      </c>
      <c r="B5161" t="s">
        <v>10356</v>
      </c>
      <c r="C5161" t="s">
        <v>10357</v>
      </c>
      <c r="D5161" s="1" t="s">
        <v>38</v>
      </c>
      <c r="E5161" s="3">
        <v>1346.61</v>
      </c>
      <c r="F5161" s="3">
        <f t="shared" si="160"/>
        <v>340.28834700000004</v>
      </c>
      <c r="G5161" s="3">
        <f t="shared" si="161"/>
        <v>1686.8983469999998</v>
      </c>
    </row>
    <row r="5162" spans="1:7" x14ac:dyDescent="0.3">
      <c r="A5162" t="s">
        <v>13039</v>
      </c>
      <c r="B5162" t="s">
        <v>10358</v>
      </c>
      <c r="C5162" t="s">
        <v>10359</v>
      </c>
      <c r="D5162" s="1" t="s">
        <v>38</v>
      </c>
      <c r="E5162" s="3">
        <v>1960.38</v>
      </c>
      <c r="F5162" s="3">
        <f t="shared" si="160"/>
        <v>495.38802600000008</v>
      </c>
      <c r="G5162" s="3">
        <f t="shared" si="161"/>
        <v>2455.7680260000002</v>
      </c>
    </row>
    <row r="5163" spans="1:7" x14ac:dyDescent="0.3">
      <c r="A5163" t="s">
        <v>13039</v>
      </c>
      <c r="B5163" t="s">
        <v>10360</v>
      </c>
      <c r="C5163" t="s">
        <v>10361</v>
      </c>
      <c r="D5163" s="1" t="s">
        <v>38</v>
      </c>
      <c r="E5163" s="3">
        <v>2133.9</v>
      </c>
      <c r="F5163" s="3">
        <f t="shared" si="160"/>
        <v>539.23653000000013</v>
      </c>
      <c r="G5163" s="3">
        <f t="shared" si="161"/>
        <v>2673.1365300000002</v>
      </c>
    </row>
    <row r="5164" spans="1:7" x14ac:dyDescent="0.3">
      <c r="A5164" t="s">
        <v>13039</v>
      </c>
      <c r="B5164" t="s">
        <v>10362</v>
      </c>
      <c r="C5164" t="s">
        <v>10363</v>
      </c>
      <c r="D5164" s="1" t="s">
        <v>38</v>
      </c>
      <c r="E5164" s="3">
        <v>2482.65</v>
      </c>
      <c r="F5164" s="3">
        <f t="shared" si="160"/>
        <v>627.36565500000006</v>
      </c>
      <c r="G5164" s="3">
        <f t="shared" si="161"/>
        <v>3110.0156550000002</v>
      </c>
    </row>
    <row r="5165" spans="1:7" x14ac:dyDescent="0.3">
      <c r="A5165" t="s">
        <v>13039</v>
      </c>
      <c r="B5165" t="s">
        <v>10364</v>
      </c>
      <c r="C5165" t="s">
        <v>10365</v>
      </c>
      <c r="D5165" s="1" t="s">
        <v>38</v>
      </c>
      <c r="E5165" s="3">
        <v>2567.79</v>
      </c>
      <c r="F5165" s="3">
        <f t="shared" si="160"/>
        <v>648.88053300000013</v>
      </c>
      <c r="G5165" s="3">
        <f t="shared" si="161"/>
        <v>3216.670533</v>
      </c>
    </row>
    <row r="5166" spans="1:7" x14ac:dyDescent="0.3">
      <c r="A5166" t="s">
        <v>13039</v>
      </c>
      <c r="B5166" t="s">
        <v>10366</v>
      </c>
      <c r="C5166" t="s">
        <v>10367</v>
      </c>
      <c r="D5166" s="1" t="s">
        <v>38</v>
      </c>
      <c r="E5166" s="3">
        <v>2916.54</v>
      </c>
      <c r="F5166" s="3">
        <f t="shared" si="160"/>
        <v>737.00965800000006</v>
      </c>
      <c r="G5166" s="3">
        <f t="shared" si="161"/>
        <v>3653.5496579999999</v>
      </c>
    </row>
    <row r="5167" spans="1:7" x14ac:dyDescent="0.3">
      <c r="A5167" t="s">
        <v>13039</v>
      </c>
      <c r="B5167" t="s">
        <v>10368</v>
      </c>
      <c r="C5167" t="s">
        <v>10369</v>
      </c>
      <c r="D5167" s="1" t="s">
        <v>38</v>
      </c>
      <c r="E5167" s="3">
        <v>2583.61</v>
      </c>
      <c r="F5167" s="3">
        <f t="shared" si="160"/>
        <v>652.8782470000001</v>
      </c>
      <c r="G5167" s="3">
        <f t="shared" si="161"/>
        <v>3236.4882470000002</v>
      </c>
    </row>
    <row r="5168" spans="1:7" x14ac:dyDescent="0.3">
      <c r="A5168" t="s">
        <v>13039</v>
      </c>
      <c r="B5168" t="s">
        <v>10370</v>
      </c>
      <c r="C5168" t="s">
        <v>10371</v>
      </c>
      <c r="D5168" s="1" t="s">
        <v>38</v>
      </c>
      <c r="E5168" s="3">
        <v>2814.97</v>
      </c>
      <c r="F5168" s="3">
        <f t="shared" si="160"/>
        <v>711.34291900000005</v>
      </c>
      <c r="G5168" s="3">
        <f t="shared" si="161"/>
        <v>3526.312919</v>
      </c>
    </row>
    <row r="5169" spans="1:7" x14ac:dyDescent="0.3">
      <c r="A5169" t="s">
        <v>13039</v>
      </c>
      <c r="B5169" t="s">
        <v>10372</v>
      </c>
      <c r="C5169" t="s">
        <v>10373</v>
      </c>
      <c r="D5169" s="1" t="s">
        <v>38</v>
      </c>
      <c r="E5169" s="3">
        <v>3279.97</v>
      </c>
      <c r="F5169" s="3">
        <f t="shared" si="160"/>
        <v>828.84841900000004</v>
      </c>
      <c r="G5169" s="3">
        <f t="shared" si="161"/>
        <v>4108.8184190000002</v>
      </c>
    </row>
    <row r="5170" spans="1:7" x14ac:dyDescent="0.3">
      <c r="A5170" t="s">
        <v>13039</v>
      </c>
      <c r="B5170" t="s">
        <v>10374</v>
      </c>
      <c r="C5170" t="s">
        <v>10375</v>
      </c>
      <c r="D5170" s="1" t="s">
        <v>38</v>
      </c>
      <c r="E5170" s="3">
        <v>3393.49</v>
      </c>
      <c r="F5170" s="3">
        <f t="shared" si="160"/>
        <v>857.53492300000005</v>
      </c>
      <c r="G5170" s="3">
        <f t="shared" si="161"/>
        <v>4251.0249229999999</v>
      </c>
    </row>
    <row r="5171" spans="1:7" x14ac:dyDescent="0.3">
      <c r="A5171" t="s">
        <v>13039</v>
      </c>
      <c r="B5171" t="s">
        <v>10376</v>
      </c>
      <c r="C5171" t="s">
        <v>10377</v>
      </c>
      <c r="D5171" s="1" t="s">
        <v>38</v>
      </c>
      <c r="E5171" s="3">
        <v>3858.49</v>
      </c>
      <c r="F5171" s="3">
        <f t="shared" si="160"/>
        <v>975.04042300000003</v>
      </c>
      <c r="G5171" s="3">
        <f t="shared" si="161"/>
        <v>4833.5304230000002</v>
      </c>
    </row>
    <row r="5172" spans="1:7" x14ac:dyDescent="0.3">
      <c r="A5172" t="s">
        <v>13039</v>
      </c>
      <c r="B5172" t="s">
        <v>10378</v>
      </c>
      <c r="C5172" t="s">
        <v>10379</v>
      </c>
      <c r="D5172" s="1" t="s">
        <v>38</v>
      </c>
      <c r="E5172" s="3">
        <v>3505.26</v>
      </c>
      <c r="F5172" s="3">
        <f t="shared" si="160"/>
        <v>885.77920200000017</v>
      </c>
      <c r="G5172" s="3">
        <f t="shared" si="161"/>
        <v>4391.0392019999999</v>
      </c>
    </row>
    <row r="5173" spans="1:7" x14ac:dyDescent="0.3">
      <c r="A5173" t="s">
        <v>13039</v>
      </c>
      <c r="B5173" t="s">
        <v>10380</v>
      </c>
      <c r="C5173" t="s">
        <v>10381</v>
      </c>
      <c r="D5173" s="1" t="s">
        <v>38</v>
      </c>
      <c r="E5173" s="3">
        <v>3813.74</v>
      </c>
      <c r="F5173" s="3">
        <f t="shared" si="160"/>
        <v>963.73209800000006</v>
      </c>
      <c r="G5173" s="3">
        <f t="shared" si="161"/>
        <v>4777.4720980000002</v>
      </c>
    </row>
    <row r="5174" spans="1:7" x14ac:dyDescent="0.3">
      <c r="A5174" t="s">
        <v>13039</v>
      </c>
      <c r="B5174" t="s">
        <v>10382</v>
      </c>
      <c r="C5174" t="s">
        <v>10383</v>
      </c>
      <c r="D5174" s="1" t="s">
        <v>38</v>
      </c>
      <c r="E5174" s="3">
        <v>4433.74</v>
      </c>
      <c r="F5174" s="3">
        <f t="shared" si="160"/>
        <v>1120.4060980000002</v>
      </c>
      <c r="G5174" s="3">
        <f t="shared" si="161"/>
        <v>5554.1460980000002</v>
      </c>
    </row>
    <row r="5175" spans="1:7" x14ac:dyDescent="0.3">
      <c r="A5175" t="s">
        <v>13039</v>
      </c>
      <c r="B5175" t="s">
        <v>10384</v>
      </c>
      <c r="C5175" t="s">
        <v>10385</v>
      </c>
      <c r="D5175" s="1" t="s">
        <v>38</v>
      </c>
      <c r="E5175" s="3">
        <v>4585.1000000000004</v>
      </c>
      <c r="F5175" s="3">
        <f t="shared" si="160"/>
        <v>1158.6547700000003</v>
      </c>
      <c r="G5175" s="3">
        <f t="shared" si="161"/>
        <v>5743.7547700000005</v>
      </c>
    </row>
    <row r="5176" spans="1:7" x14ac:dyDescent="0.3">
      <c r="A5176" t="s">
        <v>13039</v>
      </c>
      <c r="B5176" t="s">
        <v>10386</v>
      </c>
      <c r="C5176" t="s">
        <v>10387</v>
      </c>
      <c r="D5176" s="1" t="s">
        <v>38</v>
      </c>
      <c r="E5176" s="3">
        <v>5205.1000000000004</v>
      </c>
      <c r="F5176" s="3">
        <f t="shared" si="160"/>
        <v>1315.3287700000003</v>
      </c>
      <c r="G5176" s="3">
        <f t="shared" si="161"/>
        <v>6520.4287700000004</v>
      </c>
    </row>
    <row r="5177" spans="1:7" x14ac:dyDescent="0.3">
      <c r="A5177" t="s">
        <v>13039</v>
      </c>
      <c r="B5177" t="s">
        <v>10388</v>
      </c>
      <c r="C5177" t="s">
        <v>10389</v>
      </c>
      <c r="D5177" s="1" t="s">
        <v>38</v>
      </c>
      <c r="E5177" s="3">
        <v>5167.22</v>
      </c>
      <c r="F5177" s="3">
        <f t="shared" si="160"/>
        <v>1305.7564940000002</v>
      </c>
      <c r="G5177" s="3">
        <f t="shared" si="161"/>
        <v>6472.9764940000005</v>
      </c>
    </row>
    <row r="5178" spans="1:7" x14ac:dyDescent="0.3">
      <c r="A5178" t="s">
        <v>13039</v>
      </c>
      <c r="B5178" t="s">
        <v>10390</v>
      </c>
      <c r="C5178" t="s">
        <v>10391</v>
      </c>
      <c r="D5178" s="1" t="s">
        <v>38</v>
      </c>
      <c r="E5178" s="3">
        <v>5629.94</v>
      </c>
      <c r="F5178" s="3">
        <f t="shared" si="160"/>
        <v>1422.6858380000001</v>
      </c>
      <c r="G5178" s="3">
        <f t="shared" si="161"/>
        <v>7052.6258379999999</v>
      </c>
    </row>
    <row r="5179" spans="1:7" x14ac:dyDescent="0.3">
      <c r="A5179" t="s">
        <v>13039</v>
      </c>
      <c r="B5179" t="s">
        <v>10392</v>
      </c>
      <c r="C5179" t="s">
        <v>10393</v>
      </c>
      <c r="D5179" s="1" t="s">
        <v>38</v>
      </c>
      <c r="E5179" s="3">
        <v>6559.94</v>
      </c>
      <c r="F5179" s="3">
        <f t="shared" si="160"/>
        <v>1657.6968380000001</v>
      </c>
      <c r="G5179" s="3">
        <f t="shared" si="161"/>
        <v>8217.6368380000004</v>
      </c>
    </row>
    <row r="5180" spans="1:7" x14ac:dyDescent="0.3">
      <c r="A5180" t="s">
        <v>13039</v>
      </c>
      <c r="B5180" t="s">
        <v>10394</v>
      </c>
      <c r="C5180" t="s">
        <v>10395</v>
      </c>
      <c r="D5180" s="1" t="s">
        <v>38</v>
      </c>
      <c r="E5180" s="3">
        <v>6786.98</v>
      </c>
      <c r="F5180" s="3">
        <f t="shared" si="160"/>
        <v>1715.0698460000001</v>
      </c>
      <c r="G5180" s="3">
        <f t="shared" si="161"/>
        <v>8502.0498459999999</v>
      </c>
    </row>
    <row r="5181" spans="1:7" x14ac:dyDescent="0.3">
      <c r="A5181" t="s">
        <v>13039</v>
      </c>
      <c r="B5181" t="s">
        <v>10396</v>
      </c>
      <c r="C5181" t="s">
        <v>10397</v>
      </c>
      <c r="D5181" s="1" t="s">
        <v>38</v>
      </c>
      <c r="E5181" s="3">
        <v>7716.98</v>
      </c>
      <c r="F5181" s="3">
        <f t="shared" si="160"/>
        <v>1950.0808460000001</v>
      </c>
      <c r="G5181" s="3">
        <f t="shared" si="161"/>
        <v>9667.0608460000003</v>
      </c>
    </row>
    <row r="5182" spans="1:7" x14ac:dyDescent="0.3">
      <c r="A5182" t="s">
        <v>13039</v>
      </c>
      <c r="B5182" t="s">
        <v>10398</v>
      </c>
      <c r="C5182" t="s">
        <v>10399</v>
      </c>
      <c r="D5182" s="1" t="s">
        <v>2904</v>
      </c>
      <c r="E5182" s="3">
        <v>333.71</v>
      </c>
      <c r="F5182" s="3">
        <f t="shared" si="160"/>
        <v>84.328517000000005</v>
      </c>
      <c r="G5182" s="3">
        <f t="shared" si="161"/>
        <v>418.03851699999996</v>
      </c>
    </row>
    <row r="5183" spans="1:7" x14ac:dyDescent="0.3">
      <c r="A5183" t="s">
        <v>13039</v>
      </c>
      <c r="B5183" t="s">
        <v>10400</v>
      </c>
      <c r="C5183" t="s">
        <v>10401</v>
      </c>
      <c r="D5183" s="1" t="s">
        <v>2904</v>
      </c>
      <c r="E5183" s="3">
        <v>475.94</v>
      </c>
      <c r="F5183" s="3">
        <f t="shared" si="160"/>
        <v>120.27003800000001</v>
      </c>
      <c r="G5183" s="3">
        <f t="shared" si="161"/>
        <v>596.21003800000005</v>
      </c>
    </row>
    <row r="5184" spans="1:7" x14ac:dyDescent="0.3">
      <c r="A5184" t="s">
        <v>13039</v>
      </c>
      <c r="B5184" t="s">
        <v>10402</v>
      </c>
      <c r="C5184" t="s">
        <v>10403</v>
      </c>
      <c r="D5184" s="1" t="s">
        <v>2904</v>
      </c>
      <c r="E5184" s="3">
        <v>372.27</v>
      </c>
      <c r="F5184" s="3">
        <f t="shared" si="160"/>
        <v>94.072629000000006</v>
      </c>
      <c r="G5184" s="3">
        <f t="shared" si="161"/>
        <v>466.34262899999999</v>
      </c>
    </row>
    <row r="5185" spans="1:7" x14ac:dyDescent="0.3">
      <c r="A5185" t="s">
        <v>13039</v>
      </c>
      <c r="B5185" t="s">
        <v>10404</v>
      </c>
      <c r="C5185" t="s">
        <v>10405</v>
      </c>
      <c r="D5185" s="1" t="s">
        <v>2904</v>
      </c>
      <c r="E5185" s="3">
        <v>514.5</v>
      </c>
      <c r="F5185" s="3">
        <f t="shared" si="160"/>
        <v>130.01415000000003</v>
      </c>
      <c r="G5185" s="3">
        <f t="shared" si="161"/>
        <v>644.51414999999997</v>
      </c>
    </row>
    <row r="5186" spans="1:7" x14ac:dyDescent="0.3">
      <c r="A5186" t="s">
        <v>13039</v>
      </c>
      <c r="B5186" t="s">
        <v>10406</v>
      </c>
      <c r="C5186" t="s">
        <v>10407</v>
      </c>
      <c r="D5186" s="1" t="s">
        <v>2904</v>
      </c>
      <c r="E5186" s="3">
        <v>468.69</v>
      </c>
      <c r="F5186" s="3">
        <f t="shared" si="160"/>
        <v>118.43796300000001</v>
      </c>
      <c r="G5186" s="3">
        <f t="shared" si="161"/>
        <v>587.12796300000002</v>
      </c>
    </row>
    <row r="5187" spans="1:7" x14ac:dyDescent="0.3">
      <c r="A5187" t="s">
        <v>13039</v>
      </c>
      <c r="B5187" t="s">
        <v>10408</v>
      </c>
      <c r="C5187" t="s">
        <v>10409</v>
      </c>
      <c r="D5187" s="1" t="s">
        <v>2904</v>
      </c>
      <c r="E5187" s="3">
        <v>610.91999999999996</v>
      </c>
      <c r="F5187" s="3">
        <f t="shared" si="160"/>
        <v>154.37948400000002</v>
      </c>
      <c r="G5187" s="3">
        <f t="shared" si="161"/>
        <v>765.29948400000001</v>
      </c>
    </row>
    <row r="5188" spans="1:7" x14ac:dyDescent="0.3">
      <c r="A5188" t="s">
        <v>13039</v>
      </c>
      <c r="B5188" t="s">
        <v>10410</v>
      </c>
      <c r="C5188" t="s">
        <v>10411</v>
      </c>
      <c r="D5188" s="1" t="s">
        <v>2904</v>
      </c>
      <c r="E5188" s="3">
        <v>273.26</v>
      </c>
      <c r="F5188" s="3">
        <f t="shared" si="160"/>
        <v>69.052802000000014</v>
      </c>
      <c r="G5188" s="3">
        <f t="shared" si="161"/>
        <v>342.31280200000003</v>
      </c>
    </row>
    <row r="5189" spans="1:7" x14ac:dyDescent="0.3">
      <c r="A5189" t="s">
        <v>13039</v>
      </c>
      <c r="B5189" t="s">
        <v>10412</v>
      </c>
      <c r="C5189" t="s">
        <v>10413</v>
      </c>
      <c r="D5189" s="1" t="s">
        <v>2904</v>
      </c>
      <c r="E5189" s="3">
        <v>415.49</v>
      </c>
      <c r="F5189" s="3">
        <f t="shared" si="160"/>
        <v>104.99432300000002</v>
      </c>
      <c r="G5189" s="3">
        <f t="shared" si="161"/>
        <v>520.48432300000002</v>
      </c>
    </row>
    <row r="5190" spans="1:7" x14ac:dyDescent="0.3">
      <c r="A5190" t="s">
        <v>13039</v>
      </c>
      <c r="B5190" t="s">
        <v>10414</v>
      </c>
      <c r="C5190" t="s">
        <v>10415</v>
      </c>
      <c r="D5190" s="1" t="s">
        <v>2904</v>
      </c>
      <c r="E5190" s="3">
        <v>311.82</v>
      </c>
      <c r="F5190" s="3">
        <f t="shared" si="160"/>
        <v>78.796914000000015</v>
      </c>
      <c r="G5190" s="3">
        <f t="shared" si="161"/>
        <v>390.61691400000001</v>
      </c>
    </row>
    <row r="5191" spans="1:7" x14ac:dyDescent="0.3">
      <c r="A5191" t="s">
        <v>13039</v>
      </c>
      <c r="B5191" t="s">
        <v>10416</v>
      </c>
      <c r="C5191" t="s">
        <v>10417</v>
      </c>
      <c r="D5191" s="1" t="s">
        <v>2904</v>
      </c>
      <c r="E5191" s="3">
        <v>454.05</v>
      </c>
      <c r="F5191" s="3">
        <f t="shared" ref="F5191:F5254" si="162">+E5191*$F$4</f>
        <v>114.73843500000002</v>
      </c>
      <c r="G5191" s="3">
        <f t="shared" ref="G5191:G5254" si="163">+E5191+F5191</f>
        <v>568.78843500000005</v>
      </c>
    </row>
    <row r="5192" spans="1:7" x14ac:dyDescent="0.3">
      <c r="A5192" t="s">
        <v>13039</v>
      </c>
      <c r="B5192" t="s">
        <v>10418</v>
      </c>
      <c r="C5192" t="s">
        <v>10419</v>
      </c>
      <c r="D5192" s="1" t="s">
        <v>2904</v>
      </c>
      <c r="E5192" s="3">
        <v>410.24</v>
      </c>
      <c r="F5192" s="3">
        <f t="shared" si="162"/>
        <v>103.66764800000001</v>
      </c>
      <c r="G5192" s="3">
        <f t="shared" si="163"/>
        <v>513.90764799999999</v>
      </c>
    </row>
    <row r="5193" spans="1:7" x14ac:dyDescent="0.3">
      <c r="A5193" t="s">
        <v>13039</v>
      </c>
      <c r="B5193" t="s">
        <v>10420</v>
      </c>
      <c r="C5193" t="s">
        <v>10421</v>
      </c>
      <c r="D5193" s="1" t="s">
        <v>2904</v>
      </c>
      <c r="E5193" s="3">
        <v>607.41999999999996</v>
      </c>
      <c r="F5193" s="3">
        <f t="shared" si="162"/>
        <v>153.495034</v>
      </c>
      <c r="G5193" s="3">
        <f t="shared" si="163"/>
        <v>760.91503399999999</v>
      </c>
    </row>
    <row r="5194" spans="1:7" x14ac:dyDescent="0.3">
      <c r="A5194" t="s">
        <v>13039</v>
      </c>
      <c r="B5194" t="s">
        <v>10422</v>
      </c>
      <c r="C5194" t="s">
        <v>10423</v>
      </c>
      <c r="D5194" s="1" t="s">
        <v>2904</v>
      </c>
      <c r="E5194" s="3">
        <v>531.54999999999995</v>
      </c>
      <c r="F5194" s="3">
        <f t="shared" si="162"/>
        <v>134.32268500000001</v>
      </c>
      <c r="G5194" s="3">
        <f t="shared" si="163"/>
        <v>665.87268499999993</v>
      </c>
    </row>
    <row r="5195" spans="1:7" x14ac:dyDescent="0.3">
      <c r="A5195" t="s">
        <v>13039</v>
      </c>
      <c r="B5195" t="s">
        <v>10424</v>
      </c>
      <c r="C5195" t="s">
        <v>10425</v>
      </c>
      <c r="D5195" s="1" t="s">
        <v>2904</v>
      </c>
      <c r="E5195" s="3">
        <v>408.24</v>
      </c>
      <c r="F5195" s="3">
        <f t="shared" si="162"/>
        <v>103.16224800000002</v>
      </c>
      <c r="G5195" s="3">
        <f t="shared" si="163"/>
        <v>511.40224800000004</v>
      </c>
    </row>
    <row r="5196" spans="1:7" x14ac:dyDescent="0.3">
      <c r="A5196" t="s">
        <v>13039</v>
      </c>
      <c r="B5196" t="s">
        <v>10426</v>
      </c>
      <c r="C5196" t="s">
        <v>10427</v>
      </c>
      <c r="D5196" s="1" t="s">
        <v>2904</v>
      </c>
      <c r="E5196" s="3">
        <v>550.47</v>
      </c>
      <c r="F5196" s="3">
        <f t="shared" si="162"/>
        <v>139.10376900000003</v>
      </c>
      <c r="G5196" s="3">
        <f t="shared" si="163"/>
        <v>689.57376900000008</v>
      </c>
    </row>
    <row r="5197" spans="1:7" x14ac:dyDescent="0.3">
      <c r="A5197" t="s">
        <v>13039</v>
      </c>
      <c r="B5197" t="s">
        <v>10428</v>
      </c>
      <c r="C5197" t="s">
        <v>10429</v>
      </c>
      <c r="D5197" s="1" t="s">
        <v>2904</v>
      </c>
      <c r="E5197" s="3">
        <v>701.54</v>
      </c>
      <c r="F5197" s="3">
        <f t="shared" si="162"/>
        <v>177.27915800000002</v>
      </c>
      <c r="G5197" s="3">
        <f t="shared" si="163"/>
        <v>878.81915800000002</v>
      </c>
    </row>
    <row r="5198" spans="1:7" x14ac:dyDescent="0.3">
      <c r="A5198" t="s">
        <v>13039</v>
      </c>
      <c r="B5198" t="s">
        <v>10430</v>
      </c>
      <c r="C5198" t="s">
        <v>10431</v>
      </c>
      <c r="D5198" s="1" t="s">
        <v>2904</v>
      </c>
      <c r="E5198" s="3">
        <v>627.97</v>
      </c>
      <c r="F5198" s="3">
        <f t="shared" si="162"/>
        <v>158.68801900000003</v>
      </c>
      <c r="G5198" s="3">
        <f t="shared" si="163"/>
        <v>786.65801900000008</v>
      </c>
    </row>
    <row r="5199" spans="1:7" x14ac:dyDescent="0.3">
      <c r="A5199" t="s">
        <v>13039</v>
      </c>
      <c r="B5199" t="s">
        <v>10432</v>
      </c>
      <c r="C5199" t="s">
        <v>10433</v>
      </c>
      <c r="D5199" s="1" t="s">
        <v>38</v>
      </c>
      <c r="E5199" s="3">
        <v>1159.77</v>
      </c>
      <c r="F5199" s="3">
        <f t="shared" si="162"/>
        <v>293.07387900000003</v>
      </c>
      <c r="G5199" s="3">
        <f t="shared" si="163"/>
        <v>1452.843879</v>
      </c>
    </row>
    <row r="5200" spans="1:7" x14ac:dyDescent="0.3">
      <c r="A5200" t="s">
        <v>13039</v>
      </c>
      <c r="B5200" t="s">
        <v>10434</v>
      </c>
      <c r="C5200" t="s">
        <v>10435</v>
      </c>
      <c r="D5200" s="1" t="s">
        <v>38</v>
      </c>
      <c r="E5200" s="3">
        <v>1236.8900000000001</v>
      </c>
      <c r="F5200" s="3">
        <f t="shared" si="162"/>
        <v>312.56210300000009</v>
      </c>
      <c r="G5200" s="3">
        <f t="shared" si="163"/>
        <v>1549.4521030000001</v>
      </c>
    </row>
    <row r="5201" spans="1:7" x14ac:dyDescent="0.3">
      <c r="A5201" t="s">
        <v>13039</v>
      </c>
      <c r="B5201" t="s">
        <v>10436</v>
      </c>
      <c r="C5201" t="s">
        <v>10437</v>
      </c>
      <c r="D5201" s="1" t="s">
        <v>38</v>
      </c>
      <c r="E5201" s="3">
        <v>1429.73</v>
      </c>
      <c r="F5201" s="3">
        <f t="shared" si="162"/>
        <v>361.29277100000007</v>
      </c>
      <c r="G5201" s="3">
        <f t="shared" si="163"/>
        <v>1791.0227710000001</v>
      </c>
    </row>
    <row r="5202" spans="1:7" x14ac:dyDescent="0.3">
      <c r="A5202" t="s">
        <v>13039</v>
      </c>
      <c r="B5202" t="s">
        <v>10438</v>
      </c>
      <c r="C5202" t="s">
        <v>10439</v>
      </c>
      <c r="D5202" s="1" t="s">
        <v>38</v>
      </c>
      <c r="E5202" s="3">
        <v>2496.15</v>
      </c>
      <c r="F5202" s="3">
        <f t="shared" si="162"/>
        <v>630.77710500000012</v>
      </c>
      <c r="G5202" s="3">
        <f t="shared" si="163"/>
        <v>3126.9271050000002</v>
      </c>
    </row>
    <row r="5203" spans="1:7" x14ac:dyDescent="0.3">
      <c r="A5203" t="s">
        <v>13039</v>
      </c>
      <c r="B5203" t="s">
        <v>10440</v>
      </c>
      <c r="C5203" t="s">
        <v>10441</v>
      </c>
      <c r="D5203" s="1" t="s">
        <v>38</v>
      </c>
      <c r="E5203" s="3">
        <v>2669.67</v>
      </c>
      <c r="F5203" s="3">
        <f t="shared" si="162"/>
        <v>674.62560900000017</v>
      </c>
      <c r="G5203" s="3">
        <f t="shared" si="163"/>
        <v>3344.2956090000002</v>
      </c>
    </row>
    <row r="5204" spans="1:7" x14ac:dyDescent="0.3">
      <c r="A5204" t="s">
        <v>13039</v>
      </c>
      <c r="B5204" t="s">
        <v>10442</v>
      </c>
      <c r="C5204" t="s">
        <v>10443</v>
      </c>
      <c r="D5204" s="1" t="s">
        <v>38</v>
      </c>
      <c r="E5204" s="3">
        <v>3103.56</v>
      </c>
      <c r="F5204" s="3">
        <f t="shared" si="162"/>
        <v>784.26961200000005</v>
      </c>
      <c r="G5204" s="3">
        <f t="shared" si="163"/>
        <v>3887.829612</v>
      </c>
    </row>
    <row r="5205" spans="1:7" x14ac:dyDescent="0.3">
      <c r="A5205" t="s">
        <v>13039</v>
      </c>
      <c r="B5205" t="s">
        <v>10444</v>
      </c>
      <c r="C5205" t="s">
        <v>10445</v>
      </c>
      <c r="D5205" s="1" t="s">
        <v>38</v>
      </c>
      <c r="E5205" s="3">
        <v>3297.97</v>
      </c>
      <c r="F5205" s="3">
        <f t="shared" si="162"/>
        <v>833.39701900000011</v>
      </c>
      <c r="G5205" s="3">
        <f t="shared" si="163"/>
        <v>4131.3670190000003</v>
      </c>
    </row>
    <row r="5206" spans="1:7" x14ac:dyDescent="0.3">
      <c r="A5206" t="s">
        <v>13039</v>
      </c>
      <c r="B5206" t="s">
        <v>10446</v>
      </c>
      <c r="C5206" t="s">
        <v>10447</v>
      </c>
      <c r="D5206" s="1" t="s">
        <v>38</v>
      </c>
      <c r="E5206" s="3">
        <v>3529.33</v>
      </c>
      <c r="F5206" s="3">
        <f t="shared" si="162"/>
        <v>891.86169100000006</v>
      </c>
      <c r="G5206" s="3">
        <f t="shared" si="163"/>
        <v>4421.191691</v>
      </c>
    </row>
    <row r="5207" spans="1:7" x14ac:dyDescent="0.3">
      <c r="A5207" t="s">
        <v>13039</v>
      </c>
      <c r="B5207" t="s">
        <v>10448</v>
      </c>
      <c r="C5207" t="s">
        <v>10449</v>
      </c>
      <c r="D5207" s="1" t="s">
        <v>38</v>
      </c>
      <c r="E5207" s="3">
        <v>4107.8500000000004</v>
      </c>
      <c r="F5207" s="3">
        <f t="shared" si="162"/>
        <v>1038.0536950000003</v>
      </c>
      <c r="G5207" s="3">
        <f t="shared" si="163"/>
        <v>5145.9036950000009</v>
      </c>
    </row>
    <row r="5208" spans="1:7" x14ac:dyDescent="0.3">
      <c r="A5208" t="s">
        <v>13039</v>
      </c>
      <c r="B5208" t="s">
        <v>10450</v>
      </c>
      <c r="C5208" t="s">
        <v>10451</v>
      </c>
      <c r="D5208" s="1" t="s">
        <v>38</v>
      </c>
      <c r="E5208" s="3">
        <v>4457.74</v>
      </c>
      <c r="F5208" s="3">
        <f t="shared" si="162"/>
        <v>1126.470898</v>
      </c>
      <c r="G5208" s="3">
        <f t="shared" si="163"/>
        <v>5584.2108979999994</v>
      </c>
    </row>
    <row r="5209" spans="1:7" x14ac:dyDescent="0.3">
      <c r="A5209" t="s">
        <v>13039</v>
      </c>
      <c r="B5209" t="s">
        <v>10452</v>
      </c>
      <c r="C5209" t="s">
        <v>10453</v>
      </c>
      <c r="D5209" s="1" t="s">
        <v>38</v>
      </c>
      <c r="E5209" s="3">
        <v>4766.22</v>
      </c>
      <c r="F5209" s="3">
        <f t="shared" si="162"/>
        <v>1204.4237940000003</v>
      </c>
      <c r="G5209" s="3">
        <f t="shared" si="163"/>
        <v>5970.6437940000005</v>
      </c>
    </row>
    <row r="5210" spans="1:7" x14ac:dyDescent="0.3">
      <c r="A5210" t="s">
        <v>13039</v>
      </c>
      <c r="B5210" t="s">
        <v>10454</v>
      </c>
      <c r="C5210" t="s">
        <v>10455</v>
      </c>
      <c r="D5210" s="1" t="s">
        <v>38</v>
      </c>
      <c r="E5210" s="3">
        <v>5537.58</v>
      </c>
      <c r="F5210" s="3">
        <f t="shared" si="162"/>
        <v>1399.3464660000002</v>
      </c>
      <c r="G5210" s="3">
        <f t="shared" si="163"/>
        <v>6936.9264659999999</v>
      </c>
    </row>
    <row r="5211" spans="1:7" x14ac:dyDescent="0.3">
      <c r="A5211" t="s">
        <v>13039</v>
      </c>
      <c r="B5211" t="s">
        <v>10456</v>
      </c>
      <c r="C5211" t="s">
        <v>10457</v>
      </c>
      <c r="D5211" s="1" t="s">
        <v>38</v>
      </c>
      <c r="E5211" s="3">
        <v>6595.94</v>
      </c>
      <c r="F5211" s="3">
        <f t="shared" si="162"/>
        <v>1666.7940380000002</v>
      </c>
      <c r="G5211" s="3">
        <f t="shared" si="163"/>
        <v>8262.7340380000005</v>
      </c>
    </row>
    <row r="5212" spans="1:7" x14ac:dyDescent="0.3">
      <c r="A5212" t="s">
        <v>13039</v>
      </c>
      <c r="B5212" t="s">
        <v>10458</v>
      </c>
      <c r="C5212" t="s">
        <v>10459</v>
      </c>
      <c r="D5212" s="1" t="s">
        <v>38</v>
      </c>
      <c r="E5212" s="3">
        <v>7058.66</v>
      </c>
      <c r="F5212" s="3">
        <f t="shared" si="162"/>
        <v>1783.7233820000001</v>
      </c>
      <c r="G5212" s="3">
        <f t="shared" si="163"/>
        <v>8842.383382</v>
      </c>
    </row>
    <row r="5213" spans="1:7" x14ac:dyDescent="0.3">
      <c r="A5213" t="s">
        <v>13039</v>
      </c>
      <c r="B5213" t="s">
        <v>10460</v>
      </c>
      <c r="C5213" t="s">
        <v>10461</v>
      </c>
      <c r="D5213" s="1" t="s">
        <v>38</v>
      </c>
      <c r="E5213" s="3">
        <v>8215.7000000000007</v>
      </c>
      <c r="F5213" s="3">
        <f t="shared" si="162"/>
        <v>2076.1073900000006</v>
      </c>
      <c r="G5213" s="3">
        <f t="shared" si="163"/>
        <v>10291.807390000002</v>
      </c>
    </row>
    <row r="5214" spans="1:7" x14ac:dyDescent="0.3">
      <c r="A5214" t="s">
        <v>13039</v>
      </c>
      <c r="B5214" t="s">
        <v>10462</v>
      </c>
      <c r="C5214" t="s">
        <v>10463</v>
      </c>
      <c r="D5214" s="1" t="s">
        <v>2904</v>
      </c>
      <c r="E5214" s="3">
        <v>595</v>
      </c>
      <c r="F5214" s="3">
        <f t="shared" si="162"/>
        <v>150.35650000000001</v>
      </c>
      <c r="G5214" s="3">
        <f t="shared" si="163"/>
        <v>745.35649999999998</v>
      </c>
    </row>
    <row r="5215" spans="1:7" x14ac:dyDescent="0.3">
      <c r="A5215" t="s">
        <v>13039</v>
      </c>
      <c r="B5215" t="s">
        <v>10464</v>
      </c>
      <c r="C5215" t="s">
        <v>10465</v>
      </c>
      <c r="D5215" s="1" t="s">
        <v>2904</v>
      </c>
      <c r="E5215" s="3">
        <v>633.55999999999995</v>
      </c>
      <c r="F5215" s="3">
        <f t="shared" si="162"/>
        <v>160.10061200000001</v>
      </c>
      <c r="G5215" s="3">
        <f t="shared" si="163"/>
        <v>793.6606119999999</v>
      </c>
    </row>
    <row r="5216" spans="1:7" x14ac:dyDescent="0.3">
      <c r="A5216" t="s">
        <v>13039</v>
      </c>
      <c r="B5216" t="s">
        <v>10466</v>
      </c>
      <c r="C5216" t="s">
        <v>10467</v>
      </c>
      <c r="D5216" s="1" t="s">
        <v>2904</v>
      </c>
      <c r="E5216" s="3">
        <v>729.98</v>
      </c>
      <c r="F5216" s="3">
        <f t="shared" si="162"/>
        <v>184.46594600000003</v>
      </c>
      <c r="G5216" s="3">
        <f t="shared" si="163"/>
        <v>914.44594600000005</v>
      </c>
    </row>
    <row r="5217" spans="1:7" x14ac:dyDescent="0.3">
      <c r="A5217" t="s">
        <v>13039</v>
      </c>
      <c r="B5217" t="s">
        <v>10468</v>
      </c>
      <c r="C5217" t="s">
        <v>10469</v>
      </c>
      <c r="D5217" s="1" t="s">
        <v>2904</v>
      </c>
      <c r="E5217" s="3">
        <v>593.45000000000005</v>
      </c>
      <c r="F5217" s="3">
        <f t="shared" si="162"/>
        <v>149.96481500000004</v>
      </c>
      <c r="G5217" s="3">
        <f t="shared" si="163"/>
        <v>743.41481500000009</v>
      </c>
    </row>
    <row r="5218" spans="1:7" x14ac:dyDescent="0.3">
      <c r="A5218" t="s">
        <v>13039</v>
      </c>
      <c r="B5218" t="s">
        <v>10470</v>
      </c>
      <c r="C5218" t="s">
        <v>10471</v>
      </c>
      <c r="D5218" s="1" t="s">
        <v>2904</v>
      </c>
      <c r="E5218" s="3">
        <v>689.87</v>
      </c>
      <c r="F5218" s="3">
        <f t="shared" si="162"/>
        <v>174.33014900000003</v>
      </c>
      <c r="G5218" s="3">
        <f t="shared" si="163"/>
        <v>864.20014900000001</v>
      </c>
    </row>
    <row r="5219" spans="1:7" x14ac:dyDescent="0.3">
      <c r="A5219" t="s">
        <v>13039</v>
      </c>
      <c r="B5219" t="s">
        <v>10472</v>
      </c>
      <c r="C5219" t="s">
        <v>10473</v>
      </c>
      <c r="D5219" s="1" t="s">
        <v>2904</v>
      </c>
      <c r="E5219" s="3">
        <v>767.36</v>
      </c>
      <c r="F5219" s="3">
        <f t="shared" si="162"/>
        <v>193.91187200000002</v>
      </c>
      <c r="G5219" s="3">
        <f t="shared" si="163"/>
        <v>961.27187200000003</v>
      </c>
    </row>
    <row r="5220" spans="1:7" x14ac:dyDescent="0.3">
      <c r="A5220" t="s">
        <v>13039</v>
      </c>
      <c r="B5220" t="s">
        <v>10474</v>
      </c>
      <c r="C5220" t="s">
        <v>10475</v>
      </c>
      <c r="D5220" s="1" t="s">
        <v>2904</v>
      </c>
      <c r="E5220" s="3">
        <v>952.74</v>
      </c>
      <c r="F5220" s="3">
        <f t="shared" si="162"/>
        <v>240.75739800000002</v>
      </c>
      <c r="G5220" s="3">
        <f t="shared" si="163"/>
        <v>1193.497398</v>
      </c>
    </row>
    <row r="5221" spans="1:7" x14ac:dyDescent="0.3">
      <c r="A5221" t="s">
        <v>13039</v>
      </c>
      <c r="B5221" t="s">
        <v>10476</v>
      </c>
      <c r="C5221" t="s">
        <v>10477</v>
      </c>
      <c r="D5221" s="1" t="s">
        <v>2904</v>
      </c>
      <c r="E5221" s="3">
        <v>945.22</v>
      </c>
      <c r="F5221" s="3">
        <f t="shared" si="162"/>
        <v>238.85709400000005</v>
      </c>
      <c r="G5221" s="3">
        <f t="shared" si="163"/>
        <v>1184.077094</v>
      </c>
    </row>
    <row r="5222" spans="1:7" x14ac:dyDescent="0.3">
      <c r="A5222" t="s">
        <v>13039</v>
      </c>
      <c r="B5222" t="s">
        <v>10478</v>
      </c>
      <c r="C5222" t="s">
        <v>10479</v>
      </c>
      <c r="D5222" s="1" t="s">
        <v>2904</v>
      </c>
      <c r="E5222" s="3">
        <v>1041.6400000000001</v>
      </c>
      <c r="F5222" s="3">
        <f t="shared" si="162"/>
        <v>263.22242800000004</v>
      </c>
      <c r="G5222" s="3">
        <f t="shared" si="163"/>
        <v>1304.8624280000001</v>
      </c>
    </row>
    <row r="5223" spans="1:7" x14ac:dyDescent="0.3">
      <c r="A5223" t="s">
        <v>13039</v>
      </c>
      <c r="B5223" t="s">
        <v>10480</v>
      </c>
      <c r="C5223" t="s">
        <v>10481</v>
      </c>
      <c r="D5223" s="1" t="s">
        <v>2904</v>
      </c>
      <c r="E5223" s="3">
        <v>1119.1300000000001</v>
      </c>
      <c r="F5223" s="3">
        <f t="shared" si="162"/>
        <v>282.80415100000005</v>
      </c>
      <c r="G5223" s="3">
        <f t="shared" si="163"/>
        <v>1401.9341510000002</v>
      </c>
    </row>
    <row r="5224" spans="1:7" x14ac:dyDescent="0.3">
      <c r="A5224" t="s">
        <v>13039</v>
      </c>
      <c r="B5224" t="s">
        <v>10482</v>
      </c>
      <c r="C5224" t="s">
        <v>10483</v>
      </c>
      <c r="D5224" s="1" t="s">
        <v>2904</v>
      </c>
      <c r="E5224" s="3">
        <v>1304.51</v>
      </c>
      <c r="F5224" s="3">
        <f t="shared" si="162"/>
        <v>329.64967700000005</v>
      </c>
      <c r="G5224" s="3">
        <f t="shared" si="163"/>
        <v>1634.1596770000001</v>
      </c>
    </row>
    <row r="5225" spans="1:7" x14ac:dyDescent="0.3">
      <c r="A5225" t="s">
        <v>13039</v>
      </c>
      <c r="B5225" t="s">
        <v>10484</v>
      </c>
      <c r="C5225" t="s">
        <v>10485</v>
      </c>
      <c r="D5225" s="1" t="s">
        <v>2904</v>
      </c>
      <c r="E5225" s="3">
        <v>979.31</v>
      </c>
      <c r="F5225" s="3">
        <f t="shared" si="162"/>
        <v>247.47163700000002</v>
      </c>
      <c r="G5225" s="3">
        <f t="shared" si="163"/>
        <v>1226.781637</v>
      </c>
    </row>
    <row r="5226" spans="1:7" x14ac:dyDescent="0.3">
      <c r="A5226" t="s">
        <v>13039</v>
      </c>
      <c r="B5226" t="s">
        <v>10486</v>
      </c>
      <c r="C5226" t="s">
        <v>10487</v>
      </c>
      <c r="D5226" s="1" t="s">
        <v>2904</v>
      </c>
      <c r="E5226" s="3">
        <v>1075.73</v>
      </c>
      <c r="F5226" s="3">
        <f t="shared" si="162"/>
        <v>271.83697100000006</v>
      </c>
      <c r="G5226" s="3">
        <f t="shared" si="163"/>
        <v>1347.5669710000002</v>
      </c>
    </row>
    <row r="5227" spans="1:7" x14ac:dyDescent="0.3">
      <c r="A5227" t="s">
        <v>13039</v>
      </c>
      <c r="B5227" t="s">
        <v>10488</v>
      </c>
      <c r="C5227" t="s">
        <v>10489</v>
      </c>
      <c r="D5227" s="1" t="s">
        <v>2904</v>
      </c>
      <c r="E5227" s="3">
        <v>1153.23</v>
      </c>
      <c r="F5227" s="3">
        <f t="shared" si="162"/>
        <v>291.42122100000006</v>
      </c>
      <c r="G5227" s="3">
        <f t="shared" si="163"/>
        <v>1444.6512210000001</v>
      </c>
    </row>
    <row r="5228" spans="1:7" x14ac:dyDescent="0.3">
      <c r="A5228" t="s">
        <v>13039</v>
      </c>
      <c r="B5228" t="s">
        <v>10490</v>
      </c>
      <c r="C5228" t="s">
        <v>10491</v>
      </c>
      <c r="D5228" s="1" t="s">
        <v>2904</v>
      </c>
      <c r="E5228" s="3">
        <v>627.54</v>
      </c>
      <c r="F5228" s="3">
        <f t="shared" si="162"/>
        <v>158.57935800000001</v>
      </c>
      <c r="G5228" s="3">
        <f t="shared" si="163"/>
        <v>786.11935799999992</v>
      </c>
    </row>
    <row r="5229" spans="1:7" x14ac:dyDescent="0.3">
      <c r="A5229" t="s">
        <v>13039</v>
      </c>
      <c r="B5229" t="s">
        <v>10492</v>
      </c>
      <c r="C5229" t="s">
        <v>10493</v>
      </c>
      <c r="D5229" s="1" t="s">
        <v>2904</v>
      </c>
      <c r="E5229" s="3">
        <v>723.96</v>
      </c>
      <c r="F5229" s="3">
        <f t="shared" si="162"/>
        <v>182.94469200000003</v>
      </c>
      <c r="G5229" s="3">
        <f t="shared" si="163"/>
        <v>906.90469200000007</v>
      </c>
    </row>
    <row r="5230" spans="1:7" x14ac:dyDescent="0.3">
      <c r="A5230" t="s">
        <v>13039</v>
      </c>
      <c r="B5230" t="s">
        <v>10494</v>
      </c>
      <c r="C5230" t="s">
        <v>10495</v>
      </c>
      <c r="D5230" s="1" t="s">
        <v>2904</v>
      </c>
      <c r="E5230" s="3">
        <v>801.46</v>
      </c>
      <c r="F5230" s="3">
        <f t="shared" si="162"/>
        <v>202.52894200000003</v>
      </c>
      <c r="G5230" s="3">
        <f t="shared" si="163"/>
        <v>1003.9889420000001</v>
      </c>
    </row>
    <row r="5231" spans="1:7" x14ac:dyDescent="0.3">
      <c r="A5231" t="s">
        <v>13039</v>
      </c>
      <c r="B5231" t="s">
        <v>10496</v>
      </c>
      <c r="C5231" t="s">
        <v>10497</v>
      </c>
      <c r="D5231" s="1" t="s">
        <v>2904</v>
      </c>
      <c r="E5231" s="3">
        <v>381.64</v>
      </c>
      <c r="F5231" s="3">
        <f t="shared" si="162"/>
        <v>96.440428000000011</v>
      </c>
      <c r="G5231" s="3">
        <f t="shared" si="163"/>
        <v>478.08042799999998</v>
      </c>
    </row>
    <row r="5232" spans="1:7" x14ac:dyDescent="0.3">
      <c r="A5232" t="s">
        <v>13039</v>
      </c>
      <c r="B5232" t="s">
        <v>10498</v>
      </c>
      <c r="C5232" t="s">
        <v>10499</v>
      </c>
      <c r="D5232" s="1" t="s">
        <v>2904</v>
      </c>
      <c r="E5232" s="3">
        <v>420.21</v>
      </c>
      <c r="F5232" s="3">
        <f t="shared" si="162"/>
        <v>106.18706700000001</v>
      </c>
      <c r="G5232" s="3">
        <f t="shared" si="163"/>
        <v>526.39706699999999</v>
      </c>
    </row>
    <row r="5233" spans="1:7" x14ac:dyDescent="0.3">
      <c r="A5233" t="s">
        <v>13039</v>
      </c>
      <c r="B5233" t="s">
        <v>10500</v>
      </c>
      <c r="C5233" t="s">
        <v>10501</v>
      </c>
      <c r="D5233" s="1" t="s">
        <v>2904</v>
      </c>
      <c r="E5233" s="3">
        <v>376.39</v>
      </c>
      <c r="F5233" s="3">
        <f t="shared" si="162"/>
        <v>95.113753000000017</v>
      </c>
      <c r="G5233" s="3">
        <f t="shared" si="163"/>
        <v>471.50375300000002</v>
      </c>
    </row>
    <row r="5234" spans="1:7" x14ac:dyDescent="0.3">
      <c r="A5234" t="s">
        <v>13039</v>
      </c>
      <c r="B5234" t="s">
        <v>10502</v>
      </c>
      <c r="C5234" t="s">
        <v>10503</v>
      </c>
      <c r="D5234" s="1" t="s">
        <v>2904</v>
      </c>
      <c r="E5234" s="3">
        <v>573.57000000000005</v>
      </c>
      <c r="F5234" s="3">
        <f t="shared" si="162"/>
        <v>144.94113900000002</v>
      </c>
      <c r="G5234" s="3">
        <f t="shared" si="163"/>
        <v>718.51113900000007</v>
      </c>
    </row>
    <row r="5235" spans="1:7" x14ac:dyDescent="0.3">
      <c r="A5235" t="s">
        <v>13039</v>
      </c>
      <c r="B5235" t="s">
        <v>10504</v>
      </c>
      <c r="C5235" t="s">
        <v>10505</v>
      </c>
      <c r="D5235" s="1" t="s">
        <v>2904</v>
      </c>
      <c r="E5235" s="3">
        <v>516.62</v>
      </c>
      <c r="F5235" s="3">
        <f t="shared" si="162"/>
        <v>130.54987400000002</v>
      </c>
      <c r="G5235" s="3">
        <f t="shared" si="163"/>
        <v>647.16987400000005</v>
      </c>
    </row>
    <row r="5236" spans="1:7" x14ac:dyDescent="0.3">
      <c r="A5236" t="s">
        <v>13039</v>
      </c>
      <c r="B5236" t="s">
        <v>10506</v>
      </c>
      <c r="C5236" t="s">
        <v>10507</v>
      </c>
      <c r="D5236" s="1" t="s">
        <v>2904</v>
      </c>
      <c r="E5236" s="3">
        <v>667.69</v>
      </c>
      <c r="F5236" s="3">
        <f t="shared" si="162"/>
        <v>168.72526300000004</v>
      </c>
      <c r="G5236" s="3">
        <f t="shared" si="163"/>
        <v>836.4152630000001</v>
      </c>
    </row>
    <row r="5237" spans="1:7" x14ac:dyDescent="0.3">
      <c r="A5237" t="s">
        <v>13039</v>
      </c>
      <c r="B5237" t="s">
        <v>10508</v>
      </c>
      <c r="C5237" t="s">
        <v>10509</v>
      </c>
      <c r="D5237" s="1" t="s">
        <v>38</v>
      </c>
      <c r="E5237" s="3">
        <v>853.95</v>
      </c>
      <c r="F5237" s="3">
        <f t="shared" si="162"/>
        <v>215.79316500000004</v>
      </c>
      <c r="G5237" s="3">
        <f t="shared" si="163"/>
        <v>1069.7431650000001</v>
      </c>
    </row>
    <row r="5238" spans="1:7" x14ac:dyDescent="0.3">
      <c r="A5238" t="s">
        <v>13039</v>
      </c>
      <c r="B5238" t="s">
        <v>10510</v>
      </c>
      <c r="C5238" t="s">
        <v>10511</v>
      </c>
      <c r="D5238" s="1" t="s">
        <v>38</v>
      </c>
      <c r="E5238" s="3">
        <v>931.09</v>
      </c>
      <c r="F5238" s="3">
        <f t="shared" si="162"/>
        <v>235.28644300000005</v>
      </c>
      <c r="G5238" s="3">
        <f t="shared" si="163"/>
        <v>1166.3764430000001</v>
      </c>
    </row>
    <row r="5239" spans="1:7" x14ac:dyDescent="0.3">
      <c r="A5239" t="s">
        <v>13039</v>
      </c>
      <c r="B5239" t="s">
        <v>10512</v>
      </c>
      <c r="C5239" t="s">
        <v>10513</v>
      </c>
      <c r="D5239" s="1" t="s">
        <v>38</v>
      </c>
      <c r="E5239" s="3">
        <v>1123.9100000000001</v>
      </c>
      <c r="F5239" s="3">
        <f t="shared" si="162"/>
        <v>284.01205700000008</v>
      </c>
      <c r="G5239" s="3">
        <f t="shared" si="163"/>
        <v>1407.9220570000002</v>
      </c>
    </row>
    <row r="5240" spans="1:7" x14ac:dyDescent="0.3">
      <c r="A5240" t="s">
        <v>13039</v>
      </c>
      <c r="B5240" t="s">
        <v>10514</v>
      </c>
      <c r="C5240" t="s">
        <v>10515</v>
      </c>
      <c r="D5240" s="1" t="s">
        <v>38</v>
      </c>
      <c r="E5240" s="3">
        <v>1808.05</v>
      </c>
      <c r="F5240" s="3">
        <f t="shared" si="162"/>
        <v>456.89423500000004</v>
      </c>
      <c r="G5240" s="3">
        <f t="shared" si="163"/>
        <v>2264.9442349999999</v>
      </c>
    </row>
    <row r="5241" spans="1:7" x14ac:dyDescent="0.3">
      <c r="A5241" t="s">
        <v>13039</v>
      </c>
      <c r="B5241" t="s">
        <v>10516</v>
      </c>
      <c r="C5241" t="s">
        <v>10517</v>
      </c>
      <c r="D5241" s="1" t="s">
        <v>38</v>
      </c>
      <c r="E5241" s="3">
        <v>1981.62</v>
      </c>
      <c r="F5241" s="3">
        <f t="shared" si="162"/>
        <v>500.75537400000002</v>
      </c>
      <c r="G5241" s="3">
        <f t="shared" si="163"/>
        <v>2482.3753739999997</v>
      </c>
    </row>
    <row r="5242" spans="1:7" x14ac:dyDescent="0.3">
      <c r="A5242" t="s">
        <v>13039</v>
      </c>
      <c r="B5242" t="s">
        <v>10518</v>
      </c>
      <c r="C5242" t="s">
        <v>10519</v>
      </c>
      <c r="D5242" s="1" t="s">
        <v>38</v>
      </c>
      <c r="E5242" s="3">
        <v>2415.46</v>
      </c>
      <c r="F5242" s="3">
        <f t="shared" si="162"/>
        <v>610.38674200000014</v>
      </c>
      <c r="G5242" s="3">
        <f t="shared" si="163"/>
        <v>3025.8467420000002</v>
      </c>
    </row>
    <row r="5243" spans="1:7" x14ac:dyDescent="0.3">
      <c r="A5243" t="s">
        <v>13039</v>
      </c>
      <c r="B5243" t="s">
        <v>10520</v>
      </c>
      <c r="C5243" t="s">
        <v>10521</v>
      </c>
      <c r="D5243" s="1" t="s">
        <v>38</v>
      </c>
      <c r="E5243" s="3">
        <v>2380.5100000000002</v>
      </c>
      <c r="F5243" s="3">
        <f t="shared" si="162"/>
        <v>601.55487700000015</v>
      </c>
      <c r="G5243" s="3">
        <f t="shared" si="163"/>
        <v>2982.0648770000003</v>
      </c>
    </row>
    <row r="5244" spans="1:7" x14ac:dyDescent="0.3">
      <c r="A5244" t="s">
        <v>13039</v>
      </c>
      <c r="B5244" t="s">
        <v>10522</v>
      </c>
      <c r="C5244" t="s">
        <v>10523</v>
      </c>
      <c r="D5244" s="1" t="s">
        <v>38</v>
      </c>
      <c r="E5244" s="3">
        <v>2611.9299999999998</v>
      </c>
      <c r="F5244" s="3">
        <f t="shared" si="162"/>
        <v>660.03471100000002</v>
      </c>
      <c r="G5244" s="3">
        <f t="shared" si="163"/>
        <v>3271.9647109999996</v>
      </c>
    </row>
    <row r="5245" spans="1:7" x14ac:dyDescent="0.3">
      <c r="A5245" t="s">
        <v>13039</v>
      </c>
      <c r="B5245" t="s">
        <v>10524</v>
      </c>
      <c r="C5245" t="s">
        <v>10525</v>
      </c>
      <c r="D5245" s="1" t="s">
        <v>38</v>
      </c>
      <c r="E5245" s="3">
        <v>3190.39</v>
      </c>
      <c r="F5245" s="3">
        <f t="shared" si="162"/>
        <v>806.21155300000009</v>
      </c>
      <c r="G5245" s="3">
        <f t="shared" si="163"/>
        <v>3996.601553</v>
      </c>
    </row>
    <row r="5246" spans="1:7" x14ac:dyDescent="0.3">
      <c r="A5246" t="s">
        <v>13039</v>
      </c>
      <c r="B5246" t="s">
        <v>10526</v>
      </c>
      <c r="C5246" t="s">
        <v>10527</v>
      </c>
      <c r="D5246" s="1" t="s">
        <v>38</v>
      </c>
      <c r="E5246" s="3">
        <v>3234.46</v>
      </c>
      <c r="F5246" s="3">
        <f t="shared" si="162"/>
        <v>817.34804200000008</v>
      </c>
      <c r="G5246" s="3">
        <f t="shared" si="163"/>
        <v>4051.8080420000001</v>
      </c>
    </row>
    <row r="5247" spans="1:7" x14ac:dyDescent="0.3">
      <c r="A5247" t="s">
        <v>13039</v>
      </c>
      <c r="B5247" t="s">
        <v>10528</v>
      </c>
      <c r="C5247" t="s">
        <v>10529</v>
      </c>
      <c r="D5247" s="1" t="s">
        <v>38</v>
      </c>
      <c r="E5247" s="3">
        <v>3543.02</v>
      </c>
      <c r="F5247" s="3">
        <f t="shared" si="162"/>
        <v>895.32115400000009</v>
      </c>
      <c r="G5247" s="3">
        <f t="shared" si="163"/>
        <v>4438.3411539999997</v>
      </c>
    </row>
    <row r="5248" spans="1:7" x14ac:dyDescent="0.3">
      <c r="A5248" t="s">
        <v>13039</v>
      </c>
      <c r="B5248" t="s">
        <v>10530</v>
      </c>
      <c r="C5248" t="s">
        <v>10531</v>
      </c>
      <c r="D5248" s="1" t="s">
        <v>38</v>
      </c>
      <c r="E5248" s="3">
        <v>4314.3</v>
      </c>
      <c r="F5248" s="3">
        <f t="shared" si="162"/>
        <v>1090.2236100000002</v>
      </c>
      <c r="G5248" s="3">
        <f t="shared" si="163"/>
        <v>5404.5236100000002</v>
      </c>
    </row>
    <row r="5249" spans="1:7" x14ac:dyDescent="0.3">
      <c r="A5249" t="s">
        <v>13039</v>
      </c>
      <c r="B5249" t="s">
        <v>10532</v>
      </c>
      <c r="C5249" t="s">
        <v>10533</v>
      </c>
      <c r="D5249" s="1" t="s">
        <v>38</v>
      </c>
      <c r="E5249" s="3">
        <v>4761.0200000000004</v>
      </c>
      <c r="F5249" s="3">
        <f t="shared" si="162"/>
        <v>1203.1097540000003</v>
      </c>
      <c r="G5249" s="3">
        <f t="shared" si="163"/>
        <v>5964.1297540000005</v>
      </c>
    </row>
    <row r="5250" spans="1:7" x14ac:dyDescent="0.3">
      <c r="A5250" t="s">
        <v>13039</v>
      </c>
      <c r="B5250" t="s">
        <v>10534</v>
      </c>
      <c r="C5250" t="s">
        <v>10535</v>
      </c>
      <c r="D5250" s="1" t="s">
        <v>38</v>
      </c>
      <c r="E5250" s="3">
        <v>5223.8599999999997</v>
      </c>
      <c r="F5250" s="3">
        <f t="shared" si="162"/>
        <v>1320.069422</v>
      </c>
      <c r="G5250" s="3">
        <f t="shared" si="163"/>
        <v>6543.9294219999992</v>
      </c>
    </row>
    <row r="5251" spans="1:7" x14ac:dyDescent="0.3">
      <c r="A5251" t="s">
        <v>13039</v>
      </c>
      <c r="B5251" t="s">
        <v>10536</v>
      </c>
      <c r="C5251" t="s">
        <v>10537</v>
      </c>
      <c r="D5251" s="1" t="s">
        <v>38</v>
      </c>
      <c r="E5251" s="3">
        <v>6380.78</v>
      </c>
      <c r="F5251" s="3">
        <f t="shared" si="162"/>
        <v>1612.4231060000002</v>
      </c>
      <c r="G5251" s="3">
        <f t="shared" si="163"/>
        <v>7993.2031059999999</v>
      </c>
    </row>
    <row r="5252" spans="1:7" x14ac:dyDescent="0.3">
      <c r="A5252" t="s">
        <v>13039</v>
      </c>
      <c r="B5252" t="s">
        <v>10538</v>
      </c>
      <c r="C5252" t="s">
        <v>10539</v>
      </c>
      <c r="D5252" s="1" t="s">
        <v>2904</v>
      </c>
      <c r="E5252" s="3">
        <v>442.09</v>
      </c>
      <c r="F5252" s="3">
        <f t="shared" si="162"/>
        <v>111.716143</v>
      </c>
      <c r="G5252" s="3">
        <f t="shared" si="163"/>
        <v>553.80614300000002</v>
      </c>
    </row>
    <row r="5253" spans="1:7" x14ac:dyDescent="0.3">
      <c r="A5253" t="s">
        <v>13039</v>
      </c>
      <c r="B5253" t="s">
        <v>10540</v>
      </c>
      <c r="C5253" t="s">
        <v>10541</v>
      </c>
      <c r="D5253" s="1" t="s">
        <v>2904</v>
      </c>
      <c r="E5253" s="3">
        <v>480.66</v>
      </c>
      <c r="F5253" s="3">
        <f t="shared" si="162"/>
        <v>121.46278200000002</v>
      </c>
      <c r="G5253" s="3">
        <f t="shared" si="163"/>
        <v>602.12278200000003</v>
      </c>
    </row>
    <row r="5254" spans="1:7" x14ac:dyDescent="0.3">
      <c r="A5254" t="s">
        <v>13039</v>
      </c>
      <c r="B5254" t="s">
        <v>10542</v>
      </c>
      <c r="C5254" t="s">
        <v>10543</v>
      </c>
      <c r="D5254" s="1" t="s">
        <v>2904</v>
      </c>
      <c r="E5254" s="3">
        <v>577.07000000000005</v>
      </c>
      <c r="F5254" s="3">
        <f t="shared" si="162"/>
        <v>145.82558900000004</v>
      </c>
      <c r="G5254" s="3">
        <f t="shared" si="163"/>
        <v>722.89558900000009</v>
      </c>
    </row>
    <row r="5255" spans="1:7" x14ac:dyDescent="0.3">
      <c r="A5255" t="s">
        <v>13039</v>
      </c>
      <c r="B5255" t="s">
        <v>10544</v>
      </c>
      <c r="C5255" t="s">
        <v>10545</v>
      </c>
      <c r="D5255" s="1" t="s">
        <v>2904</v>
      </c>
      <c r="E5255" s="3">
        <v>883.43</v>
      </c>
      <c r="F5255" s="3">
        <f t="shared" ref="F5255:F5318" si="164">+E5255*$F$4</f>
        <v>223.24276100000003</v>
      </c>
      <c r="G5255" s="3">
        <f t="shared" ref="G5255:G5318" si="165">+E5255+F5255</f>
        <v>1106.672761</v>
      </c>
    </row>
    <row r="5256" spans="1:7" x14ac:dyDescent="0.3">
      <c r="A5256" t="s">
        <v>13039</v>
      </c>
      <c r="B5256" t="s">
        <v>10546</v>
      </c>
      <c r="C5256" t="s">
        <v>10547</v>
      </c>
      <c r="D5256" s="1" t="s">
        <v>2904</v>
      </c>
      <c r="E5256" s="3">
        <v>979.84</v>
      </c>
      <c r="F5256" s="3">
        <f t="shared" si="164"/>
        <v>247.60556800000003</v>
      </c>
      <c r="G5256" s="3">
        <f t="shared" si="165"/>
        <v>1227.4455680000001</v>
      </c>
    </row>
    <row r="5257" spans="1:7" x14ac:dyDescent="0.3">
      <c r="A5257" t="s">
        <v>13039</v>
      </c>
      <c r="B5257" t="s">
        <v>10548</v>
      </c>
      <c r="C5257" t="s">
        <v>10549</v>
      </c>
      <c r="D5257" s="1" t="s">
        <v>2904</v>
      </c>
      <c r="E5257" s="3">
        <v>1057.3399999999999</v>
      </c>
      <c r="F5257" s="3">
        <f t="shared" si="164"/>
        <v>267.189818</v>
      </c>
      <c r="G5257" s="3">
        <f t="shared" si="165"/>
        <v>1324.529818</v>
      </c>
    </row>
    <row r="5258" spans="1:7" x14ac:dyDescent="0.3">
      <c r="A5258" t="s">
        <v>13039</v>
      </c>
      <c r="B5258" t="s">
        <v>10550</v>
      </c>
      <c r="C5258" t="s">
        <v>10551</v>
      </c>
      <c r="D5258" s="1" t="s">
        <v>2904</v>
      </c>
      <c r="E5258" s="3">
        <v>534.54999999999995</v>
      </c>
      <c r="F5258" s="3">
        <f t="shared" si="164"/>
        <v>135.08078500000002</v>
      </c>
      <c r="G5258" s="3">
        <f t="shared" si="165"/>
        <v>669.63078499999995</v>
      </c>
    </row>
    <row r="5259" spans="1:7" x14ac:dyDescent="0.3">
      <c r="A5259" t="s">
        <v>13039</v>
      </c>
      <c r="B5259" t="s">
        <v>10552</v>
      </c>
      <c r="C5259" t="s">
        <v>10553</v>
      </c>
      <c r="D5259" s="1" t="s">
        <v>2904</v>
      </c>
      <c r="E5259" s="3">
        <v>573.11</v>
      </c>
      <c r="F5259" s="3">
        <f t="shared" si="164"/>
        <v>144.82489700000002</v>
      </c>
      <c r="G5259" s="3">
        <f t="shared" si="165"/>
        <v>717.93489700000009</v>
      </c>
    </row>
    <row r="5260" spans="1:7" x14ac:dyDescent="0.3">
      <c r="A5260" t="s">
        <v>13039</v>
      </c>
      <c r="B5260" t="s">
        <v>10554</v>
      </c>
      <c r="C5260" t="s">
        <v>10555</v>
      </c>
      <c r="D5260" s="1" t="s">
        <v>2904</v>
      </c>
      <c r="E5260" s="3">
        <v>669.53</v>
      </c>
      <c r="F5260" s="3">
        <f t="shared" si="164"/>
        <v>169.19023100000001</v>
      </c>
      <c r="G5260" s="3">
        <f t="shared" si="165"/>
        <v>838.72023100000001</v>
      </c>
    </row>
    <row r="5261" spans="1:7" x14ac:dyDescent="0.3">
      <c r="A5261" t="s">
        <v>13039</v>
      </c>
      <c r="B5261" t="s">
        <v>10556</v>
      </c>
      <c r="C5261" t="s">
        <v>10557</v>
      </c>
      <c r="D5261" s="1" t="s">
        <v>2904</v>
      </c>
      <c r="E5261" s="3">
        <v>531.66</v>
      </c>
      <c r="F5261" s="3">
        <f t="shared" si="164"/>
        <v>134.350482</v>
      </c>
      <c r="G5261" s="3">
        <f t="shared" si="165"/>
        <v>666.01048199999991</v>
      </c>
    </row>
    <row r="5262" spans="1:7" x14ac:dyDescent="0.3">
      <c r="A5262" t="s">
        <v>13039</v>
      </c>
      <c r="B5262" t="s">
        <v>10558</v>
      </c>
      <c r="C5262" t="s">
        <v>10559</v>
      </c>
      <c r="D5262" s="1" t="s">
        <v>2904</v>
      </c>
      <c r="E5262" s="3">
        <v>628.07000000000005</v>
      </c>
      <c r="F5262" s="3">
        <f t="shared" si="164"/>
        <v>158.71328900000003</v>
      </c>
      <c r="G5262" s="3">
        <f t="shared" si="165"/>
        <v>786.78328900000008</v>
      </c>
    </row>
    <row r="5263" spans="1:7" x14ac:dyDescent="0.3">
      <c r="A5263" t="s">
        <v>13039</v>
      </c>
      <c r="B5263" t="s">
        <v>10560</v>
      </c>
      <c r="C5263" t="s">
        <v>10561</v>
      </c>
      <c r="D5263" s="1" t="s">
        <v>2904</v>
      </c>
      <c r="E5263" s="3">
        <v>705.57</v>
      </c>
      <c r="F5263" s="3">
        <f t="shared" si="164"/>
        <v>178.29753900000003</v>
      </c>
      <c r="G5263" s="3">
        <f t="shared" si="165"/>
        <v>883.86753900000008</v>
      </c>
    </row>
    <row r="5264" spans="1:7" x14ac:dyDescent="0.3">
      <c r="A5264" t="s">
        <v>13039</v>
      </c>
      <c r="B5264" t="s">
        <v>10562</v>
      </c>
      <c r="C5264" t="s">
        <v>10563</v>
      </c>
      <c r="D5264" s="1" t="s">
        <v>10129</v>
      </c>
      <c r="E5264" s="3">
        <v>1.96</v>
      </c>
      <c r="F5264" s="3">
        <f t="shared" si="164"/>
        <v>0.49529200000000007</v>
      </c>
      <c r="G5264" s="3">
        <f t="shared" si="165"/>
        <v>2.455292</v>
      </c>
    </row>
    <row r="5265" spans="1:7" x14ac:dyDescent="0.3">
      <c r="A5265" t="s">
        <v>13039</v>
      </c>
      <c r="B5265" t="s">
        <v>10564</v>
      </c>
      <c r="C5265" t="s">
        <v>10565</v>
      </c>
      <c r="D5265" s="1" t="s">
        <v>38</v>
      </c>
      <c r="E5265" s="3">
        <v>101062.6</v>
      </c>
      <c r="F5265" s="3">
        <f t="shared" si="164"/>
        <v>25538.519020000003</v>
      </c>
      <c r="G5265" s="3">
        <f t="shared" si="165"/>
        <v>126601.11902000001</v>
      </c>
    </row>
    <row r="5266" spans="1:7" x14ac:dyDescent="0.3">
      <c r="A5266" t="s">
        <v>13039</v>
      </c>
      <c r="B5266" t="s">
        <v>10566</v>
      </c>
      <c r="C5266" t="s">
        <v>10567</v>
      </c>
      <c r="D5266" s="1" t="s">
        <v>38</v>
      </c>
      <c r="E5266" s="3">
        <v>101062.6</v>
      </c>
      <c r="F5266" s="3">
        <f t="shared" si="164"/>
        <v>25538.519020000003</v>
      </c>
      <c r="G5266" s="3">
        <f t="shared" si="165"/>
        <v>126601.11902000001</v>
      </c>
    </row>
    <row r="5267" spans="1:7" x14ac:dyDescent="0.3">
      <c r="A5267" t="s">
        <v>13039</v>
      </c>
      <c r="B5267" t="s">
        <v>10568</v>
      </c>
      <c r="C5267" t="s">
        <v>10569</v>
      </c>
      <c r="D5267" s="1" t="s">
        <v>38</v>
      </c>
      <c r="E5267" s="3">
        <v>111867.52</v>
      </c>
      <c r="F5267" s="3">
        <f t="shared" si="164"/>
        <v>28268.922304000003</v>
      </c>
      <c r="G5267" s="3">
        <f t="shared" si="165"/>
        <v>140136.442304</v>
      </c>
    </row>
    <row r="5268" spans="1:7" x14ac:dyDescent="0.3">
      <c r="A5268" t="s">
        <v>13039</v>
      </c>
      <c r="B5268" t="s">
        <v>10570</v>
      </c>
      <c r="C5268" t="s">
        <v>10571</v>
      </c>
      <c r="D5268" s="1" t="s">
        <v>38</v>
      </c>
      <c r="E5268" s="3">
        <v>111867.52</v>
      </c>
      <c r="F5268" s="3">
        <f t="shared" si="164"/>
        <v>28268.922304000003</v>
      </c>
      <c r="G5268" s="3">
        <f t="shared" si="165"/>
        <v>140136.442304</v>
      </c>
    </row>
    <row r="5269" spans="1:7" x14ac:dyDescent="0.3">
      <c r="A5269" t="s">
        <v>13039</v>
      </c>
      <c r="B5269" t="s">
        <v>10572</v>
      </c>
      <c r="C5269" t="s">
        <v>10573</v>
      </c>
      <c r="D5269" s="1" t="s">
        <v>38</v>
      </c>
      <c r="E5269" s="3">
        <v>112553.57</v>
      </c>
      <c r="F5269" s="3">
        <f t="shared" si="164"/>
        <v>28442.287139000007</v>
      </c>
      <c r="G5269" s="3">
        <f t="shared" si="165"/>
        <v>140995.85713900003</v>
      </c>
    </row>
    <row r="5270" spans="1:7" x14ac:dyDescent="0.3">
      <c r="A5270" t="s">
        <v>13039</v>
      </c>
      <c r="B5270" t="s">
        <v>10574</v>
      </c>
      <c r="C5270" t="s">
        <v>10575</v>
      </c>
      <c r="D5270" s="1" t="s">
        <v>38</v>
      </c>
      <c r="E5270" s="3">
        <v>112553.57</v>
      </c>
      <c r="F5270" s="3">
        <f t="shared" si="164"/>
        <v>28442.287139000007</v>
      </c>
      <c r="G5270" s="3">
        <f t="shared" si="165"/>
        <v>140995.85713900003</v>
      </c>
    </row>
    <row r="5271" spans="1:7" x14ac:dyDescent="0.3">
      <c r="A5271" t="s">
        <v>13039</v>
      </c>
      <c r="B5271" t="s">
        <v>10576</v>
      </c>
      <c r="C5271" t="s">
        <v>10577</v>
      </c>
      <c r="D5271" s="1" t="s">
        <v>2904</v>
      </c>
      <c r="E5271" s="3">
        <v>35.89</v>
      </c>
      <c r="F5271" s="3">
        <f t="shared" si="164"/>
        <v>9.0694030000000012</v>
      </c>
      <c r="G5271" s="3">
        <f t="shared" si="165"/>
        <v>44.959403000000002</v>
      </c>
    </row>
    <row r="5272" spans="1:7" x14ac:dyDescent="0.3">
      <c r="A5272" t="s">
        <v>13039</v>
      </c>
      <c r="B5272" t="s">
        <v>10578</v>
      </c>
      <c r="C5272" t="s">
        <v>10579</v>
      </c>
      <c r="D5272" s="1" t="s">
        <v>38</v>
      </c>
      <c r="E5272" s="3">
        <v>357.13</v>
      </c>
      <c r="F5272" s="3">
        <f t="shared" si="164"/>
        <v>90.246751000000017</v>
      </c>
      <c r="G5272" s="3">
        <f t="shared" si="165"/>
        <v>447.37675100000001</v>
      </c>
    </row>
    <row r="5273" spans="1:7" x14ac:dyDescent="0.3">
      <c r="A5273" t="s">
        <v>13039</v>
      </c>
      <c r="B5273" t="s">
        <v>10580</v>
      </c>
      <c r="C5273" t="s">
        <v>10581</v>
      </c>
      <c r="D5273" s="1" t="s">
        <v>38</v>
      </c>
      <c r="E5273" s="3">
        <v>254.87</v>
      </c>
      <c r="F5273" s="3">
        <f t="shared" si="164"/>
        <v>64.405649000000011</v>
      </c>
      <c r="G5273" s="3">
        <f t="shared" si="165"/>
        <v>319.27564900000004</v>
      </c>
    </row>
    <row r="5274" spans="1:7" x14ac:dyDescent="0.3">
      <c r="A5274" t="s">
        <v>13039</v>
      </c>
      <c r="B5274" t="s">
        <v>10582</v>
      </c>
      <c r="C5274" t="s">
        <v>10583</v>
      </c>
      <c r="D5274" s="1" t="s">
        <v>38</v>
      </c>
      <c r="E5274" s="3">
        <v>212.39</v>
      </c>
      <c r="F5274" s="3">
        <f t="shared" si="164"/>
        <v>53.670953000000004</v>
      </c>
      <c r="G5274" s="3">
        <f t="shared" si="165"/>
        <v>266.06095299999998</v>
      </c>
    </row>
    <row r="5275" spans="1:7" x14ac:dyDescent="0.3">
      <c r="A5275" t="s">
        <v>13039</v>
      </c>
      <c r="B5275" t="s">
        <v>10584</v>
      </c>
      <c r="C5275" t="s">
        <v>10585</v>
      </c>
      <c r="D5275" s="1" t="s">
        <v>2904</v>
      </c>
      <c r="E5275" s="3">
        <v>22.49</v>
      </c>
      <c r="F5275" s="3">
        <f t="shared" si="164"/>
        <v>5.6832230000000008</v>
      </c>
      <c r="G5275" s="3">
        <f t="shared" si="165"/>
        <v>28.173223</v>
      </c>
    </row>
    <row r="5276" spans="1:7" x14ac:dyDescent="0.3">
      <c r="A5276" t="s">
        <v>13039</v>
      </c>
      <c r="B5276" t="s">
        <v>10586</v>
      </c>
      <c r="C5276" t="s">
        <v>10587</v>
      </c>
      <c r="D5276" s="1" t="s">
        <v>2904</v>
      </c>
      <c r="E5276" s="3">
        <v>3.9</v>
      </c>
      <c r="F5276" s="3">
        <f t="shared" si="164"/>
        <v>0.98553000000000013</v>
      </c>
      <c r="G5276" s="3">
        <f t="shared" si="165"/>
        <v>4.8855300000000002</v>
      </c>
    </row>
    <row r="5277" spans="1:7" x14ac:dyDescent="0.3">
      <c r="A5277" t="s">
        <v>13039</v>
      </c>
      <c r="B5277" t="s">
        <v>10588</v>
      </c>
      <c r="C5277" t="s">
        <v>10589</v>
      </c>
      <c r="D5277" s="1" t="s">
        <v>2904</v>
      </c>
      <c r="E5277" s="3">
        <v>4.8600000000000003</v>
      </c>
      <c r="F5277" s="3">
        <f t="shared" si="164"/>
        <v>1.2281220000000002</v>
      </c>
      <c r="G5277" s="3">
        <f t="shared" si="165"/>
        <v>6.0881220000000003</v>
      </c>
    </row>
    <row r="5278" spans="1:7" x14ac:dyDescent="0.3">
      <c r="A5278" t="s">
        <v>13039</v>
      </c>
      <c r="B5278" t="s">
        <v>10590</v>
      </c>
      <c r="C5278" t="s">
        <v>10591</v>
      </c>
      <c r="D5278" s="1" t="s">
        <v>2904</v>
      </c>
      <c r="E5278" s="3">
        <v>70.540000000000006</v>
      </c>
      <c r="F5278" s="3">
        <f t="shared" si="164"/>
        <v>17.825458000000005</v>
      </c>
      <c r="G5278" s="3">
        <f t="shared" si="165"/>
        <v>88.365458000000018</v>
      </c>
    </row>
    <row r="5279" spans="1:7" x14ac:dyDescent="0.3">
      <c r="A5279" t="s">
        <v>13039</v>
      </c>
      <c r="B5279" t="s">
        <v>10592</v>
      </c>
      <c r="C5279" t="s">
        <v>10593</v>
      </c>
      <c r="D5279" s="1" t="s">
        <v>6421</v>
      </c>
      <c r="E5279" s="3">
        <v>3.69</v>
      </c>
      <c r="F5279" s="3">
        <f t="shared" si="164"/>
        <v>0.93246300000000015</v>
      </c>
      <c r="G5279" s="3">
        <f t="shared" si="165"/>
        <v>4.6224629999999998</v>
      </c>
    </row>
    <row r="5280" spans="1:7" x14ac:dyDescent="0.3">
      <c r="A5280" t="s">
        <v>13039</v>
      </c>
      <c r="B5280" t="s">
        <v>10594</v>
      </c>
      <c r="C5280" t="s">
        <v>10595</v>
      </c>
      <c r="D5280" s="1" t="s">
        <v>38</v>
      </c>
      <c r="E5280" s="3">
        <v>99521.46</v>
      </c>
      <c r="F5280" s="3">
        <f t="shared" si="164"/>
        <v>25149.072942000006</v>
      </c>
      <c r="G5280" s="3">
        <f t="shared" si="165"/>
        <v>124670.53294200002</v>
      </c>
    </row>
    <row r="5281" spans="1:7" x14ac:dyDescent="0.3">
      <c r="A5281" t="s">
        <v>13039</v>
      </c>
      <c r="B5281" t="s">
        <v>10596</v>
      </c>
      <c r="C5281" t="s">
        <v>10597</v>
      </c>
      <c r="D5281" s="1" t="s">
        <v>38</v>
      </c>
      <c r="E5281" s="3">
        <v>99521.46</v>
      </c>
      <c r="F5281" s="3">
        <f t="shared" si="164"/>
        <v>25149.072942000006</v>
      </c>
      <c r="G5281" s="3">
        <f t="shared" si="165"/>
        <v>124670.53294200002</v>
      </c>
    </row>
    <row r="5282" spans="1:7" x14ac:dyDescent="0.3">
      <c r="A5282" t="s">
        <v>13039</v>
      </c>
      <c r="B5282" t="s">
        <v>10598</v>
      </c>
      <c r="C5282" t="s">
        <v>10599</v>
      </c>
      <c r="D5282" s="1" t="s">
        <v>38</v>
      </c>
      <c r="E5282" s="3">
        <v>110357.87</v>
      </c>
      <c r="F5282" s="3">
        <f t="shared" si="164"/>
        <v>27887.433749000003</v>
      </c>
      <c r="G5282" s="3">
        <f t="shared" si="165"/>
        <v>138245.30374900001</v>
      </c>
    </row>
    <row r="5283" spans="1:7" x14ac:dyDescent="0.3">
      <c r="A5283" t="s">
        <v>13039</v>
      </c>
      <c r="B5283" t="s">
        <v>10600</v>
      </c>
      <c r="C5283" t="s">
        <v>10601</v>
      </c>
      <c r="D5283" s="1" t="s">
        <v>38</v>
      </c>
      <c r="E5283" s="3">
        <v>110357.87</v>
      </c>
      <c r="F5283" s="3">
        <f t="shared" si="164"/>
        <v>27887.433749000003</v>
      </c>
      <c r="G5283" s="3">
        <f t="shared" si="165"/>
        <v>138245.30374900001</v>
      </c>
    </row>
    <row r="5284" spans="1:7" x14ac:dyDescent="0.3">
      <c r="A5284" t="s">
        <v>13039</v>
      </c>
      <c r="B5284" t="s">
        <v>10602</v>
      </c>
      <c r="C5284" t="s">
        <v>10603</v>
      </c>
      <c r="D5284" s="1" t="s">
        <v>38</v>
      </c>
      <c r="E5284" s="3">
        <v>121194.28</v>
      </c>
      <c r="F5284" s="3">
        <f t="shared" si="164"/>
        <v>30625.794556000004</v>
      </c>
      <c r="G5284" s="3">
        <f t="shared" si="165"/>
        <v>151820.07455600001</v>
      </c>
    </row>
    <row r="5285" spans="1:7" x14ac:dyDescent="0.3">
      <c r="A5285" t="s">
        <v>13039</v>
      </c>
      <c r="B5285" t="s">
        <v>10604</v>
      </c>
      <c r="C5285" t="s">
        <v>10605</v>
      </c>
      <c r="D5285" s="1" t="s">
        <v>38</v>
      </c>
      <c r="E5285" s="3">
        <v>121194.28</v>
      </c>
      <c r="F5285" s="3">
        <f t="shared" si="164"/>
        <v>30625.794556000004</v>
      </c>
      <c r="G5285" s="3">
        <f t="shared" si="165"/>
        <v>151820.07455600001</v>
      </c>
    </row>
    <row r="5286" spans="1:7" x14ac:dyDescent="0.3">
      <c r="A5286" t="s">
        <v>13039</v>
      </c>
      <c r="B5286" t="s">
        <v>10606</v>
      </c>
      <c r="C5286" t="s">
        <v>10607</v>
      </c>
      <c r="D5286" s="1" t="s">
        <v>38</v>
      </c>
      <c r="E5286" s="3">
        <v>61839.81</v>
      </c>
      <c r="F5286" s="3">
        <f t="shared" si="164"/>
        <v>15626.919987000001</v>
      </c>
      <c r="G5286" s="3">
        <f t="shared" si="165"/>
        <v>77466.729986999999</v>
      </c>
    </row>
    <row r="5287" spans="1:7" x14ac:dyDescent="0.3">
      <c r="A5287" t="s">
        <v>13039</v>
      </c>
      <c r="B5287" t="s">
        <v>10608</v>
      </c>
      <c r="C5287" t="s">
        <v>10609</v>
      </c>
      <c r="D5287" s="1" t="s">
        <v>38</v>
      </c>
      <c r="E5287" s="3">
        <v>61839.81</v>
      </c>
      <c r="F5287" s="3">
        <f t="shared" si="164"/>
        <v>15626.919987000001</v>
      </c>
      <c r="G5287" s="3">
        <f t="shared" si="165"/>
        <v>77466.729986999999</v>
      </c>
    </row>
    <row r="5288" spans="1:7" x14ac:dyDescent="0.3">
      <c r="A5288" t="s">
        <v>13039</v>
      </c>
      <c r="B5288" t="s">
        <v>10610</v>
      </c>
      <c r="C5288" t="s">
        <v>10611</v>
      </c>
      <c r="D5288" s="1" t="s">
        <v>38</v>
      </c>
      <c r="E5288" s="3">
        <v>66114.53</v>
      </c>
      <c r="F5288" s="3">
        <f t="shared" si="164"/>
        <v>16707.141731000003</v>
      </c>
      <c r="G5288" s="3">
        <f t="shared" si="165"/>
        <v>82821.671731000009</v>
      </c>
    </row>
    <row r="5289" spans="1:7" x14ac:dyDescent="0.3">
      <c r="A5289" t="s">
        <v>13039</v>
      </c>
      <c r="B5289" t="s">
        <v>10612</v>
      </c>
      <c r="C5289" t="s">
        <v>10613</v>
      </c>
      <c r="D5289" s="1" t="s">
        <v>38</v>
      </c>
      <c r="E5289" s="3">
        <v>66114.53</v>
      </c>
      <c r="F5289" s="3">
        <f t="shared" si="164"/>
        <v>16707.141731000003</v>
      </c>
      <c r="G5289" s="3">
        <f t="shared" si="165"/>
        <v>82821.671731000009</v>
      </c>
    </row>
    <row r="5290" spans="1:7" x14ac:dyDescent="0.3">
      <c r="A5290" t="s">
        <v>13039</v>
      </c>
      <c r="B5290" t="s">
        <v>10614</v>
      </c>
      <c r="C5290" t="s">
        <v>10615</v>
      </c>
      <c r="D5290" s="1" t="s">
        <v>38</v>
      </c>
      <c r="E5290" s="3">
        <v>72526.61</v>
      </c>
      <c r="F5290" s="3">
        <f t="shared" si="164"/>
        <v>18327.474347000003</v>
      </c>
      <c r="G5290" s="3">
        <f t="shared" si="165"/>
        <v>90854.084346999996</v>
      </c>
    </row>
    <row r="5291" spans="1:7" x14ac:dyDescent="0.3">
      <c r="A5291" t="s">
        <v>13039</v>
      </c>
      <c r="B5291" t="s">
        <v>10616</v>
      </c>
      <c r="C5291" t="s">
        <v>10617</v>
      </c>
      <c r="D5291" s="1" t="s">
        <v>38</v>
      </c>
      <c r="E5291" s="3">
        <v>72526.61</v>
      </c>
      <c r="F5291" s="3">
        <f t="shared" si="164"/>
        <v>18327.474347000003</v>
      </c>
      <c r="G5291" s="3">
        <f t="shared" si="165"/>
        <v>90854.084346999996</v>
      </c>
    </row>
    <row r="5292" spans="1:7" x14ac:dyDescent="0.3">
      <c r="A5292" t="s">
        <v>13039</v>
      </c>
      <c r="B5292" t="s">
        <v>10618</v>
      </c>
      <c r="C5292" t="s">
        <v>10619</v>
      </c>
      <c r="D5292" s="1" t="s">
        <v>6421</v>
      </c>
      <c r="E5292" s="3">
        <v>4.17</v>
      </c>
      <c r="F5292" s="3">
        <f t="shared" si="164"/>
        <v>1.0537590000000001</v>
      </c>
      <c r="G5292" s="3">
        <f t="shared" si="165"/>
        <v>5.2237590000000003</v>
      </c>
    </row>
    <row r="5293" spans="1:7" x14ac:dyDescent="0.3">
      <c r="A5293" t="s">
        <v>13039</v>
      </c>
      <c r="B5293" t="s">
        <v>10620</v>
      </c>
      <c r="C5293" t="s">
        <v>10621</v>
      </c>
      <c r="D5293" s="1" t="s">
        <v>38</v>
      </c>
      <c r="E5293" s="3">
        <v>2500.87</v>
      </c>
      <c r="F5293" s="3">
        <f t="shared" si="164"/>
        <v>631.96984900000007</v>
      </c>
      <c r="G5293" s="3">
        <f t="shared" si="165"/>
        <v>3132.839849</v>
      </c>
    </row>
    <row r="5294" spans="1:7" x14ac:dyDescent="0.3">
      <c r="A5294" t="s">
        <v>13039</v>
      </c>
      <c r="B5294" t="s">
        <v>10622</v>
      </c>
      <c r="C5294" t="s">
        <v>10623</v>
      </c>
      <c r="D5294" s="1" t="s">
        <v>38</v>
      </c>
      <c r="E5294" s="3">
        <v>3430.93</v>
      </c>
      <c r="F5294" s="3">
        <f t="shared" si="164"/>
        <v>866.99601100000007</v>
      </c>
      <c r="G5294" s="3">
        <f t="shared" si="165"/>
        <v>4297.9260109999996</v>
      </c>
    </row>
    <row r="5295" spans="1:7" x14ac:dyDescent="0.3">
      <c r="A5295" t="s">
        <v>13039</v>
      </c>
      <c r="B5295" t="s">
        <v>10624</v>
      </c>
      <c r="C5295" t="s">
        <v>10625</v>
      </c>
      <c r="D5295" s="1" t="s">
        <v>38</v>
      </c>
      <c r="E5295" s="3">
        <v>3516.6</v>
      </c>
      <c r="F5295" s="3">
        <f t="shared" si="164"/>
        <v>888.6448200000001</v>
      </c>
      <c r="G5295" s="3">
        <f t="shared" si="165"/>
        <v>4405.2448199999999</v>
      </c>
    </row>
    <row r="5296" spans="1:7" x14ac:dyDescent="0.3">
      <c r="A5296" t="s">
        <v>13039</v>
      </c>
      <c r="B5296" t="s">
        <v>10626</v>
      </c>
      <c r="C5296" t="s">
        <v>10627</v>
      </c>
      <c r="D5296" s="1" t="s">
        <v>38</v>
      </c>
      <c r="E5296" s="3">
        <v>5555.44</v>
      </c>
      <c r="F5296" s="3">
        <f t="shared" si="164"/>
        <v>1403.859688</v>
      </c>
      <c r="G5296" s="3">
        <f t="shared" si="165"/>
        <v>6959.2996879999992</v>
      </c>
    </row>
    <row r="5297" spans="1:7" x14ac:dyDescent="0.3">
      <c r="A5297" t="s">
        <v>13039</v>
      </c>
      <c r="B5297" t="s">
        <v>10628</v>
      </c>
      <c r="C5297" t="s">
        <v>10629</v>
      </c>
      <c r="D5297" s="1" t="s">
        <v>38</v>
      </c>
      <c r="E5297" s="3">
        <v>588.53</v>
      </c>
      <c r="F5297" s="3">
        <f t="shared" si="164"/>
        <v>148.72153100000003</v>
      </c>
      <c r="G5297" s="3">
        <f t="shared" si="165"/>
        <v>737.251531</v>
      </c>
    </row>
    <row r="5298" spans="1:7" x14ac:dyDescent="0.3">
      <c r="A5298" t="s">
        <v>13039</v>
      </c>
      <c r="B5298" t="s">
        <v>10630</v>
      </c>
      <c r="C5298" t="s">
        <v>10631</v>
      </c>
      <c r="D5298" s="1" t="s">
        <v>38</v>
      </c>
      <c r="E5298" s="3">
        <v>471.65</v>
      </c>
      <c r="F5298" s="3">
        <f t="shared" si="164"/>
        <v>119.18595500000001</v>
      </c>
      <c r="G5298" s="3">
        <f t="shared" si="165"/>
        <v>590.83595500000001</v>
      </c>
    </row>
    <row r="5299" spans="1:7" x14ac:dyDescent="0.3">
      <c r="A5299" t="s">
        <v>13039</v>
      </c>
      <c r="B5299" t="s">
        <v>10632</v>
      </c>
      <c r="C5299" t="s">
        <v>10633</v>
      </c>
      <c r="D5299" s="1" t="s">
        <v>38</v>
      </c>
      <c r="E5299" s="3">
        <v>502.16</v>
      </c>
      <c r="F5299" s="3">
        <f t="shared" si="164"/>
        <v>126.89583200000003</v>
      </c>
      <c r="G5299" s="3">
        <f t="shared" si="165"/>
        <v>629.05583200000001</v>
      </c>
    </row>
    <row r="5300" spans="1:7" x14ac:dyDescent="0.3">
      <c r="A5300" t="s">
        <v>13039</v>
      </c>
      <c r="B5300" t="s">
        <v>10634</v>
      </c>
      <c r="C5300" t="s">
        <v>10635</v>
      </c>
      <c r="D5300" s="1" t="s">
        <v>38</v>
      </c>
      <c r="E5300" s="3">
        <v>532.89</v>
      </c>
      <c r="F5300" s="3">
        <f t="shared" si="164"/>
        <v>134.661303</v>
      </c>
      <c r="G5300" s="3">
        <f t="shared" si="165"/>
        <v>667.55130299999996</v>
      </c>
    </row>
    <row r="5301" spans="1:7" x14ac:dyDescent="0.3">
      <c r="A5301" t="s">
        <v>13039</v>
      </c>
      <c r="B5301" t="s">
        <v>10636</v>
      </c>
      <c r="C5301" t="s">
        <v>10637</v>
      </c>
      <c r="D5301" s="1" t="s">
        <v>38</v>
      </c>
      <c r="E5301" s="3">
        <v>601.55999999999995</v>
      </c>
      <c r="F5301" s="3">
        <f t="shared" si="164"/>
        <v>152.01421200000001</v>
      </c>
      <c r="G5301" s="3">
        <f t="shared" si="165"/>
        <v>753.57421199999999</v>
      </c>
    </row>
    <row r="5302" spans="1:7" x14ac:dyDescent="0.3">
      <c r="A5302" t="s">
        <v>13039</v>
      </c>
      <c r="B5302" t="s">
        <v>10638</v>
      </c>
      <c r="C5302" t="s">
        <v>10639</v>
      </c>
      <c r="D5302" s="1" t="s">
        <v>38</v>
      </c>
      <c r="E5302" s="3">
        <v>423.91</v>
      </c>
      <c r="F5302" s="3">
        <f t="shared" si="164"/>
        <v>107.12205700000003</v>
      </c>
      <c r="G5302" s="3">
        <f t="shared" si="165"/>
        <v>531.03205700000001</v>
      </c>
    </row>
    <row r="5303" spans="1:7" x14ac:dyDescent="0.3">
      <c r="A5303" t="s">
        <v>13039</v>
      </c>
      <c r="B5303" t="s">
        <v>10640</v>
      </c>
      <c r="C5303" t="s">
        <v>10641</v>
      </c>
      <c r="D5303" s="1" t="s">
        <v>38</v>
      </c>
      <c r="E5303" s="3">
        <v>439.67</v>
      </c>
      <c r="F5303" s="3">
        <f t="shared" si="164"/>
        <v>111.10460900000002</v>
      </c>
      <c r="G5303" s="3">
        <f t="shared" si="165"/>
        <v>550.77460900000005</v>
      </c>
    </row>
    <row r="5304" spans="1:7" x14ac:dyDescent="0.3">
      <c r="A5304" t="s">
        <v>13039</v>
      </c>
      <c r="B5304" t="s">
        <v>10642</v>
      </c>
      <c r="C5304" t="s">
        <v>10643</v>
      </c>
      <c r="D5304" s="1" t="s">
        <v>38</v>
      </c>
      <c r="E5304" s="3">
        <v>454.74</v>
      </c>
      <c r="F5304" s="3">
        <f t="shared" si="164"/>
        <v>114.91279800000002</v>
      </c>
      <c r="G5304" s="3">
        <f t="shared" si="165"/>
        <v>569.65279800000008</v>
      </c>
    </row>
    <row r="5305" spans="1:7" x14ac:dyDescent="0.3">
      <c r="A5305" t="s">
        <v>13039</v>
      </c>
      <c r="B5305" t="s">
        <v>10644</v>
      </c>
      <c r="C5305" t="s">
        <v>10645</v>
      </c>
      <c r="D5305" s="1" t="s">
        <v>38</v>
      </c>
      <c r="E5305" s="3">
        <v>470.72</v>
      </c>
      <c r="F5305" s="3">
        <f t="shared" si="164"/>
        <v>118.95094400000002</v>
      </c>
      <c r="G5305" s="3">
        <f t="shared" si="165"/>
        <v>589.67094400000008</v>
      </c>
    </row>
    <row r="5306" spans="1:7" x14ac:dyDescent="0.3">
      <c r="A5306" t="s">
        <v>13039</v>
      </c>
      <c r="B5306" t="s">
        <v>10646</v>
      </c>
      <c r="C5306" t="s">
        <v>10647</v>
      </c>
      <c r="D5306" s="1" t="s">
        <v>38</v>
      </c>
      <c r="E5306" s="3">
        <v>465.97</v>
      </c>
      <c r="F5306" s="3">
        <f t="shared" si="164"/>
        <v>117.75061900000003</v>
      </c>
      <c r="G5306" s="3">
        <f t="shared" si="165"/>
        <v>583.72061900000006</v>
      </c>
    </row>
    <row r="5307" spans="1:7" x14ac:dyDescent="0.3">
      <c r="A5307" t="s">
        <v>13039</v>
      </c>
      <c r="B5307" t="s">
        <v>10648</v>
      </c>
      <c r="C5307" t="s">
        <v>10649</v>
      </c>
      <c r="D5307" s="1" t="s">
        <v>38</v>
      </c>
      <c r="E5307" s="3">
        <v>481.67</v>
      </c>
      <c r="F5307" s="3">
        <f t="shared" si="164"/>
        <v>121.71800900000002</v>
      </c>
      <c r="G5307" s="3">
        <f t="shared" si="165"/>
        <v>603.38800900000001</v>
      </c>
    </row>
    <row r="5308" spans="1:7" x14ac:dyDescent="0.3">
      <c r="A5308" t="s">
        <v>13039</v>
      </c>
      <c r="B5308" t="s">
        <v>10650</v>
      </c>
      <c r="C5308" t="s">
        <v>10651</v>
      </c>
      <c r="D5308" s="1" t="s">
        <v>38</v>
      </c>
      <c r="E5308" s="3">
        <v>510.96</v>
      </c>
      <c r="F5308" s="3">
        <f t="shared" si="164"/>
        <v>129.11959200000001</v>
      </c>
      <c r="G5308" s="3">
        <f t="shared" si="165"/>
        <v>640.07959200000005</v>
      </c>
    </row>
    <row r="5309" spans="1:7" x14ac:dyDescent="0.3">
      <c r="A5309" t="s">
        <v>13039</v>
      </c>
      <c r="B5309" t="s">
        <v>10652</v>
      </c>
      <c r="C5309" t="s">
        <v>10653</v>
      </c>
      <c r="D5309" s="1" t="s">
        <v>38</v>
      </c>
      <c r="E5309" s="3">
        <v>579.24</v>
      </c>
      <c r="F5309" s="3">
        <f t="shared" si="164"/>
        <v>146.37394800000001</v>
      </c>
      <c r="G5309" s="3">
        <f t="shared" si="165"/>
        <v>725.61394800000005</v>
      </c>
    </row>
    <row r="5310" spans="1:7" x14ac:dyDescent="0.3">
      <c r="A5310" t="s">
        <v>13039</v>
      </c>
      <c r="B5310" t="s">
        <v>10654</v>
      </c>
      <c r="C5310" t="s">
        <v>10655</v>
      </c>
      <c r="D5310" s="1" t="s">
        <v>38</v>
      </c>
      <c r="E5310" s="3">
        <v>1159.75</v>
      </c>
      <c r="F5310" s="3">
        <f t="shared" si="164"/>
        <v>293.06882500000006</v>
      </c>
      <c r="G5310" s="3">
        <f t="shared" si="165"/>
        <v>1452.8188250000001</v>
      </c>
    </row>
    <row r="5311" spans="1:7" x14ac:dyDescent="0.3">
      <c r="A5311" t="s">
        <v>13039</v>
      </c>
      <c r="B5311" t="s">
        <v>10656</v>
      </c>
      <c r="C5311" t="s">
        <v>10657</v>
      </c>
      <c r="D5311" s="1" t="s">
        <v>38</v>
      </c>
      <c r="E5311" s="3">
        <v>344.61</v>
      </c>
      <c r="F5311" s="3">
        <f t="shared" si="164"/>
        <v>87.082947000000019</v>
      </c>
      <c r="G5311" s="3">
        <f t="shared" si="165"/>
        <v>431.692947</v>
      </c>
    </row>
    <row r="5312" spans="1:7" x14ac:dyDescent="0.3">
      <c r="A5312" t="s">
        <v>13039</v>
      </c>
      <c r="B5312" t="s">
        <v>10658</v>
      </c>
      <c r="C5312" t="s">
        <v>10659</v>
      </c>
      <c r="D5312" s="1" t="s">
        <v>38</v>
      </c>
      <c r="E5312" s="3">
        <v>131.41999999999999</v>
      </c>
      <c r="F5312" s="3">
        <f t="shared" si="164"/>
        <v>33.209834000000001</v>
      </c>
      <c r="G5312" s="3">
        <f t="shared" si="165"/>
        <v>164.62983399999999</v>
      </c>
    </row>
    <row r="5313" spans="1:7" x14ac:dyDescent="0.3">
      <c r="A5313" t="s">
        <v>13039</v>
      </c>
      <c r="B5313" t="s">
        <v>10660</v>
      </c>
      <c r="C5313" t="s">
        <v>10661</v>
      </c>
      <c r="D5313" s="1" t="s">
        <v>38</v>
      </c>
      <c r="E5313" s="3">
        <v>713.77</v>
      </c>
      <c r="F5313" s="3">
        <f t="shared" si="164"/>
        <v>180.36967900000002</v>
      </c>
      <c r="G5313" s="3">
        <f t="shared" si="165"/>
        <v>894.139679</v>
      </c>
    </row>
    <row r="5314" spans="1:7" x14ac:dyDescent="0.3">
      <c r="A5314" t="s">
        <v>13039</v>
      </c>
      <c r="B5314" t="s">
        <v>10662</v>
      </c>
      <c r="C5314" t="s">
        <v>10663</v>
      </c>
      <c r="D5314" s="1" t="s">
        <v>38</v>
      </c>
      <c r="E5314" s="3">
        <v>1894.82</v>
      </c>
      <c r="F5314" s="3">
        <f t="shared" si="164"/>
        <v>478.82101400000005</v>
      </c>
      <c r="G5314" s="3">
        <f t="shared" si="165"/>
        <v>2373.6410139999998</v>
      </c>
    </row>
    <row r="5315" spans="1:7" x14ac:dyDescent="0.3">
      <c r="A5315" t="s">
        <v>13039</v>
      </c>
      <c r="B5315" t="s">
        <v>10664</v>
      </c>
      <c r="C5315" t="s">
        <v>10665</v>
      </c>
      <c r="D5315" s="1" t="s">
        <v>38</v>
      </c>
      <c r="E5315" s="3">
        <v>1042.1099999999999</v>
      </c>
      <c r="F5315" s="3">
        <f t="shared" si="164"/>
        <v>263.34119700000002</v>
      </c>
      <c r="G5315" s="3">
        <f t="shared" si="165"/>
        <v>1305.4511969999999</v>
      </c>
    </row>
    <row r="5316" spans="1:7" x14ac:dyDescent="0.3">
      <c r="A5316" t="s">
        <v>13039</v>
      </c>
      <c r="B5316" t="s">
        <v>10666</v>
      </c>
      <c r="C5316" t="s">
        <v>10667</v>
      </c>
      <c r="D5316" s="1" t="s">
        <v>38</v>
      </c>
      <c r="E5316" s="3">
        <v>3025.73</v>
      </c>
      <c r="F5316" s="3">
        <f t="shared" si="164"/>
        <v>764.60197100000016</v>
      </c>
      <c r="G5316" s="3">
        <f t="shared" si="165"/>
        <v>3790.3319710000001</v>
      </c>
    </row>
    <row r="5317" spans="1:7" x14ac:dyDescent="0.3">
      <c r="A5317" t="s">
        <v>13039</v>
      </c>
      <c r="B5317" t="s">
        <v>10668</v>
      </c>
      <c r="C5317" t="s">
        <v>10669</v>
      </c>
      <c r="D5317" s="1" t="s">
        <v>38</v>
      </c>
      <c r="E5317" s="3">
        <v>33.200000000000003</v>
      </c>
      <c r="F5317" s="3">
        <f t="shared" si="164"/>
        <v>8.3896400000000018</v>
      </c>
      <c r="G5317" s="3">
        <f t="shared" si="165"/>
        <v>41.589640000000003</v>
      </c>
    </row>
    <row r="5318" spans="1:7" x14ac:dyDescent="0.3">
      <c r="A5318" t="s">
        <v>13039</v>
      </c>
      <c r="B5318" t="s">
        <v>10670</v>
      </c>
      <c r="C5318" t="s">
        <v>10671</v>
      </c>
      <c r="D5318" s="1" t="s">
        <v>38</v>
      </c>
      <c r="E5318" s="3">
        <v>29.6</v>
      </c>
      <c r="F5318" s="3">
        <f t="shared" si="164"/>
        <v>7.4799200000000017</v>
      </c>
      <c r="G5318" s="3">
        <f t="shared" si="165"/>
        <v>37.079920000000001</v>
      </c>
    </row>
    <row r="5319" spans="1:7" x14ac:dyDescent="0.3">
      <c r="A5319" t="s">
        <v>13039</v>
      </c>
      <c r="B5319" t="s">
        <v>10672</v>
      </c>
      <c r="C5319" t="s">
        <v>10673</v>
      </c>
      <c r="D5319" s="1" t="s">
        <v>38</v>
      </c>
      <c r="E5319" s="3">
        <v>37.799999999999997</v>
      </c>
      <c r="F5319" s="3">
        <f t="shared" ref="F5319:F5382" si="166">+E5319*$F$4</f>
        <v>9.5520600000000009</v>
      </c>
      <c r="G5319" s="3">
        <f t="shared" ref="G5319:G5382" si="167">+E5319+F5319</f>
        <v>47.352059999999994</v>
      </c>
    </row>
    <row r="5320" spans="1:7" x14ac:dyDescent="0.3">
      <c r="A5320" t="s">
        <v>13039</v>
      </c>
      <c r="B5320" t="s">
        <v>10674</v>
      </c>
      <c r="C5320" t="s">
        <v>10675</v>
      </c>
      <c r="D5320" s="1" t="s">
        <v>38</v>
      </c>
      <c r="E5320" s="3">
        <v>33.5</v>
      </c>
      <c r="F5320" s="3">
        <f t="shared" si="166"/>
        <v>8.4654500000000006</v>
      </c>
      <c r="G5320" s="3">
        <f t="shared" si="167"/>
        <v>41.965450000000004</v>
      </c>
    </row>
    <row r="5321" spans="1:7" x14ac:dyDescent="0.3">
      <c r="A5321" t="s">
        <v>13039</v>
      </c>
      <c r="B5321" t="s">
        <v>10676</v>
      </c>
      <c r="C5321" t="s">
        <v>10677</v>
      </c>
      <c r="D5321" s="1" t="s">
        <v>38</v>
      </c>
      <c r="E5321" s="3">
        <v>41.29</v>
      </c>
      <c r="F5321" s="3">
        <f t="shared" si="166"/>
        <v>10.433983000000001</v>
      </c>
      <c r="G5321" s="3">
        <f t="shared" si="167"/>
        <v>51.723983000000004</v>
      </c>
    </row>
    <row r="5322" spans="1:7" x14ac:dyDescent="0.3">
      <c r="A5322" t="s">
        <v>13039</v>
      </c>
      <c r="B5322" t="s">
        <v>10678</v>
      </c>
      <c r="C5322" t="s">
        <v>10679</v>
      </c>
      <c r="D5322" s="1" t="s">
        <v>38</v>
      </c>
      <c r="E5322" s="3">
        <v>36.81</v>
      </c>
      <c r="F5322" s="3">
        <f t="shared" si="166"/>
        <v>9.3018870000000025</v>
      </c>
      <c r="G5322" s="3">
        <f t="shared" si="167"/>
        <v>46.111887000000003</v>
      </c>
    </row>
    <row r="5323" spans="1:7" x14ac:dyDescent="0.3">
      <c r="A5323" t="s">
        <v>13039</v>
      </c>
      <c r="B5323" t="s">
        <v>10680</v>
      </c>
      <c r="C5323" t="s">
        <v>10681</v>
      </c>
      <c r="D5323" s="1" t="s">
        <v>38</v>
      </c>
      <c r="E5323" s="3">
        <v>42.99</v>
      </c>
      <c r="F5323" s="3">
        <f t="shared" si="166"/>
        <v>10.863573000000002</v>
      </c>
      <c r="G5323" s="3">
        <f t="shared" si="167"/>
        <v>53.853573000000004</v>
      </c>
    </row>
    <row r="5324" spans="1:7" x14ac:dyDescent="0.3">
      <c r="A5324" t="s">
        <v>13039</v>
      </c>
      <c r="B5324" t="s">
        <v>10682</v>
      </c>
      <c r="C5324" t="s">
        <v>10683</v>
      </c>
      <c r="D5324" s="1" t="s">
        <v>38</v>
      </c>
      <c r="E5324" s="3">
        <v>39.78</v>
      </c>
      <c r="F5324" s="3">
        <f t="shared" si="166"/>
        <v>10.052406000000001</v>
      </c>
      <c r="G5324" s="3">
        <f t="shared" si="167"/>
        <v>49.832406000000006</v>
      </c>
    </row>
    <row r="5325" spans="1:7" x14ac:dyDescent="0.3">
      <c r="A5325" t="s">
        <v>13039</v>
      </c>
      <c r="B5325" t="s">
        <v>10684</v>
      </c>
      <c r="C5325" t="s">
        <v>10685</v>
      </c>
      <c r="D5325" s="1" t="s">
        <v>38</v>
      </c>
      <c r="E5325" s="3">
        <v>29.12</v>
      </c>
      <c r="F5325" s="3">
        <f t="shared" si="166"/>
        <v>7.3586240000000016</v>
      </c>
      <c r="G5325" s="3">
        <f t="shared" si="167"/>
        <v>36.478624000000003</v>
      </c>
    </row>
    <row r="5326" spans="1:7" x14ac:dyDescent="0.3">
      <c r="A5326" t="s">
        <v>13039</v>
      </c>
      <c r="B5326" t="s">
        <v>10686</v>
      </c>
      <c r="C5326" t="s">
        <v>10687</v>
      </c>
      <c r="D5326" s="1" t="s">
        <v>38</v>
      </c>
      <c r="E5326" s="3">
        <v>26.65</v>
      </c>
      <c r="F5326" s="3">
        <f t="shared" si="166"/>
        <v>6.7344550000000005</v>
      </c>
      <c r="G5326" s="3">
        <f t="shared" si="167"/>
        <v>33.384455000000003</v>
      </c>
    </row>
    <row r="5327" spans="1:7" x14ac:dyDescent="0.3">
      <c r="A5327" t="s">
        <v>13039</v>
      </c>
      <c r="B5327" t="s">
        <v>10688</v>
      </c>
      <c r="C5327" t="s">
        <v>10689</v>
      </c>
      <c r="D5327" s="1" t="s">
        <v>38</v>
      </c>
      <c r="E5327" s="3">
        <v>33.76</v>
      </c>
      <c r="F5327" s="3">
        <f t="shared" si="166"/>
        <v>8.5311520000000005</v>
      </c>
      <c r="G5327" s="3">
        <f t="shared" si="167"/>
        <v>42.291151999999997</v>
      </c>
    </row>
    <row r="5328" spans="1:7" x14ac:dyDescent="0.3">
      <c r="A5328" t="s">
        <v>13039</v>
      </c>
      <c r="B5328" t="s">
        <v>10690</v>
      </c>
      <c r="C5328" t="s">
        <v>10691</v>
      </c>
      <c r="D5328" s="1" t="s">
        <v>38</v>
      </c>
      <c r="E5328" s="3">
        <v>31.2</v>
      </c>
      <c r="F5328" s="3">
        <f t="shared" si="166"/>
        <v>7.884240000000001</v>
      </c>
      <c r="G5328" s="3">
        <f t="shared" si="167"/>
        <v>39.084240000000001</v>
      </c>
    </row>
    <row r="5329" spans="1:7" x14ac:dyDescent="0.3">
      <c r="A5329" t="s">
        <v>13039</v>
      </c>
      <c r="B5329" t="s">
        <v>10692</v>
      </c>
      <c r="C5329" t="s">
        <v>10693</v>
      </c>
      <c r="D5329" s="1" t="s">
        <v>38</v>
      </c>
      <c r="E5329" s="3">
        <v>34.69</v>
      </c>
      <c r="F5329" s="3">
        <f t="shared" si="166"/>
        <v>8.7661630000000006</v>
      </c>
      <c r="G5329" s="3">
        <f t="shared" si="167"/>
        <v>43.456162999999997</v>
      </c>
    </row>
    <row r="5330" spans="1:7" x14ac:dyDescent="0.3">
      <c r="A5330" t="s">
        <v>13039</v>
      </c>
      <c r="B5330" t="s">
        <v>10694</v>
      </c>
      <c r="C5330" t="s">
        <v>10695</v>
      </c>
      <c r="D5330" s="1" t="s">
        <v>38</v>
      </c>
      <c r="E5330" s="3">
        <v>31.72</v>
      </c>
      <c r="F5330" s="3">
        <f t="shared" si="166"/>
        <v>8.015644</v>
      </c>
      <c r="G5330" s="3">
        <f t="shared" si="167"/>
        <v>39.735644000000001</v>
      </c>
    </row>
    <row r="5331" spans="1:7" x14ac:dyDescent="0.3">
      <c r="A5331" t="s">
        <v>13039</v>
      </c>
      <c r="B5331" t="s">
        <v>10696</v>
      </c>
      <c r="C5331" t="s">
        <v>10697</v>
      </c>
      <c r="D5331" s="1" t="s">
        <v>38</v>
      </c>
      <c r="E5331" s="3">
        <v>41.12</v>
      </c>
      <c r="F5331" s="3">
        <f t="shared" si="166"/>
        <v>10.391024000000002</v>
      </c>
      <c r="G5331" s="3">
        <f t="shared" si="167"/>
        <v>51.511023999999999</v>
      </c>
    </row>
    <row r="5332" spans="1:7" x14ac:dyDescent="0.3">
      <c r="A5332" t="s">
        <v>13039</v>
      </c>
      <c r="B5332" t="s">
        <v>10698</v>
      </c>
      <c r="C5332" t="s">
        <v>10699</v>
      </c>
      <c r="D5332" s="1" t="s">
        <v>38</v>
      </c>
      <c r="E5332" s="3">
        <v>38.479999999999997</v>
      </c>
      <c r="F5332" s="3">
        <f t="shared" si="166"/>
        <v>9.7238959999999999</v>
      </c>
      <c r="G5332" s="3">
        <f t="shared" si="167"/>
        <v>48.203896</v>
      </c>
    </row>
    <row r="5333" spans="1:7" x14ac:dyDescent="0.3">
      <c r="A5333" t="s">
        <v>13039</v>
      </c>
      <c r="B5333" t="s">
        <v>10700</v>
      </c>
      <c r="C5333" t="s">
        <v>10701</v>
      </c>
      <c r="D5333" s="1" t="s">
        <v>38</v>
      </c>
      <c r="E5333" s="3">
        <v>42.51</v>
      </c>
      <c r="F5333" s="3">
        <f t="shared" si="166"/>
        <v>10.742277000000001</v>
      </c>
      <c r="G5333" s="3">
        <f t="shared" si="167"/>
        <v>53.252276999999999</v>
      </c>
    </row>
    <row r="5334" spans="1:7" x14ac:dyDescent="0.3">
      <c r="A5334" t="s">
        <v>13039</v>
      </c>
      <c r="B5334" t="s">
        <v>10702</v>
      </c>
      <c r="C5334" t="s">
        <v>10703</v>
      </c>
      <c r="D5334" s="1" t="s">
        <v>38</v>
      </c>
      <c r="E5334" s="3">
        <v>39.9</v>
      </c>
      <c r="F5334" s="3">
        <f t="shared" si="166"/>
        <v>10.082730000000002</v>
      </c>
      <c r="G5334" s="3">
        <f t="shared" si="167"/>
        <v>49.982730000000004</v>
      </c>
    </row>
    <row r="5335" spans="1:7" x14ac:dyDescent="0.3">
      <c r="A5335" t="s">
        <v>13039</v>
      </c>
      <c r="B5335" t="s">
        <v>10704</v>
      </c>
      <c r="C5335" t="s">
        <v>10705</v>
      </c>
      <c r="D5335" s="1" t="s">
        <v>38</v>
      </c>
      <c r="E5335" s="3">
        <v>49.62</v>
      </c>
      <c r="F5335" s="3">
        <f t="shared" si="166"/>
        <v>12.538974000000001</v>
      </c>
      <c r="G5335" s="3">
        <f t="shared" si="167"/>
        <v>62.158974000000001</v>
      </c>
    </row>
    <row r="5336" spans="1:7" x14ac:dyDescent="0.3">
      <c r="A5336" t="s">
        <v>13039</v>
      </c>
      <c r="B5336" t="s">
        <v>10706</v>
      </c>
      <c r="C5336" t="s">
        <v>10707</v>
      </c>
      <c r="D5336" s="1" t="s">
        <v>38</v>
      </c>
      <c r="E5336" s="3">
        <v>46.92</v>
      </c>
      <c r="F5336" s="3">
        <f t="shared" si="166"/>
        <v>11.856684000000001</v>
      </c>
      <c r="G5336" s="3">
        <f t="shared" si="167"/>
        <v>58.776684000000003</v>
      </c>
    </row>
    <row r="5337" spans="1:7" x14ac:dyDescent="0.3">
      <c r="A5337" t="s">
        <v>13039</v>
      </c>
      <c r="B5337" t="s">
        <v>10708</v>
      </c>
      <c r="C5337" t="s">
        <v>10709</v>
      </c>
      <c r="D5337" s="1" t="s">
        <v>38</v>
      </c>
      <c r="E5337" s="3">
        <v>53.88</v>
      </c>
      <c r="F5337" s="3">
        <f t="shared" si="166"/>
        <v>13.615476000000003</v>
      </c>
      <c r="G5337" s="3">
        <f t="shared" si="167"/>
        <v>67.495476000000011</v>
      </c>
    </row>
    <row r="5338" spans="1:7" x14ac:dyDescent="0.3">
      <c r="A5338" t="s">
        <v>13039</v>
      </c>
      <c r="B5338" t="s">
        <v>10710</v>
      </c>
      <c r="C5338" t="s">
        <v>10711</v>
      </c>
      <c r="D5338" s="1" t="s">
        <v>38</v>
      </c>
      <c r="E5338" s="3">
        <v>51.04</v>
      </c>
      <c r="F5338" s="3">
        <f t="shared" si="166"/>
        <v>12.897808000000001</v>
      </c>
      <c r="G5338" s="3">
        <f t="shared" si="167"/>
        <v>63.937808000000004</v>
      </c>
    </row>
    <row r="5339" spans="1:7" x14ac:dyDescent="0.3">
      <c r="A5339" t="s">
        <v>13039</v>
      </c>
      <c r="B5339" t="s">
        <v>10712</v>
      </c>
      <c r="C5339" t="s">
        <v>10713</v>
      </c>
      <c r="D5339" s="1" t="s">
        <v>38</v>
      </c>
      <c r="E5339" s="3">
        <v>57.3</v>
      </c>
      <c r="F5339" s="3">
        <f t="shared" si="166"/>
        <v>14.479710000000001</v>
      </c>
      <c r="G5339" s="3">
        <f t="shared" si="167"/>
        <v>71.779709999999994</v>
      </c>
    </row>
    <row r="5340" spans="1:7" x14ac:dyDescent="0.3">
      <c r="A5340" t="s">
        <v>13039</v>
      </c>
      <c r="B5340" t="s">
        <v>10714</v>
      </c>
      <c r="C5340" t="s">
        <v>10715</v>
      </c>
      <c r="D5340" s="1" t="s">
        <v>38</v>
      </c>
      <c r="E5340" s="3">
        <v>54.54</v>
      </c>
      <c r="F5340" s="3">
        <f t="shared" si="166"/>
        <v>13.782258000000002</v>
      </c>
      <c r="G5340" s="3">
        <f t="shared" si="167"/>
        <v>68.322258000000005</v>
      </c>
    </row>
    <row r="5341" spans="1:7" x14ac:dyDescent="0.3">
      <c r="A5341" t="s">
        <v>13039</v>
      </c>
      <c r="B5341" t="s">
        <v>10716</v>
      </c>
      <c r="C5341" t="s">
        <v>10717</v>
      </c>
      <c r="D5341" s="1" t="s">
        <v>38</v>
      </c>
      <c r="E5341" s="3">
        <v>40.880000000000003</v>
      </c>
      <c r="F5341" s="3">
        <f t="shared" si="166"/>
        <v>10.330376000000003</v>
      </c>
      <c r="G5341" s="3">
        <f t="shared" si="167"/>
        <v>51.210376000000004</v>
      </c>
    </row>
    <row r="5342" spans="1:7" x14ac:dyDescent="0.3">
      <c r="A5342" t="s">
        <v>13039</v>
      </c>
      <c r="B5342" t="s">
        <v>10718</v>
      </c>
      <c r="C5342" t="s">
        <v>10719</v>
      </c>
      <c r="D5342" s="1" t="s">
        <v>38</v>
      </c>
      <c r="E5342" s="3">
        <v>38.17</v>
      </c>
      <c r="F5342" s="3">
        <f t="shared" si="166"/>
        <v>9.6455590000000022</v>
      </c>
      <c r="G5342" s="3">
        <f t="shared" si="167"/>
        <v>47.815559000000007</v>
      </c>
    </row>
    <row r="5343" spans="1:7" x14ac:dyDescent="0.3">
      <c r="A5343" t="s">
        <v>13039</v>
      </c>
      <c r="B5343" t="s">
        <v>10720</v>
      </c>
      <c r="C5343" t="s">
        <v>10721</v>
      </c>
      <c r="D5343" s="1" t="s">
        <v>38</v>
      </c>
      <c r="E5343" s="3">
        <v>47.61</v>
      </c>
      <c r="F5343" s="3">
        <f t="shared" si="166"/>
        <v>12.031047000000001</v>
      </c>
      <c r="G5343" s="3">
        <f t="shared" si="167"/>
        <v>59.641047</v>
      </c>
    </row>
    <row r="5344" spans="1:7" x14ac:dyDescent="0.3">
      <c r="A5344" t="s">
        <v>13039</v>
      </c>
      <c r="B5344" t="s">
        <v>10722</v>
      </c>
      <c r="C5344" t="s">
        <v>10723</v>
      </c>
      <c r="D5344" s="1" t="s">
        <v>38</v>
      </c>
      <c r="E5344" s="3">
        <v>44.89</v>
      </c>
      <c r="F5344" s="3">
        <f t="shared" si="166"/>
        <v>11.343703000000001</v>
      </c>
      <c r="G5344" s="3">
        <f t="shared" si="167"/>
        <v>56.233703000000006</v>
      </c>
    </row>
    <row r="5345" spans="1:7" x14ac:dyDescent="0.3">
      <c r="A5345" t="s">
        <v>13039</v>
      </c>
      <c r="B5345" t="s">
        <v>10724</v>
      </c>
      <c r="C5345" t="s">
        <v>10725</v>
      </c>
      <c r="D5345" s="1" t="s">
        <v>38</v>
      </c>
      <c r="E5345" s="3">
        <v>51.65</v>
      </c>
      <c r="F5345" s="3">
        <f t="shared" si="166"/>
        <v>13.051955000000001</v>
      </c>
      <c r="G5345" s="3">
        <f t="shared" si="167"/>
        <v>64.701954999999998</v>
      </c>
    </row>
    <row r="5346" spans="1:7" x14ac:dyDescent="0.3">
      <c r="A5346" t="s">
        <v>13039</v>
      </c>
      <c r="B5346" t="s">
        <v>10726</v>
      </c>
      <c r="C5346" t="s">
        <v>10727</v>
      </c>
      <c r="D5346" s="1" t="s">
        <v>38</v>
      </c>
      <c r="E5346" s="3">
        <v>48.84</v>
      </c>
      <c r="F5346" s="3">
        <f t="shared" si="166"/>
        <v>12.341868000000003</v>
      </c>
      <c r="G5346" s="3">
        <f t="shared" si="167"/>
        <v>61.181868000000009</v>
      </c>
    </row>
    <row r="5347" spans="1:7" x14ac:dyDescent="0.3">
      <c r="A5347" t="s">
        <v>13039</v>
      </c>
      <c r="B5347" t="s">
        <v>10728</v>
      </c>
      <c r="C5347" t="s">
        <v>10729</v>
      </c>
      <c r="D5347" s="1" t="s">
        <v>38</v>
      </c>
      <c r="E5347" s="3">
        <v>55.82</v>
      </c>
      <c r="F5347" s="3">
        <f t="shared" si="166"/>
        <v>14.105714000000003</v>
      </c>
      <c r="G5347" s="3">
        <f t="shared" si="167"/>
        <v>69.925713999999999</v>
      </c>
    </row>
    <row r="5348" spans="1:7" x14ac:dyDescent="0.3">
      <c r="A5348" t="s">
        <v>13039</v>
      </c>
      <c r="B5348" t="s">
        <v>10730</v>
      </c>
      <c r="C5348" t="s">
        <v>10731</v>
      </c>
      <c r="D5348" s="1" t="s">
        <v>38</v>
      </c>
      <c r="E5348" s="3">
        <v>53.12</v>
      </c>
      <c r="F5348" s="3">
        <f t="shared" si="166"/>
        <v>13.423424000000001</v>
      </c>
      <c r="G5348" s="3">
        <f t="shared" si="167"/>
        <v>66.543424000000002</v>
      </c>
    </row>
    <row r="5349" spans="1:7" x14ac:dyDescent="0.3">
      <c r="A5349" t="s">
        <v>13039</v>
      </c>
      <c r="B5349" t="s">
        <v>10732</v>
      </c>
      <c r="C5349" t="s">
        <v>10733</v>
      </c>
      <c r="D5349" s="1" t="s">
        <v>38</v>
      </c>
      <c r="E5349" s="3">
        <v>40.53</v>
      </c>
      <c r="F5349" s="3">
        <f t="shared" si="166"/>
        <v>10.241931000000001</v>
      </c>
      <c r="G5349" s="3">
        <f t="shared" si="167"/>
        <v>50.771931000000002</v>
      </c>
    </row>
    <row r="5350" spans="1:7" x14ac:dyDescent="0.3">
      <c r="A5350" t="s">
        <v>13039</v>
      </c>
      <c r="B5350" t="s">
        <v>10734</v>
      </c>
      <c r="C5350" t="s">
        <v>10735</v>
      </c>
      <c r="D5350" s="1" t="s">
        <v>38</v>
      </c>
      <c r="E5350" s="3">
        <v>35.700000000000003</v>
      </c>
      <c r="F5350" s="3">
        <f t="shared" si="166"/>
        <v>9.021390000000002</v>
      </c>
      <c r="G5350" s="3">
        <f t="shared" si="167"/>
        <v>44.721390000000007</v>
      </c>
    </row>
    <row r="5351" spans="1:7" x14ac:dyDescent="0.3">
      <c r="A5351" t="s">
        <v>13039</v>
      </c>
      <c r="B5351" t="s">
        <v>10736</v>
      </c>
      <c r="C5351" t="s">
        <v>10737</v>
      </c>
      <c r="D5351" s="1" t="s">
        <v>38</v>
      </c>
      <c r="E5351" s="3">
        <v>36.65</v>
      </c>
      <c r="F5351" s="3">
        <f t="shared" si="166"/>
        <v>9.2614550000000015</v>
      </c>
      <c r="G5351" s="3">
        <f t="shared" si="167"/>
        <v>45.911455000000004</v>
      </c>
    </row>
    <row r="5352" spans="1:7" x14ac:dyDescent="0.3">
      <c r="A5352" t="s">
        <v>13039</v>
      </c>
      <c r="B5352" t="s">
        <v>10738</v>
      </c>
      <c r="C5352" t="s">
        <v>10739</v>
      </c>
      <c r="D5352" s="1" t="s">
        <v>38</v>
      </c>
      <c r="E5352" s="3">
        <v>31.5</v>
      </c>
      <c r="F5352" s="3">
        <f t="shared" si="166"/>
        <v>7.9600500000000007</v>
      </c>
      <c r="G5352" s="3">
        <f t="shared" si="167"/>
        <v>39.460050000000003</v>
      </c>
    </row>
    <row r="5353" spans="1:7" x14ac:dyDescent="0.3">
      <c r="A5353" t="s">
        <v>13039</v>
      </c>
      <c r="B5353" t="s">
        <v>10740</v>
      </c>
      <c r="C5353" t="s">
        <v>10741</v>
      </c>
      <c r="D5353" s="1" t="s">
        <v>38</v>
      </c>
      <c r="E5353" s="3">
        <v>70.290000000000006</v>
      </c>
      <c r="F5353" s="3">
        <f t="shared" si="166"/>
        <v>17.762283000000004</v>
      </c>
      <c r="G5353" s="3">
        <f t="shared" si="167"/>
        <v>88.052283000000017</v>
      </c>
    </row>
    <row r="5354" spans="1:7" x14ac:dyDescent="0.3">
      <c r="A5354" t="s">
        <v>13039</v>
      </c>
      <c r="B5354" t="s">
        <v>10742</v>
      </c>
      <c r="C5354" t="s">
        <v>10743</v>
      </c>
      <c r="D5354" s="1" t="s">
        <v>38</v>
      </c>
      <c r="E5354" s="3">
        <v>66.86</v>
      </c>
      <c r="F5354" s="3">
        <f t="shared" si="166"/>
        <v>16.895522000000003</v>
      </c>
      <c r="G5354" s="3">
        <f t="shared" si="167"/>
        <v>83.755521999999999</v>
      </c>
    </row>
    <row r="5355" spans="1:7" x14ac:dyDescent="0.3">
      <c r="A5355" t="s">
        <v>13039</v>
      </c>
      <c r="B5355" t="s">
        <v>10744</v>
      </c>
      <c r="C5355" t="s">
        <v>10745</v>
      </c>
      <c r="D5355" s="1" t="s">
        <v>38</v>
      </c>
      <c r="E5355" s="3">
        <v>35.270000000000003</v>
      </c>
      <c r="F5355" s="3">
        <f t="shared" si="166"/>
        <v>8.9127290000000023</v>
      </c>
      <c r="G5355" s="3">
        <f t="shared" si="167"/>
        <v>44.182729000000009</v>
      </c>
    </row>
    <row r="5356" spans="1:7" x14ac:dyDescent="0.3">
      <c r="A5356" t="s">
        <v>13039</v>
      </c>
      <c r="B5356" t="s">
        <v>10746</v>
      </c>
      <c r="C5356" t="s">
        <v>10747</v>
      </c>
      <c r="D5356" s="1" t="s">
        <v>38</v>
      </c>
      <c r="E5356" s="3">
        <v>29.48</v>
      </c>
      <c r="F5356" s="3">
        <f t="shared" si="166"/>
        <v>7.4495960000000014</v>
      </c>
      <c r="G5356" s="3">
        <f t="shared" si="167"/>
        <v>36.929596000000004</v>
      </c>
    </row>
    <row r="5357" spans="1:7" x14ac:dyDescent="0.3">
      <c r="A5357" t="s">
        <v>13039</v>
      </c>
      <c r="B5357" t="s">
        <v>10748</v>
      </c>
      <c r="C5357" t="s">
        <v>10749</v>
      </c>
      <c r="D5357" s="1" t="s">
        <v>38</v>
      </c>
      <c r="E5357" s="3">
        <v>33.770000000000003</v>
      </c>
      <c r="F5357" s="3">
        <f t="shared" si="166"/>
        <v>8.5336790000000011</v>
      </c>
      <c r="G5357" s="3">
        <f t="shared" si="167"/>
        <v>42.303679000000002</v>
      </c>
    </row>
    <row r="5358" spans="1:7" x14ac:dyDescent="0.3">
      <c r="A5358" t="s">
        <v>13039</v>
      </c>
      <c r="B5358" t="s">
        <v>10750</v>
      </c>
      <c r="C5358" t="s">
        <v>10751</v>
      </c>
      <c r="D5358" s="1" t="s">
        <v>38</v>
      </c>
      <c r="E5358" s="3">
        <v>28.42</v>
      </c>
      <c r="F5358" s="3">
        <f t="shared" si="166"/>
        <v>7.1817340000000014</v>
      </c>
      <c r="G5358" s="3">
        <f t="shared" si="167"/>
        <v>35.601734</v>
      </c>
    </row>
    <row r="5359" spans="1:7" x14ac:dyDescent="0.3">
      <c r="A5359" t="s">
        <v>13039</v>
      </c>
      <c r="B5359" t="s">
        <v>10752</v>
      </c>
      <c r="C5359" t="s">
        <v>10753</v>
      </c>
      <c r="D5359" s="1" t="s">
        <v>38</v>
      </c>
      <c r="E5359" s="3">
        <v>62.25</v>
      </c>
      <c r="F5359" s="3">
        <f t="shared" si="166"/>
        <v>15.730575000000002</v>
      </c>
      <c r="G5359" s="3">
        <f t="shared" si="167"/>
        <v>77.980575000000002</v>
      </c>
    </row>
    <row r="5360" spans="1:7" x14ac:dyDescent="0.3">
      <c r="A5360" t="s">
        <v>13039</v>
      </c>
      <c r="B5360" t="s">
        <v>10754</v>
      </c>
      <c r="C5360" t="s">
        <v>10755</v>
      </c>
      <c r="D5360" s="1" t="s">
        <v>38</v>
      </c>
      <c r="E5360" s="3">
        <v>62.05</v>
      </c>
      <c r="F5360" s="3">
        <f t="shared" si="166"/>
        <v>15.680035000000002</v>
      </c>
      <c r="G5360" s="3">
        <f t="shared" si="167"/>
        <v>77.730035000000001</v>
      </c>
    </row>
    <row r="5361" spans="1:7" x14ac:dyDescent="0.3">
      <c r="A5361" t="s">
        <v>13039</v>
      </c>
      <c r="B5361" t="s">
        <v>10756</v>
      </c>
      <c r="C5361" t="s">
        <v>10757</v>
      </c>
      <c r="D5361" s="1" t="s">
        <v>38</v>
      </c>
      <c r="E5361" s="3">
        <v>86.67</v>
      </c>
      <c r="F5361" s="3">
        <f t="shared" si="166"/>
        <v>21.901509000000004</v>
      </c>
      <c r="G5361" s="3">
        <f t="shared" si="167"/>
        <v>108.57150900000001</v>
      </c>
    </row>
    <row r="5362" spans="1:7" x14ac:dyDescent="0.3">
      <c r="A5362" t="s">
        <v>13039</v>
      </c>
      <c r="B5362" t="s">
        <v>10758</v>
      </c>
      <c r="C5362" t="s">
        <v>10759</v>
      </c>
      <c r="D5362" s="1" t="s">
        <v>38</v>
      </c>
      <c r="E5362" s="3">
        <v>84.45</v>
      </c>
      <c r="F5362" s="3">
        <f t="shared" si="166"/>
        <v>21.340515000000003</v>
      </c>
      <c r="G5362" s="3">
        <f t="shared" si="167"/>
        <v>105.790515</v>
      </c>
    </row>
    <row r="5363" spans="1:7" x14ac:dyDescent="0.3">
      <c r="A5363" t="s">
        <v>13039</v>
      </c>
      <c r="B5363" t="s">
        <v>10760</v>
      </c>
      <c r="C5363" t="s">
        <v>10761</v>
      </c>
      <c r="D5363" s="1" t="s">
        <v>38</v>
      </c>
      <c r="E5363" s="3">
        <v>77.09</v>
      </c>
      <c r="F5363" s="3">
        <f t="shared" si="166"/>
        <v>19.480643000000004</v>
      </c>
      <c r="G5363" s="3">
        <f t="shared" si="167"/>
        <v>96.570643000000004</v>
      </c>
    </row>
    <row r="5364" spans="1:7" x14ac:dyDescent="0.3">
      <c r="A5364" t="s">
        <v>13039</v>
      </c>
      <c r="B5364" t="s">
        <v>10762</v>
      </c>
      <c r="C5364" t="s">
        <v>10763</v>
      </c>
      <c r="D5364" s="1" t="s">
        <v>38</v>
      </c>
      <c r="E5364" s="3">
        <v>75.14</v>
      </c>
      <c r="F5364" s="3">
        <f t="shared" si="166"/>
        <v>18.987878000000002</v>
      </c>
      <c r="G5364" s="3">
        <f t="shared" si="167"/>
        <v>94.12787800000001</v>
      </c>
    </row>
    <row r="5365" spans="1:7" x14ac:dyDescent="0.3">
      <c r="A5365" t="s">
        <v>13039</v>
      </c>
      <c r="B5365" t="s">
        <v>10764</v>
      </c>
      <c r="C5365" t="s">
        <v>10765</v>
      </c>
      <c r="D5365" s="1" t="s">
        <v>2904</v>
      </c>
      <c r="E5365" s="3">
        <v>341.78</v>
      </c>
      <c r="F5365" s="3">
        <f t="shared" si="166"/>
        <v>86.367806000000002</v>
      </c>
      <c r="G5365" s="3">
        <f t="shared" si="167"/>
        <v>428.14780599999995</v>
      </c>
    </row>
    <row r="5366" spans="1:7" x14ac:dyDescent="0.3">
      <c r="A5366" t="s">
        <v>13039</v>
      </c>
      <c r="B5366" t="s">
        <v>10766</v>
      </c>
      <c r="C5366" t="s">
        <v>10767</v>
      </c>
      <c r="D5366" s="1" t="s">
        <v>3650</v>
      </c>
      <c r="E5366" s="3">
        <v>150.63999999999999</v>
      </c>
      <c r="F5366" s="3">
        <f t="shared" si="166"/>
        <v>38.066728000000005</v>
      </c>
      <c r="G5366" s="3">
        <f t="shared" si="167"/>
        <v>188.706728</v>
      </c>
    </row>
    <row r="5367" spans="1:7" x14ac:dyDescent="0.3">
      <c r="A5367" t="s">
        <v>13039</v>
      </c>
      <c r="B5367" t="s">
        <v>10768</v>
      </c>
      <c r="C5367" t="s">
        <v>10769</v>
      </c>
      <c r="D5367" s="1" t="s">
        <v>38</v>
      </c>
      <c r="E5367" s="3">
        <v>2540.1999999999998</v>
      </c>
      <c r="F5367" s="3">
        <f t="shared" si="166"/>
        <v>641.90854000000002</v>
      </c>
      <c r="G5367" s="3">
        <f t="shared" si="167"/>
        <v>3182.1085399999997</v>
      </c>
    </row>
    <row r="5368" spans="1:7" x14ac:dyDescent="0.3">
      <c r="A5368" t="s">
        <v>13039</v>
      </c>
      <c r="B5368" t="s">
        <v>10770</v>
      </c>
      <c r="C5368" t="s">
        <v>10771</v>
      </c>
      <c r="D5368" s="1" t="s">
        <v>38</v>
      </c>
      <c r="E5368" s="3">
        <v>3327.28</v>
      </c>
      <c r="F5368" s="3">
        <f t="shared" si="166"/>
        <v>840.80365600000016</v>
      </c>
      <c r="G5368" s="3">
        <f t="shared" si="167"/>
        <v>4168.0836560000007</v>
      </c>
    </row>
    <row r="5369" spans="1:7" x14ac:dyDescent="0.3">
      <c r="A5369" t="s">
        <v>13039</v>
      </c>
      <c r="B5369" t="s">
        <v>10772</v>
      </c>
      <c r="C5369" t="s">
        <v>10773</v>
      </c>
      <c r="D5369" s="1" t="s">
        <v>38</v>
      </c>
      <c r="E5369" s="3">
        <v>6519.04</v>
      </c>
      <c r="F5369" s="3">
        <f t="shared" si="166"/>
        <v>1647.3614080000002</v>
      </c>
      <c r="G5369" s="3">
        <f t="shared" si="167"/>
        <v>8166.4014079999997</v>
      </c>
    </row>
    <row r="5370" spans="1:7" x14ac:dyDescent="0.3">
      <c r="A5370" t="s">
        <v>13039</v>
      </c>
      <c r="B5370" t="s">
        <v>10774</v>
      </c>
      <c r="C5370" t="s">
        <v>10775</v>
      </c>
      <c r="D5370" s="1" t="s">
        <v>38</v>
      </c>
      <c r="E5370" s="3">
        <v>5431.47</v>
      </c>
      <c r="F5370" s="3">
        <f t="shared" si="166"/>
        <v>1372.5324690000002</v>
      </c>
      <c r="G5370" s="3">
        <f t="shared" si="167"/>
        <v>6804.0024690000009</v>
      </c>
    </row>
    <row r="5371" spans="1:7" x14ac:dyDescent="0.3">
      <c r="A5371" t="s">
        <v>13039</v>
      </c>
      <c r="B5371" t="s">
        <v>10776</v>
      </c>
      <c r="C5371" t="s">
        <v>10777</v>
      </c>
      <c r="D5371" s="1" t="s">
        <v>38</v>
      </c>
      <c r="E5371" s="3">
        <v>842.47</v>
      </c>
      <c r="F5371" s="3">
        <f t="shared" si="166"/>
        <v>212.89216900000002</v>
      </c>
      <c r="G5371" s="3">
        <f t="shared" si="167"/>
        <v>1055.362169</v>
      </c>
    </row>
    <row r="5372" spans="1:7" x14ac:dyDescent="0.3">
      <c r="A5372" t="s">
        <v>13039</v>
      </c>
      <c r="B5372" t="s">
        <v>10778</v>
      </c>
      <c r="C5372" t="s">
        <v>10779</v>
      </c>
      <c r="D5372" s="1" t="s">
        <v>38</v>
      </c>
      <c r="E5372" s="3">
        <v>1261.54</v>
      </c>
      <c r="F5372" s="3">
        <f t="shared" si="166"/>
        <v>318.79115800000005</v>
      </c>
      <c r="G5372" s="3">
        <f t="shared" si="167"/>
        <v>1580.331158</v>
      </c>
    </row>
    <row r="5373" spans="1:7" x14ac:dyDescent="0.3">
      <c r="A5373" t="s">
        <v>13039</v>
      </c>
      <c r="B5373" t="s">
        <v>10780</v>
      </c>
      <c r="C5373" t="s">
        <v>10781</v>
      </c>
      <c r="D5373" s="1" t="s">
        <v>38</v>
      </c>
      <c r="E5373" s="3">
        <v>571.62</v>
      </c>
      <c r="F5373" s="3">
        <f t="shared" si="166"/>
        <v>144.44837400000003</v>
      </c>
      <c r="G5373" s="3">
        <f t="shared" si="167"/>
        <v>716.06837400000006</v>
      </c>
    </row>
    <row r="5374" spans="1:7" x14ac:dyDescent="0.3">
      <c r="A5374" t="s">
        <v>13039</v>
      </c>
      <c r="B5374" t="s">
        <v>10782</v>
      </c>
      <c r="C5374" t="s">
        <v>10783</v>
      </c>
      <c r="D5374" s="1" t="s">
        <v>38</v>
      </c>
      <c r="E5374" s="3">
        <v>365.42</v>
      </c>
      <c r="F5374" s="3">
        <f t="shared" si="166"/>
        <v>92.341634000000013</v>
      </c>
      <c r="G5374" s="3">
        <f t="shared" si="167"/>
        <v>457.76163400000002</v>
      </c>
    </row>
    <row r="5375" spans="1:7" x14ac:dyDescent="0.3">
      <c r="A5375" t="s">
        <v>13039</v>
      </c>
      <c r="B5375" t="s">
        <v>10784</v>
      </c>
      <c r="C5375" t="s">
        <v>10785</v>
      </c>
      <c r="D5375" s="1" t="s">
        <v>38</v>
      </c>
      <c r="E5375" s="3">
        <v>355.56</v>
      </c>
      <c r="F5375" s="3">
        <f t="shared" si="166"/>
        <v>89.850012000000007</v>
      </c>
      <c r="G5375" s="3">
        <f t="shared" si="167"/>
        <v>445.41001199999999</v>
      </c>
    </row>
    <row r="5376" spans="1:7" x14ac:dyDescent="0.3">
      <c r="A5376" t="s">
        <v>13039</v>
      </c>
      <c r="B5376" t="s">
        <v>10786</v>
      </c>
      <c r="C5376" t="s">
        <v>10787</v>
      </c>
      <c r="D5376" s="1" t="s">
        <v>38</v>
      </c>
      <c r="E5376" s="3">
        <v>667.54</v>
      </c>
      <c r="F5376" s="3">
        <f t="shared" si="166"/>
        <v>168.68735800000002</v>
      </c>
      <c r="G5376" s="3">
        <f t="shared" si="167"/>
        <v>836.22735799999998</v>
      </c>
    </row>
    <row r="5377" spans="1:7" x14ac:dyDescent="0.3">
      <c r="A5377" t="s">
        <v>13039</v>
      </c>
      <c r="B5377" t="s">
        <v>10788</v>
      </c>
      <c r="C5377" t="s">
        <v>10789</v>
      </c>
      <c r="D5377" s="1" t="s">
        <v>38</v>
      </c>
      <c r="E5377" s="3">
        <v>1359.63</v>
      </c>
      <c r="F5377" s="3">
        <f t="shared" si="166"/>
        <v>343.57850100000007</v>
      </c>
      <c r="G5377" s="3">
        <f t="shared" si="167"/>
        <v>1703.2085010000001</v>
      </c>
    </row>
    <row r="5378" spans="1:7" x14ac:dyDescent="0.3">
      <c r="A5378" t="s">
        <v>13039</v>
      </c>
      <c r="B5378" t="s">
        <v>10790</v>
      </c>
      <c r="C5378" t="s">
        <v>10791</v>
      </c>
      <c r="D5378" s="1" t="s">
        <v>38</v>
      </c>
      <c r="E5378" s="3">
        <v>1178.69</v>
      </c>
      <c r="F5378" s="3">
        <f t="shared" si="166"/>
        <v>297.85496300000005</v>
      </c>
      <c r="G5378" s="3">
        <f t="shared" si="167"/>
        <v>1476.5449630000001</v>
      </c>
    </row>
    <row r="5379" spans="1:7" x14ac:dyDescent="0.3">
      <c r="A5379" t="s">
        <v>13039</v>
      </c>
      <c r="B5379" t="s">
        <v>10792</v>
      </c>
      <c r="C5379" t="s">
        <v>10793</v>
      </c>
      <c r="D5379" s="1" t="s">
        <v>38</v>
      </c>
      <c r="E5379" s="3">
        <v>2321.27</v>
      </c>
      <c r="F5379" s="3">
        <f t="shared" si="166"/>
        <v>586.5849290000001</v>
      </c>
      <c r="G5379" s="3">
        <f t="shared" si="167"/>
        <v>2907.8549290000001</v>
      </c>
    </row>
    <row r="5380" spans="1:7" x14ac:dyDescent="0.3">
      <c r="A5380" t="s">
        <v>13039</v>
      </c>
      <c r="B5380" t="s">
        <v>10794</v>
      </c>
      <c r="C5380" t="s">
        <v>10795</v>
      </c>
      <c r="D5380" s="1" t="s">
        <v>38</v>
      </c>
      <c r="E5380" s="3">
        <v>1319.92</v>
      </c>
      <c r="F5380" s="3">
        <f t="shared" si="166"/>
        <v>333.54378400000007</v>
      </c>
      <c r="G5380" s="3">
        <f t="shared" si="167"/>
        <v>1653.463784</v>
      </c>
    </row>
    <row r="5381" spans="1:7" x14ac:dyDescent="0.3">
      <c r="A5381" t="s">
        <v>13039</v>
      </c>
      <c r="B5381" t="s">
        <v>10796</v>
      </c>
      <c r="C5381" t="s">
        <v>10797</v>
      </c>
      <c r="D5381" s="1" t="s">
        <v>38</v>
      </c>
      <c r="E5381" s="3">
        <v>2527.2399999999998</v>
      </c>
      <c r="F5381" s="3">
        <f t="shared" si="166"/>
        <v>638.63354800000002</v>
      </c>
      <c r="G5381" s="3">
        <f t="shared" si="167"/>
        <v>3165.8735479999996</v>
      </c>
    </row>
    <row r="5382" spans="1:7" x14ac:dyDescent="0.3">
      <c r="A5382" t="s">
        <v>13039</v>
      </c>
      <c r="B5382" t="s">
        <v>10798</v>
      </c>
      <c r="C5382" t="s">
        <v>10799</v>
      </c>
      <c r="D5382" s="1" t="s">
        <v>38</v>
      </c>
      <c r="E5382" s="3">
        <v>2373.44</v>
      </c>
      <c r="F5382" s="3">
        <f t="shared" si="166"/>
        <v>599.7682880000001</v>
      </c>
      <c r="G5382" s="3">
        <f t="shared" si="167"/>
        <v>2973.2082880000003</v>
      </c>
    </row>
    <row r="5383" spans="1:7" x14ac:dyDescent="0.3">
      <c r="A5383" t="s">
        <v>13039</v>
      </c>
      <c r="B5383" t="s">
        <v>10800</v>
      </c>
      <c r="C5383" t="s">
        <v>10801</v>
      </c>
      <c r="D5383" s="1" t="s">
        <v>38</v>
      </c>
      <c r="E5383" s="3">
        <v>1676.13</v>
      </c>
      <c r="F5383" s="3">
        <f t="shared" ref="F5383:F5446" si="168">+E5383*$F$4</f>
        <v>423.55805100000009</v>
      </c>
      <c r="G5383" s="3">
        <f t="shared" ref="G5383:G5446" si="169">+E5383+F5383</f>
        <v>2099.6880510000001</v>
      </c>
    </row>
    <row r="5384" spans="1:7" x14ac:dyDescent="0.3">
      <c r="A5384" t="s">
        <v>13039</v>
      </c>
      <c r="B5384" t="s">
        <v>10802</v>
      </c>
      <c r="C5384" t="s">
        <v>10803</v>
      </c>
      <c r="D5384" s="1" t="s">
        <v>38</v>
      </c>
      <c r="E5384" s="3">
        <v>5279.93</v>
      </c>
      <c r="F5384" s="3">
        <f t="shared" si="168"/>
        <v>1334.2383110000003</v>
      </c>
      <c r="G5384" s="3">
        <f t="shared" si="169"/>
        <v>6614.1683110000004</v>
      </c>
    </row>
    <row r="5385" spans="1:7" x14ac:dyDescent="0.3">
      <c r="A5385" t="s">
        <v>13039</v>
      </c>
      <c r="B5385" t="s">
        <v>10804</v>
      </c>
      <c r="C5385" t="s">
        <v>10805</v>
      </c>
      <c r="D5385" s="1" t="s">
        <v>38</v>
      </c>
      <c r="E5385" s="3">
        <v>4121.25</v>
      </c>
      <c r="F5385" s="3">
        <f t="shared" si="168"/>
        <v>1041.4398750000003</v>
      </c>
      <c r="G5385" s="3">
        <f t="shared" si="169"/>
        <v>5162.689875</v>
      </c>
    </row>
    <row r="5386" spans="1:7" x14ac:dyDescent="0.3">
      <c r="A5386" t="s">
        <v>13039</v>
      </c>
      <c r="B5386" t="s">
        <v>10806</v>
      </c>
      <c r="C5386" t="s">
        <v>10807</v>
      </c>
      <c r="D5386" s="1" t="s">
        <v>38</v>
      </c>
      <c r="E5386" s="3">
        <v>4561.2700000000004</v>
      </c>
      <c r="F5386" s="3">
        <f t="shared" si="168"/>
        <v>1152.6329290000003</v>
      </c>
      <c r="G5386" s="3">
        <f t="shared" si="169"/>
        <v>5713.9029290000008</v>
      </c>
    </row>
    <row r="5387" spans="1:7" x14ac:dyDescent="0.3">
      <c r="A5387" t="s">
        <v>13039</v>
      </c>
      <c r="B5387" t="s">
        <v>10808</v>
      </c>
      <c r="C5387" t="s">
        <v>10809</v>
      </c>
      <c r="D5387" s="1" t="s">
        <v>38</v>
      </c>
      <c r="E5387" s="3">
        <v>5785.99</v>
      </c>
      <c r="F5387" s="3">
        <f t="shared" si="168"/>
        <v>1462.1196730000001</v>
      </c>
      <c r="G5387" s="3">
        <f t="shared" si="169"/>
        <v>7248.1096729999999</v>
      </c>
    </row>
    <row r="5388" spans="1:7" x14ac:dyDescent="0.3">
      <c r="A5388" t="s">
        <v>13039</v>
      </c>
      <c r="B5388" t="s">
        <v>10810</v>
      </c>
      <c r="C5388" t="s">
        <v>10811</v>
      </c>
      <c r="D5388" s="1" t="s">
        <v>38</v>
      </c>
      <c r="E5388" s="3">
        <v>5366.01</v>
      </c>
      <c r="F5388" s="3">
        <f t="shared" si="168"/>
        <v>1355.9907270000003</v>
      </c>
      <c r="G5388" s="3">
        <f t="shared" si="169"/>
        <v>6722.0007270000006</v>
      </c>
    </row>
    <row r="5389" spans="1:7" x14ac:dyDescent="0.3">
      <c r="A5389" t="s">
        <v>13039</v>
      </c>
      <c r="B5389" t="s">
        <v>10812</v>
      </c>
      <c r="C5389" t="s">
        <v>10813</v>
      </c>
      <c r="D5389" s="1" t="s">
        <v>38</v>
      </c>
      <c r="E5389" s="3">
        <v>5945.14</v>
      </c>
      <c r="F5389" s="3">
        <f t="shared" si="168"/>
        <v>1502.3368780000003</v>
      </c>
      <c r="G5389" s="3">
        <f t="shared" si="169"/>
        <v>7447.4768780000004</v>
      </c>
    </row>
    <row r="5390" spans="1:7" x14ac:dyDescent="0.3">
      <c r="A5390" t="s">
        <v>13039</v>
      </c>
      <c r="B5390" t="s">
        <v>10814</v>
      </c>
      <c r="C5390" t="s">
        <v>10815</v>
      </c>
      <c r="D5390" s="1" t="s">
        <v>38</v>
      </c>
      <c r="E5390" s="3">
        <v>2431.66</v>
      </c>
      <c r="F5390" s="3">
        <f t="shared" si="168"/>
        <v>614.48048200000005</v>
      </c>
      <c r="G5390" s="3">
        <f t="shared" si="169"/>
        <v>3046.1404819999998</v>
      </c>
    </row>
    <row r="5391" spans="1:7" x14ac:dyDescent="0.3">
      <c r="A5391" t="s">
        <v>13039</v>
      </c>
      <c r="B5391" t="s">
        <v>10816</v>
      </c>
      <c r="C5391" t="s">
        <v>10817</v>
      </c>
      <c r="D5391" s="1" t="s">
        <v>38</v>
      </c>
      <c r="E5391" s="3">
        <v>2985.21</v>
      </c>
      <c r="F5391" s="3">
        <f t="shared" si="168"/>
        <v>754.36256700000013</v>
      </c>
      <c r="G5391" s="3">
        <f t="shared" si="169"/>
        <v>3739.5725670000002</v>
      </c>
    </row>
    <row r="5392" spans="1:7" x14ac:dyDescent="0.3">
      <c r="A5392" t="s">
        <v>13039</v>
      </c>
      <c r="B5392" t="s">
        <v>10818</v>
      </c>
      <c r="C5392" t="s">
        <v>10819</v>
      </c>
      <c r="D5392" s="1" t="s">
        <v>38</v>
      </c>
      <c r="E5392" s="3">
        <v>3241.37</v>
      </c>
      <c r="F5392" s="3">
        <f t="shared" si="168"/>
        <v>819.09419900000012</v>
      </c>
      <c r="G5392" s="3">
        <f t="shared" si="169"/>
        <v>4060.464199</v>
      </c>
    </row>
    <row r="5393" spans="1:7" x14ac:dyDescent="0.3">
      <c r="A5393" t="s">
        <v>13039</v>
      </c>
      <c r="B5393" t="s">
        <v>10820</v>
      </c>
      <c r="C5393" t="s">
        <v>10821</v>
      </c>
      <c r="D5393" s="1" t="s">
        <v>38</v>
      </c>
      <c r="E5393" s="3">
        <v>3795.34</v>
      </c>
      <c r="F5393" s="3">
        <f t="shared" si="168"/>
        <v>959.08241800000019</v>
      </c>
      <c r="G5393" s="3">
        <f t="shared" si="169"/>
        <v>4754.4224180000001</v>
      </c>
    </row>
    <row r="5394" spans="1:7" x14ac:dyDescent="0.3">
      <c r="A5394" t="s">
        <v>13039</v>
      </c>
      <c r="B5394" t="s">
        <v>10822</v>
      </c>
      <c r="C5394" t="s">
        <v>10823</v>
      </c>
      <c r="D5394" s="1" t="s">
        <v>38</v>
      </c>
      <c r="E5394" s="3">
        <v>209.55</v>
      </c>
      <c r="F5394" s="3">
        <f t="shared" si="168"/>
        <v>52.953285000000008</v>
      </c>
      <c r="G5394" s="3">
        <f t="shared" si="169"/>
        <v>262.50328500000001</v>
      </c>
    </row>
    <row r="5395" spans="1:7" x14ac:dyDescent="0.3">
      <c r="A5395" t="s">
        <v>13039</v>
      </c>
      <c r="B5395" t="s">
        <v>10824</v>
      </c>
      <c r="C5395" t="s">
        <v>10825</v>
      </c>
      <c r="D5395" s="1" t="s">
        <v>38</v>
      </c>
      <c r="E5395" s="3">
        <v>757.81</v>
      </c>
      <c r="F5395" s="3">
        <f t="shared" si="168"/>
        <v>191.49858700000001</v>
      </c>
      <c r="G5395" s="3">
        <f t="shared" si="169"/>
        <v>949.30858699999999</v>
      </c>
    </row>
    <row r="5396" spans="1:7" x14ac:dyDescent="0.3">
      <c r="A5396" t="s">
        <v>13039</v>
      </c>
      <c r="B5396" t="s">
        <v>10826</v>
      </c>
      <c r="C5396" t="s">
        <v>10827</v>
      </c>
      <c r="D5396" s="1" t="s">
        <v>38</v>
      </c>
      <c r="E5396" s="3">
        <v>353.58</v>
      </c>
      <c r="F5396" s="3">
        <f t="shared" si="168"/>
        <v>89.349666000000013</v>
      </c>
      <c r="G5396" s="3">
        <f t="shared" si="169"/>
        <v>442.929666</v>
      </c>
    </row>
    <row r="5397" spans="1:7" x14ac:dyDescent="0.3">
      <c r="A5397" t="s">
        <v>13039</v>
      </c>
      <c r="B5397" t="s">
        <v>10828</v>
      </c>
      <c r="C5397" t="s">
        <v>10829</v>
      </c>
      <c r="D5397" s="1" t="s">
        <v>38</v>
      </c>
      <c r="E5397" s="3">
        <v>1138.0999999999999</v>
      </c>
      <c r="F5397" s="3">
        <f t="shared" si="168"/>
        <v>287.59787</v>
      </c>
      <c r="G5397" s="3">
        <f t="shared" si="169"/>
        <v>1425.69787</v>
      </c>
    </row>
    <row r="5398" spans="1:7" x14ac:dyDescent="0.3">
      <c r="A5398" t="s">
        <v>13039</v>
      </c>
      <c r="B5398" t="s">
        <v>10830</v>
      </c>
      <c r="C5398" t="s">
        <v>10831</v>
      </c>
      <c r="D5398" s="1" t="s">
        <v>38</v>
      </c>
      <c r="E5398" s="3">
        <v>409.25</v>
      </c>
      <c r="F5398" s="3">
        <f t="shared" si="168"/>
        <v>103.41747500000001</v>
      </c>
      <c r="G5398" s="3">
        <f t="shared" si="169"/>
        <v>512.66747499999997</v>
      </c>
    </row>
    <row r="5399" spans="1:7" x14ac:dyDescent="0.3">
      <c r="A5399" t="s">
        <v>13039</v>
      </c>
      <c r="B5399" t="s">
        <v>10832</v>
      </c>
      <c r="C5399" t="s">
        <v>10833</v>
      </c>
      <c r="D5399" s="1" t="s">
        <v>38</v>
      </c>
      <c r="E5399" s="3">
        <v>1249.57</v>
      </c>
      <c r="F5399" s="3">
        <f t="shared" si="168"/>
        <v>315.76633900000002</v>
      </c>
      <c r="G5399" s="3">
        <f t="shared" si="169"/>
        <v>1565.336339</v>
      </c>
    </row>
    <row r="5400" spans="1:7" x14ac:dyDescent="0.3">
      <c r="A5400" t="s">
        <v>13039</v>
      </c>
      <c r="B5400" t="s">
        <v>10834</v>
      </c>
      <c r="C5400" t="s">
        <v>10835</v>
      </c>
      <c r="D5400" s="1" t="s">
        <v>38</v>
      </c>
      <c r="E5400" s="3">
        <v>1253.42</v>
      </c>
      <c r="F5400" s="3">
        <f t="shared" si="168"/>
        <v>316.73923400000007</v>
      </c>
      <c r="G5400" s="3">
        <f t="shared" si="169"/>
        <v>1570.1592340000002</v>
      </c>
    </row>
    <row r="5401" spans="1:7" x14ac:dyDescent="0.3">
      <c r="A5401" t="s">
        <v>13039</v>
      </c>
      <c r="B5401" t="s">
        <v>10836</v>
      </c>
      <c r="C5401" t="s">
        <v>10837</v>
      </c>
      <c r="D5401" s="1" t="s">
        <v>38</v>
      </c>
      <c r="E5401" s="3">
        <v>702.49</v>
      </c>
      <c r="F5401" s="3">
        <f t="shared" si="168"/>
        <v>177.51922300000004</v>
      </c>
      <c r="G5401" s="3">
        <f t="shared" si="169"/>
        <v>880.00922300000002</v>
      </c>
    </row>
    <row r="5402" spans="1:7" x14ac:dyDescent="0.3">
      <c r="A5402" t="s">
        <v>13039</v>
      </c>
      <c r="B5402" t="s">
        <v>10838</v>
      </c>
      <c r="C5402" t="s">
        <v>10839</v>
      </c>
      <c r="D5402" s="1" t="s">
        <v>38</v>
      </c>
      <c r="E5402" s="3">
        <v>2594.25</v>
      </c>
      <c r="F5402" s="3">
        <f t="shared" si="168"/>
        <v>655.56697500000007</v>
      </c>
      <c r="G5402" s="3">
        <f t="shared" si="169"/>
        <v>3249.8169750000002</v>
      </c>
    </row>
    <row r="5403" spans="1:7" x14ac:dyDescent="0.3">
      <c r="A5403" t="s">
        <v>13039</v>
      </c>
      <c r="B5403" t="s">
        <v>10840</v>
      </c>
      <c r="C5403" t="s">
        <v>10841</v>
      </c>
      <c r="D5403" s="1" t="s">
        <v>38</v>
      </c>
      <c r="E5403" s="3">
        <v>1801.42</v>
      </c>
      <c r="F5403" s="3">
        <f t="shared" si="168"/>
        <v>455.21883400000007</v>
      </c>
      <c r="G5403" s="3">
        <f t="shared" si="169"/>
        <v>2256.6388340000003</v>
      </c>
    </row>
    <row r="5404" spans="1:7" x14ac:dyDescent="0.3">
      <c r="A5404" t="s">
        <v>13039</v>
      </c>
      <c r="B5404" t="s">
        <v>10842</v>
      </c>
      <c r="C5404" t="s">
        <v>10843</v>
      </c>
      <c r="D5404" s="1" t="s">
        <v>38</v>
      </c>
      <c r="E5404" s="3">
        <v>2003.73</v>
      </c>
      <c r="F5404" s="3">
        <f t="shared" si="168"/>
        <v>506.34257100000008</v>
      </c>
      <c r="G5404" s="3">
        <f t="shared" si="169"/>
        <v>2510.0725710000002</v>
      </c>
    </row>
    <row r="5405" spans="1:7" x14ac:dyDescent="0.3">
      <c r="A5405" t="s">
        <v>13039</v>
      </c>
      <c r="B5405" t="s">
        <v>10844</v>
      </c>
      <c r="C5405" t="s">
        <v>10845</v>
      </c>
      <c r="D5405" s="1" t="s">
        <v>38</v>
      </c>
      <c r="E5405" s="3">
        <v>2853.49</v>
      </c>
      <c r="F5405" s="3">
        <f t="shared" si="168"/>
        <v>721.07692300000008</v>
      </c>
      <c r="G5405" s="3">
        <f t="shared" si="169"/>
        <v>3574.5669229999999</v>
      </c>
    </row>
    <row r="5406" spans="1:7" x14ac:dyDescent="0.3">
      <c r="A5406" t="s">
        <v>13039</v>
      </c>
      <c r="B5406" t="s">
        <v>10846</v>
      </c>
      <c r="C5406" t="s">
        <v>10847</v>
      </c>
      <c r="D5406" s="1" t="s">
        <v>38</v>
      </c>
      <c r="E5406" s="3">
        <v>2419.69</v>
      </c>
      <c r="F5406" s="3">
        <f t="shared" si="168"/>
        <v>611.45566300000007</v>
      </c>
      <c r="G5406" s="3">
        <f t="shared" si="169"/>
        <v>3031.1456630000002</v>
      </c>
    </row>
    <row r="5407" spans="1:7" x14ac:dyDescent="0.3">
      <c r="A5407" t="s">
        <v>13039</v>
      </c>
      <c r="B5407" t="s">
        <v>10848</v>
      </c>
      <c r="C5407" t="s">
        <v>10849</v>
      </c>
      <c r="D5407" s="1" t="s">
        <v>38</v>
      </c>
      <c r="E5407" s="3">
        <v>2894.42</v>
      </c>
      <c r="F5407" s="3">
        <f t="shared" si="168"/>
        <v>731.41993400000013</v>
      </c>
      <c r="G5407" s="3">
        <f t="shared" si="169"/>
        <v>3625.8399340000001</v>
      </c>
    </row>
    <row r="5408" spans="1:7" x14ac:dyDescent="0.3">
      <c r="A5408" t="s">
        <v>13039</v>
      </c>
      <c r="B5408" t="s">
        <v>10850</v>
      </c>
      <c r="C5408" t="s">
        <v>10851</v>
      </c>
      <c r="D5408" s="1" t="s">
        <v>38</v>
      </c>
      <c r="E5408" s="3">
        <v>1090.04</v>
      </c>
      <c r="F5408" s="3">
        <f t="shared" si="168"/>
        <v>275.45310800000004</v>
      </c>
      <c r="G5408" s="3">
        <f t="shared" si="169"/>
        <v>1365.4931080000001</v>
      </c>
    </row>
    <row r="5409" spans="1:7" x14ac:dyDescent="0.3">
      <c r="A5409" t="s">
        <v>13039</v>
      </c>
      <c r="B5409" t="s">
        <v>10852</v>
      </c>
      <c r="C5409" t="s">
        <v>10853</v>
      </c>
      <c r="D5409" s="1" t="s">
        <v>38</v>
      </c>
      <c r="E5409" s="3">
        <v>1563.82</v>
      </c>
      <c r="F5409" s="3">
        <f t="shared" si="168"/>
        <v>395.17731400000002</v>
      </c>
      <c r="G5409" s="3">
        <f t="shared" si="169"/>
        <v>1958.997314</v>
      </c>
    </row>
    <row r="5410" spans="1:7" x14ac:dyDescent="0.3">
      <c r="A5410" t="s">
        <v>13039</v>
      </c>
      <c r="B5410" t="s">
        <v>10854</v>
      </c>
      <c r="C5410" t="s">
        <v>10855</v>
      </c>
      <c r="D5410" s="1" t="s">
        <v>38</v>
      </c>
      <c r="E5410" s="3">
        <v>1379.8</v>
      </c>
      <c r="F5410" s="3">
        <f t="shared" si="168"/>
        <v>348.67546000000004</v>
      </c>
      <c r="G5410" s="3">
        <f t="shared" si="169"/>
        <v>1728.4754600000001</v>
      </c>
    </row>
    <row r="5411" spans="1:7" x14ac:dyDescent="0.3">
      <c r="A5411" t="s">
        <v>13039</v>
      </c>
      <c r="B5411" t="s">
        <v>10856</v>
      </c>
      <c r="C5411" t="s">
        <v>10857</v>
      </c>
      <c r="D5411" s="1" t="s">
        <v>38</v>
      </c>
      <c r="E5411" s="3">
        <v>1853.79</v>
      </c>
      <c r="F5411" s="3">
        <f t="shared" si="168"/>
        <v>468.45273300000008</v>
      </c>
      <c r="G5411" s="3">
        <f t="shared" si="169"/>
        <v>2322.242733</v>
      </c>
    </row>
    <row r="5412" spans="1:7" x14ac:dyDescent="0.3">
      <c r="A5412" t="s">
        <v>13039</v>
      </c>
      <c r="B5412" t="s">
        <v>10858</v>
      </c>
      <c r="C5412" t="s">
        <v>10859</v>
      </c>
      <c r="D5412" s="1" t="s">
        <v>38</v>
      </c>
      <c r="E5412" s="3">
        <v>945.07</v>
      </c>
      <c r="F5412" s="3">
        <f t="shared" si="168"/>
        <v>238.81918900000005</v>
      </c>
      <c r="G5412" s="3">
        <f t="shared" si="169"/>
        <v>1183.889189</v>
      </c>
    </row>
    <row r="5413" spans="1:7" x14ac:dyDescent="0.3">
      <c r="A5413" t="s">
        <v>13039</v>
      </c>
      <c r="B5413" t="s">
        <v>10860</v>
      </c>
      <c r="C5413" t="s">
        <v>10861</v>
      </c>
      <c r="D5413" s="1" t="s">
        <v>38</v>
      </c>
      <c r="E5413" s="3">
        <v>613.03</v>
      </c>
      <c r="F5413" s="3">
        <f t="shared" si="168"/>
        <v>154.91268100000002</v>
      </c>
      <c r="G5413" s="3">
        <f t="shared" si="169"/>
        <v>767.94268099999999</v>
      </c>
    </row>
    <row r="5414" spans="1:7" x14ac:dyDescent="0.3">
      <c r="A5414" t="s">
        <v>13039</v>
      </c>
      <c r="B5414" t="s">
        <v>10862</v>
      </c>
      <c r="C5414" t="s">
        <v>10863</v>
      </c>
      <c r="D5414" s="1" t="s">
        <v>195</v>
      </c>
      <c r="E5414" s="3">
        <v>394.71</v>
      </c>
      <c r="F5414" s="3">
        <f t="shared" si="168"/>
        <v>99.743217000000016</v>
      </c>
      <c r="G5414" s="3">
        <f t="shared" si="169"/>
        <v>494.453217</v>
      </c>
    </row>
    <row r="5415" spans="1:7" x14ac:dyDescent="0.3">
      <c r="A5415" t="s">
        <v>13039</v>
      </c>
      <c r="B5415" t="s">
        <v>10864</v>
      </c>
      <c r="C5415" t="s">
        <v>10865</v>
      </c>
      <c r="D5415" s="1" t="s">
        <v>195</v>
      </c>
      <c r="E5415" s="3">
        <v>98.07</v>
      </c>
      <c r="F5415" s="3">
        <f t="shared" si="168"/>
        <v>24.782289000000002</v>
      </c>
      <c r="G5415" s="3">
        <f t="shared" si="169"/>
        <v>122.852289</v>
      </c>
    </row>
    <row r="5416" spans="1:7" x14ac:dyDescent="0.3">
      <c r="A5416" t="s">
        <v>13039</v>
      </c>
      <c r="B5416" t="s">
        <v>10866</v>
      </c>
      <c r="C5416" t="s">
        <v>10867</v>
      </c>
      <c r="D5416" s="1" t="s">
        <v>195</v>
      </c>
      <c r="E5416" s="3">
        <v>220.85</v>
      </c>
      <c r="F5416" s="3">
        <f t="shared" si="168"/>
        <v>55.808795000000003</v>
      </c>
      <c r="G5416" s="3">
        <f t="shared" si="169"/>
        <v>276.658795</v>
      </c>
    </row>
    <row r="5417" spans="1:7" x14ac:dyDescent="0.3">
      <c r="A5417" t="s">
        <v>13039</v>
      </c>
      <c r="B5417" t="s">
        <v>10868</v>
      </c>
      <c r="C5417" t="s">
        <v>10869</v>
      </c>
      <c r="D5417" s="1" t="s">
        <v>38</v>
      </c>
      <c r="E5417" s="3">
        <v>4963.8</v>
      </c>
      <c r="F5417" s="3">
        <f t="shared" si="168"/>
        <v>1254.3522600000001</v>
      </c>
      <c r="G5417" s="3">
        <f t="shared" si="169"/>
        <v>6218.1522600000008</v>
      </c>
    </row>
    <row r="5418" spans="1:7" x14ac:dyDescent="0.3">
      <c r="A5418" t="s">
        <v>13039</v>
      </c>
      <c r="B5418" t="s">
        <v>10870</v>
      </c>
      <c r="C5418" t="s">
        <v>10871</v>
      </c>
      <c r="D5418" s="1" t="s">
        <v>38</v>
      </c>
      <c r="E5418" s="3">
        <v>6510.61</v>
      </c>
      <c r="F5418" s="3">
        <f t="shared" si="168"/>
        <v>1645.2311470000002</v>
      </c>
      <c r="G5418" s="3">
        <f t="shared" si="169"/>
        <v>8155.8411470000001</v>
      </c>
    </row>
    <row r="5419" spans="1:7" x14ac:dyDescent="0.3">
      <c r="A5419" t="s">
        <v>13039</v>
      </c>
      <c r="B5419" t="s">
        <v>10872</v>
      </c>
      <c r="C5419" t="s">
        <v>10873</v>
      </c>
      <c r="D5419" s="1" t="s">
        <v>38</v>
      </c>
      <c r="E5419" s="3">
        <v>9039.8799999999992</v>
      </c>
      <c r="F5419" s="3">
        <f t="shared" si="168"/>
        <v>2284.3776760000001</v>
      </c>
      <c r="G5419" s="3">
        <f t="shared" si="169"/>
        <v>11324.257675999999</v>
      </c>
    </row>
    <row r="5420" spans="1:7" x14ac:dyDescent="0.3">
      <c r="A5420" t="s">
        <v>13039</v>
      </c>
      <c r="B5420" t="s">
        <v>10874</v>
      </c>
      <c r="C5420" t="s">
        <v>10875</v>
      </c>
      <c r="D5420" s="1" t="s">
        <v>38</v>
      </c>
      <c r="E5420" s="3">
        <v>10991.71</v>
      </c>
      <c r="F5420" s="3">
        <f t="shared" si="168"/>
        <v>2777.6051170000001</v>
      </c>
      <c r="G5420" s="3">
        <f t="shared" si="169"/>
        <v>13769.315116999998</v>
      </c>
    </row>
    <row r="5421" spans="1:7" x14ac:dyDescent="0.3">
      <c r="A5421" t="s">
        <v>13039</v>
      </c>
      <c r="B5421" t="s">
        <v>10876</v>
      </c>
      <c r="C5421" t="s">
        <v>10877</v>
      </c>
      <c r="D5421" s="1" t="s">
        <v>38</v>
      </c>
      <c r="E5421" s="3">
        <v>13574.44</v>
      </c>
      <c r="F5421" s="3">
        <f t="shared" si="168"/>
        <v>3430.2609880000005</v>
      </c>
      <c r="G5421" s="3">
        <f t="shared" si="169"/>
        <v>17004.700988000001</v>
      </c>
    </row>
    <row r="5422" spans="1:7" x14ac:dyDescent="0.3">
      <c r="A5422" t="s">
        <v>13039</v>
      </c>
      <c r="B5422" t="s">
        <v>10878</v>
      </c>
      <c r="C5422" t="s">
        <v>10879</v>
      </c>
      <c r="D5422" s="1" t="s">
        <v>38</v>
      </c>
      <c r="E5422" s="3">
        <v>3709.11</v>
      </c>
      <c r="F5422" s="3">
        <f t="shared" si="168"/>
        <v>937.29209700000013</v>
      </c>
      <c r="G5422" s="3">
        <f t="shared" si="169"/>
        <v>4646.4020970000001</v>
      </c>
    </row>
    <row r="5423" spans="1:7" x14ac:dyDescent="0.3">
      <c r="A5423" t="s">
        <v>13039</v>
      </c>
      <c r="B5423" t="s">
        <v>10880</v>
      </c>
      <c r="C5423" t="s">
        <v>10881</v>
      </c>
      <c r="D5423" s="1" t="s">
        <v>38</v>
      </c>
      <c r="E5423" s="3">
        <v>5255.93</v>
      </c>
      <c r="F5423" s="3">
        <f t="shared" si="168"/>
        <v>1328.1735110000002</v>
      </c>
      <c r="G5423" s="3">
        <f t="shared" si="169"/>
        <v>6584.1035110000003</v>
      </c>
    </row>
    <row r="5424" spans="1:7" x14ac:dyDescent="0.3">
      <c r="A5424" t="s">
        <v>13039</v>
      </c>
      <c r="B5424" t="s">
        <v>10882</v>
      </c>
      <c r="C5424" t="s">
        <v>10883</v>
      </c>
      <c r="D5424" s="1" t="s">
        <v>38</v>
      </c>
      <c r="E5424" s="3">
        <v>7785.19</v>
      </c>
      <c r="F5424" s="3">
        <f t="shared" si="168"/>
        <v>1967.3175130000002</v>
      </c>
      <c r="G5424" s="3">
        <f t="shared" si="169"/>
        <v>9752.5075130000005</v>
      </c>
    </row>
    <row r="5425" spans="1:7" x14ac:dyDescent="0.3">
      <c r="A5425" t="s">
        <v>13039</v>
      </c>
      <c r="B5425" t="s">
        <v>10884</v>
      </c>
      <c r="C5425" t="s">
        <v>10885</v>
      </c>
      <c r="D5425" s="1" t="s">
        <v>38</v>
      </c>
      <c r="E5425" s="3">
        <v>9737.02</v>
      </c>
      <c r="F5425" s="3">
        <f t="shared" si="168"/>
        <v>2460.5449540000004</v>
      </c>
      <c r="G5425" s="3">
        <f t="shared" si="169"/>
        <v>12197.564954000001</v>
      </c>
    </row>
    <row r="5426" spans="1:7" x14ac:dyDescent="0.3">
      <c r="A5426" t="s">
        <v>13039</v>
      </c>
      <c r="B5426" t="s">
        <v>10886</v>
      </c>
      <c r="C5426" t="s">
        <v>10887</v>
      </c>
      <c r="D5426" s="1" t="s">
        <v>38</v>
      </c>
      <c r="E5426" s="3">
        <v>12319.75</v>
      </c>
      <c r="F5426" s="3">
        <f t="shared" si="168"/>
        <v>3113.2008250000003</v>
      </c>
      <c r="G5426" s="3">
        <f t="shared" si="169"/>
        <v>15432.950825</v>
      </c>
    </row>
    <row r="5427" spans="1:7" x14ac:dyDescent="0.3">
      <c r="A5427" t="s">
        <v>13039</v>
      </c>
      <c r="B5427" t="s">
        <v>10888</v>
      </c>
      <c r="C5427" t="s">
        <v>10889</v>
      </c>
      <c r="D5427" s="1" t="s">
        <v>38</v>
      </c>
      <c r="E5427" s="3">
        <v>3647.45</v>
      </c>
      <c r="F5427" s="3">
        <f t="shared" si="168"/>
        <v>921.71061500000008</v>
      </c>
      <c r="G5427" s="3">
        <f t="shared" si="169"/>
        <v>4569.1606149999998</v>
      </c>
    </row>
    <row r="5428" spans="1:7" x14ac:dyDescent="0.3">
      <c r="A5428" t="s">
        <v>13039</v>
      </c>
      <c r="B5428" t="s">
        <v>10890</v>
      </c>
      <c r="C5428" t="s">
        <v>10891</v>
      </c>
      <c r="D5428" s="1" t="s">
        <v>38</v>
      </c>
      <c r="E5428" s="3">
        <v>4799.6000000000004</v>
      </c>
      <c r="F5428" s="3">
        <f t="shared" si="168"/>
        <v>1212.8589200000004</v>
      </c>
      <c r="G5428" s="3">
        <f t="shared" si="169"/>
        <v>6012.4589200000009</v>
      </c>
    </row>
    <row r="5429" spans="1:7" x14ac:dyDescent="0.3">
      <c r="A5429" t="s">
        <v>13039</v>
      </c>
      <c r="B5429" t="s">
        <v>10892</v>
      </c>
      <c r="C5429" t="s">
        <v>10893</v>
      </c>
      <c r="D5429" s="1" t="s">
        <v>38</v>
      </c>
      <c r="E5429" s="3">
        <v>5194.2700000000004</v>
      </c>
      <c r="F5429" s="3">
        <f t="shared" si="168"/>
        <v>1312.5920290000004</v>
      </c>
      <c r="G5429" s="3">
        <f t="shared" si="169"/>
        <v>6506.8620290000008</v>
      </c>
    </row>
    <row r="5430" spans="1:7" x14ac:dyDescent="0.3">
      <c r="A5430" t="s">
        <v>13039</v>
      </c>
      <c r="B5430" t="s">
        <v>10894</v>
      </c>
      <c r="C5430" t="s">
        <v>10895</v>
      </c>
      <c r="D5430" s="1" t="s">
        <v>38</v>
      </c>
      <c r="E5430" s="3">
        <v>6346.41</v>
      </c>
      <c r="F5430" s="3">
        <f t="shared" si="168"/>
        <v>1603.7378070000002</v>
      </c>
      <c r="G5430" s="3">
        <f t="shared" si="169"/>
        <v>7950.1478070000003</v>
      </c>
    </row>
    <row r="5431" spans="1:7" x14ac:dyDescent="0.3">
      <c r="A5431" t="s">
        <v>13039</v>
      </c>
      <c r="B5431" t="s">
        <v>10896</v>
      </c>
      <c r="C5431" t="s">
        <v>10897</v>
      </c>
      <c r="D5431" s="1" t="s">
        <v>38</v>
      </c>
      <c r="E5431" s="3">
        <v>7723.54</v>
      </c>
      <c r="F5431" s="3">
        <f t="shared" si="168"/>
        <v>1951.7385580000002</v>
      </c>
      <c r="G5431" s="3">
        <f t="shared" si="169"/>
        <v>9675.278558</v>
      </c>
    </row>
    <row r="5432" spans="1:7" x14ac:dyDescent="0.3">
      <c r="A5432" t="s">
        <v>13039</v>
      </c>
      <c r="B5432" t="s">
        <v>10898</v>
      </c>
      <c r="C5432" t="s">
        <v>10899</v>
      </c>
      <c r="D5432" s="1" t="s">
        <v>38</v>
      </c>
      <c r="E5432" s="3">
        <v>8875.68</v>
      </c>
      <c r="F5432" s="3">
        <f t="shared" si="168"/>
        <v>2242.8843360000005</v>
      </c>
      <c r="G5432" s="3">
        <f t="shared" si="169"/>
        <v>11118.564336000001</v>
      </c>
    </row>
    <row r="5433" spans="1:7" x14ac:dyDescent="0.3">
      <c r="A5433" t="s">
        <v>13039</v>
      </c>
      <c r="B5433" t="s">
        <v>10900</v>
      </c>
      <c r="C5433" t="s">
        <v>10901</v>
      </c>
      <c r="D5433" s="1" t="s">
        <v>38</v>
      </c>
      <c r="E5433" s="3">
        <v>9675.3700000000008</v>
      </c>
      <c r="F5433" s="3">
        <f t="shared" si="168"/>
        <v>2444.9659990000005</v>
      </c>
      <c r="G5433" s="3">
        <f t="shared" si="169"/>
        <v>12120.335999000001</v>
      </c>
    </row>
    <row r="5434" spans="1:7" x14ac:dyDescent="0.3">
      <c r="A5434" t="s">
        <v>13039</v>
      </c>
      <c r="B5434" t="s">
        <v>10902</v>
      </c>
      <c r="C5434" t="s">
        <v>10903</v>
      </c>
      <c r="D5434" s="1" t="s">
        <v>38</v>
      </c>
      <c r="E5434" s="3">
        <v>10827.51</v>
      </c>
      <c r="F5434" s="3">
        <f t="shared" si="168"/>
        <v>2736.1117770000005</v>
      </c>
      <c r="G5434" s="3">
        <f t="shared" si="169"/>
        <v>13563.621777</v>
      </c>
    </row>
    <row r="5435" spans="1:7" x14ac:dyDescent="0.3">
      <c r="A5435" t="s">
        <v>13039</v>
      </c>
      <c r="B5435" t="s">
        <v>10904</v>
      </c>
      <c r="C5435" t="s">
        <v>10905</v>
      </c>
      <c r="D5435" s="1" t="s">
        <v>38</v>
      </c>
      <c r="E5435" s="3">
        <v>12258.09</v>
      </c>
      <c r="F5435" s="3">
        <f t="shared" si="168"/>
        <v>3097.6193430000003</v>
      </c>
      <c r="G5435" s="3">
        <f t="shared" si="169"/>
        <v>15355.709343</v>
      </c>
    </row>
    <row r="5436" spans="1:7" x14ac:dyDescent="0.3">
      <c r="A5436" t="s">
        <v>13039</v>
      </c>
      <c r="B5436" t="s">
        <v>10906</v>
      </c>
      <c r="C5436" t="s">
        <v>10907</v>
      </c>
      <c r="D5436" s="1" t="s">
        <v>38</v>
      </c>
      <c r="E5436" s="3">
        <v>13410.23</v>
      </c>
      <c r="F5436" s="3">
        <f t="shared" si="168"/>
        <v>3388.7651210000004</v>
      </c>
      <c r="G5436" s="3">
        <f t="shared" si="169"/>
        <v>16798.995121</v>
      </c>
    </row>
    <row r="5437" spans="1:7" x14ac:dyDescent="0.3">
      <c r="A5437" t="s">
        <v>13039</v>
      </c>
      <c r="B5437" t="s">
        <v>10908</v>
      </c>
      <c r="C5437" t="s">
        <v>10909</v>
      </c>
      <c r="D5437" s="1" t="s">
        <v>38</v>
      </c>
      <c r="E5437" s="3">
        <v>84.69</v>
      </c>
      <c r="F5437" s="3">
        <f t="shared" si="168"/>
        <v>21.401163000000004</v>
      </c>
      <c r="G5437" s="3">
        <f t="shared" si="169"/>
        <v>106.09116299999999</v>
      </c>
    </row>
    <row r="5438" spans="1:7" x14ac:dyDescent="0.3">
      <c r="A5438" t="s">
        <v>13039</v>
      </c>
      <c r="B5438" t="s">
        <v>10910</v>
      </c>
      <c r="C5438" t="s">
        <v>10911</v>
      </c>
      <c r="D5438" s="1" t="s">
        <v>38</v>
      </c>
      <c r="E5438" s="3">
        <v>612.23</v>
      </c>
      <c r="F5438" s="3">
        <f t="shared" si="168"/>
        <v>154.71052100000003</v>
      </c>
      <c r="G5438" s="3">
        <f t="shared" si="169"/>
        <v>766.94052099999999</v>
      </c>
    </row>
    <row r="5439" spans="1:7" x14ac:dyDescent="0.3">
      <c r="A5439" t="s">
        <v>13039</v>
      </c>
      <c r="B5439" t="s">
        <v>10912</v>
      </c>
      <c r="C5439" t="s">
        <v>10913</v>
      </c>
      <c r="D5439" s="1" t="s">
        <v>38</v>
      </c>
      <c r="E5439" s="3">
        <v>475.98</v>
      </c>
      <c r="F5439" s="3">
        <f t="shared" si="168"/>
        <v>120.28014600000002</v>
      </c>
      <c r="G5439" s="3">
        <f t="shared" si="169"/>
        <v>596.26014600000008</v>
      </c>
    </row>
    <row r="5440" spans="1:7" x14ac:dyDescent="0.3">
      <c r="A5440" t="s">
        <v>13039</v>
      </c>
      <c r="B5440" t="s">
        <v>10914</v>
      </c>
      <c r="C5440" t="s">
        <v>10915</v>
      </c>
      <c r="D5440" s="1" t="s">
        <v>38</v>
      </c>
      <c r="E5440" s="3">
        <v>1761.95</v>
      </c>
      <c r="F5440" s="3">
        <f t="shared" si="168"/>
        <v>445.24476500000009</v>
      </c>
      <c r="G5440" s="3">
        <f t="shared" si="169"/>
        <v>2207.1947650000002</v>
      </c>
    </row>
    <row r="5441" spans="1:7" x14ac:dyDescent="0.3">
      <c r="A5441" t="s">
        <v>13039</v>
      </c>
      <c r="B5441" t="s">
        <v>10916</v>
      </c>
      <c r="C5441" t="s">
        <v>10917</v>
      </c>
      <c r="D5441" s="1" t="s">
        <v>38</v>
      </c>
      <c r="E5441" s="3">
        <v>1103.46</v>
      </c>
      <c r="F5441" s="3">
        <f t="shared" si="168"/>
        <v>278.84434200000004</v>
      </c>
      <c r="G5441" s="3">
        <f t="shared" si="169"/>
        <v>1382.3043420000001</v>
      </c>
    </row>
    <row r="5442" spans="1:7" x14ac:dyDescent="0.3">
      <c r="A5442" t="s">
        <v>13039</v>
      </c>
      <c r="B5442" t="s">
        <v>10918</v>
      </c>
      <c r="C5442" t="s">
        <v>10919</v>
      </c>
      <c r="D5442" s="1" t="s">
        <v>2904</v>
      </c>
      <c r="E5442" s="3">
        <v>12.02</v>
      </c>
      <c r="F5442" s="3">
        <f t="shared" si="168"/>
        <v>3.0374540000000003</v>
      </c>
      <c r="G5442" s="3">
        <f t="shared" si="169"/>
        <v>15.057454</v>
      </c>
    </row>
    <row r="5443" spans="1:7" x14ac:dyDescent="0.3">
      <c r="A5443" t="s">
        <v>13039</v>
      </c>
      <c r="B5443" t="s">
        <v>10920</v>
      </c>
      <c r="C5443" t="s">
        <v>10921</v>
      </c>
      <c r="D5443" s="1" t="s">
        <v>2904</v>
      </c>
      <c r="E5443" s="3">
        <v>11</v>
      </c>
      <c r="F5443" s="3">
        <f t="shared" si="168"/>
        <v>2.7797000000000005</v>
      </c>
      <c r="G5443" s="3">
        <f t="shared" si="169"/>
        <v>13.7797</v>
      </c>
    </row>
    <row r="5444" spans="1:7" x14ac:dyDescent="0.3">
      <c r="A5444" t="s">
        <v>13039</v>
      </c>
      <c r="B5444" t="s">
        <v>10922</v>
      </c>
      <c r="C5444" t="s">
        <v>10923</v>
      </c>
      <c r="D5444" s="1" t="s">
        <v>2904</v>
      </c>
      <c r="E5444" s="3">
        <v>9.14</v>
      </c>
      <c r="F5444" s="3">
        <f t="shared" si="168"/>
        <v>2.3096780000000003</v>
      </c>
      <c r="G5444" s="3">
        <f t="shared" si="169"/>
        <v>11.449678</v>
      </c>
    </row>
    <row r="5445" spans="1:7" x14ac:dyDescent="0.3">
      <c r="A5445" t="s">
        <v>13039</v>
      </c>
      <c r="B5445" t="s">
        <v>10924</v>
      </c>
      <c r="C5445" t="s">
        <v>10925</v>
      </c>
      <c r="D5445" s="1" t="s">
        <v>38</v>
      </c>
      <c r="E5445" s="3">
        <v>353.41</v>
      </c>
      <c r="F5445" s="3">
        <f t="shared" si="168"/>
        <v>89.306707000000017</v>
      </c>
      <c r="G5445" s="3">
        <f t="shared" si="169"/>
        <v>442.71670700000004</v>
      </c>
    </row>
    <row r="5446" spans="1:7" x14ac:dyDescent="0.3">
      <c r="A5446" t="s">
        <v>13039</v>
      </c>
      <c r="B5446" t="s">
        <v>10926</v>
      </c>
      <c r="C5446" t="s">
        <v>10927</v>
      </c>
      <c r="D5446" s="1" t="s">
        <v>38</v>
      </c>
      <c r="E5446" s="3">
        <v>505.42</v>
      </c>
      <c r="F5446" s="3">
        <f t="shared" si="168"/>
        <v>127.71963400000003</v>
      </c>
      <c r="G5446" s="3">
        <f t="shared" si="169"/>
        <v>633.139634</v>
      </c>
    </row>
    <row r="5447" spans="1:7" x14ac:dyDescent="0.3">
      <c r="A5447" t="s">
        <v>13039</v>
      </c>
      <c r="B5447" t="s">
        <v>10928</v>
      </c>
      <c r="C5447" t="s">
        <v>10929</v>
      </c>
      <c r="D5447" s="1" t="s">
        <v>38</v>
      </c>
      <c r="E5447" s="3">
        <v>205.27</v>
      </c>
      <c r="F5447" s="3">
        <f t="shared" ref="F5447:F5510" si="170">+E5447*$F$4</f>
        <v>51.871729000000009</v>
      </c>
      <c r="G5447" s="3">
        <f t="shared" ref="G5447:G5510" si="171">+E5447+F5447</f>
        <v>257.141729</v>
      </c>
    </row>
    <row r="5448" spans="1:7" x14ac:dyDescent="0.3">
      <c r="A5448" t="s">
        <v>13039</v>
      </c>
      <c r="B5448" t="s">
        <v>10930</v>
      </c>
      <c r="C5448" t="s">
        <v>10931</v>
      </c>
      <c r="D5448" s="1" t="s">
        <v>38</v>
      </c>
      <c r="E5448" s="3">
        <v>346.01</v>
      </c>
      <c r="F5448" s="3">
        <f t="shared" si="170"/>
        <v>87.436727000000005</v>
      </c>
      <c r="G5448" s="3">
        <f t="shared" si="171"/>
        <v>433.44672700000001</v>
      </c>
    </row>
    <row r="5449" spans="1:7" x14ac:dyDescent="0.3">
      <c r="A5449" t="s">
        <v>13039</v>
      </c>
      <c r="B5449" t="s">
        <v>10932</v>
      </c>
      <c r="C5449" t="s">
        <v>10933</v>
      </c>
      <c r="D5449" s="1" t="s">
        <v>38</v>
      </c>
      <c r="E5449" s="3">
        <v>425.04</v>
      </c>
      <c r="F5449" s="3">
        <f t="shared" si="170"/>
        <v>107.40760800000002</v>
      </c>
      <c r="G5449" s="3">
        <f t="shared" si="171"/>
        <v>532.44760800000006</v>
      </c>
    </row>
    <row r="5450" spans="1:7" x14ac:dyDescent="0.3">
      <c r="A5450" t="s">
        <v>13039</v>
      </c>
      <c r="B5450" t="s">
        <v>10934</v>
      </c>
      <c r="C5450" t="s">
        <v>10935</v>
      </c>
      <c r="D5450" s="1" t="s">
        <v>38</v>
      </c>
      <c r="E5450" s="3">
        <v>762.52</v>
      </c>
      <c r="F5450" s="3">
        <f t="shared" si="170"/>
        <v>192.68880400000003</v>
      </c>
      <c r="G5450" s="3">
        <f t="shared" si="171"/>
        <v>955.20880399999999</v>
      </c>
    </row>
    <row r="5451" spans="1:7" x14ac:dyDescent="0.3">
      <c r="A5451" t="s">
        <v>13039</v>
      </c>
      <c r="B5451" t="s">
        <v>10936</v>
      </c>
      <c r="C5451" t="s">
        <v>10937</v>
      </c>
      <c r="D5451" s="1" t="s">
        <v>38</v>
      </c>
      <c r="E5451" s="3">
        <v>696.98</v>
      </c>
      <c r="F5451" s="3">
        <f t="shared" si="170"/>
        <v>176.12684600000003</v>
      </c>
      <c r="G5451" s="3">
        <f t="shared" si="171"/>
        <v>873.10684600000002</v>
      </c>
    </row>
    <row r="5452" spans="1:7" x14ac:dyDescent="0.3">
      <c r="A5452" t="s">
        <v>13039</v>
      </c>
      <c r="B5452" t="s">
        <v>10938</v>
      </c>
      <c r="C5452" t="s">
        <v>10939</v>
      </c>
      <c r="D5452" s="1" t="s">
        <v>38</v>
      </c>
      <c r="E5452" s="3">
        <v>213.93</v>
      </c>
      <c r="F5452" s="3">
        <f t="shared" si="170"/>
        <v>54.060111000000006</v>
      </c>
      <c r="G5452" s="3">
        <f t="shared" si="171"/>
        <v>267.99011100000001</v>
      </c>
    </row>
    <row r="5453" spans="1:7" x14ac:dyDescent="0.3">
      <c r="A5453" t="s">
        <v>13039</v>
      </c>
      <c r="B5453" t="s">
        <v>10940</v>
      </c>
      <c r="C5453" t="s">
        <v>10941</v>
      </c>
      <c r="D5453" s="1" t="s">
        <v>38</v>
      </c>
      <c r="E5453" s="3">
        <v>321.64999999999998</v>
      </c>
      <c r="F5453" s="3">
        <f t="shared" si="170"/>
        <v>81.280955000000006</v>
      </c>
      <c r="G5453" s="3">
        <f t="shared" si="171"/>
        <v>402.93095499999998</v>
      </c>
    </row>
    <row r="5454" spans="1:7" x14ac:dyDescent="0.3">
      <c r="A5454" t="s">
        <v>13039</v>
      </c>
      <c r="B5454" t="s">
        <v>10942</v>
      </c>
      <c r="C5454" t="s">
        <v>10943</v>
      </c>
      <c r="D5454" s="1" t="s">
        <v>38</v>
      </c>
      <c r="E5454" s="3">
        <v>277.45</v>
      </c>
      <c r="F5454" s="3">
        <f t="shared" si="170"/>
        <v>70.111615</v>
      </c>
      <c r="G5454" s="3">
        <f t="shared" si="171"/>
        <v>347.56161499999996</v>
      </c>
    </row>
    <row r="5455" spans="1:7" x14ac:dyDescent="0.3">
      <c r="A5455" t="s">
        <v>13039</v>
      </c>
      <c r="B5455" t="s">
        <v>10944</v>
      </c>
      <c r="C5455" t="s">
        <v>10945</v>
      </c>
      <c r="D5455" s="1" t="s">
        <v>38</v>
      </c>
      <c r="E5455" s="3">
        <v>196.28</v>
      </c>
      <c r="F5455" s="3">
        <f t="shared" si="170"/>
        <v>49.599956000000006</v>
      </c>
      <c r="G5455" s="3">
        <f t="shared" si="171"/>
        <v>245.87995599999999</v>
      </c>
    </row>
    <row r="5456" spans="1:7" x14ac:dyDescent="0.3">
      <c r="A5456" t="s">
        <v>13039</v>
      </c>
      <c r="B5456" t="s">
        <v>10946</v>
      </c>
      <c r="C5456" t="s">
        <v>10947</v>
      </c>
      <c r="D5456" s="1" t="s">
        <v>38</v>
      </c>
      <c r="E5456" s="3">
        <v>170.37</v>
      </c>
      <c r="F5456" s="3">
        <f t="shared" si="170"/>
        <v>43.052499000000005</v>
      </c>
      <c r="G5456" s="3">
        <f t="shared" si="171"/>
        <v>213.42249900000002</v>
      </c>
    </row>
    <row r="5457" spans="1:7" x14ac:dyDescent="0.3">
      <c r="A5457" t="s">
        <v>13039</v>
      </c>
      <c r="B5457" t="s">
        <v>10948</v>
      </c>
      <c r="C5457" t="s">
        <v>10949</v>
      </c>
      <c r="D5457" s="1" t="s">
        <v>38</v>
      </c>
      <c r="E5457" s="3">
        <v>1827.62</v>
      </c>
      <c r="F5457" s="3">
        <f t="shared" si="170"/>
        <v>461.83957400000003</v>
      </c>
      <c r="G5457" s="3">
        <f t="shared" si="171"/>
        <v>2289.459574</v>
      </c>
    </row>
    <row r="5458" spans="1:7" x14ac:dyDescent="0.3">
      <c r="A5458" t="s">
        <v>13039</v>
      </c>
      <c r="B5458" t="s">
        <v>10950</v>
      </c>
      <c r="C5458" t="s">
        <v>10951</v>
      </c>
      <c r="D5458" s="1" t="s">
        <v>38</v>
      </c>
      <c r="E5458" s="3">
        <v>1335.86</v>
      </c>
      <c r="F5458" s="3">
        <f t="shared" si="170"/>
        <v>337.571822</v>
      </c>
      <c r="G5458" s="3">
        <f t="shared" si="171"/>
        <v>1673.431822</v>
      </c>
    </row>
    <row r="5459" spans="1:7" x14ac:dyDescent="0.3">
      <c r="A5459" t="s">
        <v>13039</v>
      </c>
      <c r="B5459" t="s">
        <v>10952</v>
      </c>
      <c r="C5459" t="s">
        <v>10953</v>
      </c>
      <c r="D5459" s="1" t="s">
        <v>38</v>
      </c>
      <c r="E5459" s="3">
        <v>120.9</v>
      </c>
      <c r="F5459" s="3">
        <f t="shared" si="170"/>
        <v>30.551430000000007</v>
      </c>
      <c r="G5459" s="3">
        <f t="shared" si="171"/>
        <v>151.45143000000002</v>
      </c>
    </row>
    <row r="5460" spans="1:7" x14ac:dyDescent="0.3">
      <c r="A5460" t="s">
        <v>13039</v>
      </c>
      <c r="B5460" t="s">
        <v>10954</v>
      </c>
      <c r="C5460" t="s">
        <v>10955</v>
      </c>
      <c r="D5460" s="1" t="s">
        <v>38</v>
      </c>
      <c r="E5460" s="3">
        <v>1224.47</v>
      </c>
      <c r="F5460" s="3">
        <f t="shared" si="170"/>
        <v>309.42356900000004</v>
      </c>
      <c r="G5460" s="3">
        <f t="shared" si="171"/>
        <v>1533.8935690000001</v>
      </c>
    </row>
    <row r="5461" spans="1:7" x14ac:dyDescent="0.3">
      <c r="A5461" t="s">
        <v>13039</v>
      </c>
      <c r="B5461" t="s">
        <v>10956</v>
      </c>
      <c r="C5461" t="s">
        <v>10957</v>
      </c>
      <c r="D5461" s="1" t="s">
        <v>38</v>
      </c>
      <c r="E5461" s="3">
        <v>550.30999999999995</v>
      </c>
      <c r="F5461" s="3">
        <f t="shared" si="170"/>
        <v>139.06333700000002</v>
      </c>
      <c r="G5461" s="3">
        <f t="shared" si="171"/>
        <v>689.37333699999999</v>
      </c>
    </row>
    <row r="5462" spans="1:7" x14ac:dyDescent="0.3">
      <c r="A5462" t="s">
        <v>13039</v>
      </c>
      <c r="B5462" t="s">
        <v>10958</v>
      </c>
      <c r="C5462" t="s">
        <v>10959</v>
      </c>
      <c r="D5462" s="1" t="s">
        <v>38</v>
      </c>
      <c r="E5462" s="3">
        <v>1954.74</v>
      </c>
      <c r="F5462" s="3">
        <f t="shared" si="170"/>
        <v>493.96279800000008</v>
      </c>
      <c r="G5462" s="3">
        <f t="shared" si="171"/>
        <v>2448.7027980000003</v>
      </c>
    </row>
    <row r="5463" spans="1:7" x14ac:dyDescent="0.3">
      <c r="A5463" t="s">
        <v>13039</v>
      </c>
      <c r="B5463" t="s">
        <v>10960</v>
      </c>
      <c r="C5463" t="s">
        <v>10961</v>
      </c>
      <c r="D5463" s="1" t="s">
        <v>427</v>
      </c>
      <c r="E5463" s="3">
        <v>38.880000000000003</v>
      </c>
      <c r="F5463" s="3">
        <f t="shared" si="170"/>
        <v>9.8249760000000013</v>
      </c>
      <c r="G5463" s="3">
        <f t="shared" si="171"/>
        <v>48.704976000000002</v>
      </c>
    </row>
    <row r="5464" spans="1:7" x14ac:dyDescent="0.3">
      <c r="A5464" t="s">
        <v>13039</v>
      </c>
      <c r="B5464" t="s">
        <v>10962</v>
      </c>
      <c r="C5464" t="s">
        <v>10963</v>
      </c>
      <c r="D5464" s="1" t="s">
        <v>427</v>
      </c>
      <c r="E5464" s="3">
        <v>214.87</v>
      </c>
      <c r="F5464" s="3">
        <f t="shared" si="170"/>
        <v>54.297649000000007</v>
      </c>
      <c r="G5464" s="3">
        <f t="shared" si="171"/>
        <v>269.16764899999998</v>
      </c>
    </row>
    <row r="5465" spans="1:7" x14ac:dyDescent="0.3">
      <c r="A5465" t="s">
        <v>13039</v>
      </c>
      <c r="B5465" t="s">
        <v>10964</v>
      </c>
      <c r="C5465" t="s">
        <v>10965</v>
      </c>
      <c r="D5465" s="1" t="s">
        <v>427</v>
      </c>
      <c r="E5465" s="3">
        <v>228.46</v>
      </c>
      <c r="F5465" s="3">
        <f t="shared" si="170"/>
        <v>57.731842000000007</v>
      </c>
      <c r="G5465" s="3">
        <f t="shared" si="171"/>
        <v>286.19184200000001</v>
      </c>
    </row>
    <row r="5466" spans="1:7" x14ac:dyDescent="0.3">
      <c r="A5466" t="s">
        <v>13039</v>
      </c>
      <c r="B5466" t="s">
        <v>10966</v>
      </c>
      <c r="C5466" t="s">
        <v>10967</v>
      </c>
      <c r="D5466" s="1" t="s">
        <v>427</v>
      </c>
      <c r="E5466" s="3">
        <v>255.47</v>
      </c>
      <c r="F5466" s="3">
        <f t="shared" si="170"/>
        <v>64.557269000000005</v>
      </c>
      <c r="G5466" s="3">
        <f t="shared" si="171"/>
        <v>320.02726899999999</v>
      </c>
    </row>
    <row r="5467" spans="1:7" x14ac:dyDescent="0.3">
      <c r="A5467" t="s">
        <v>13039</v>
      </c>
      <c r="B5467" t="s">
        <v>10968</v>
      </c>
      <c r="C5467" t="s">
        <v>10969</v>
      </c>
      <c r="D5467" s="1" t="s">
        <v>427</v>
      </c>
      <c r="E5467" s="3">
        <v>336.67</v>
      </c>
      <c r="F5467" s="3">
        <f t="shared" si="170"/>
        <v>85.076509000000016</v>
      </c>
      <c r="G5467" s="3">
        <f t="shared" si="171"/>
        <v>421.74650900000006</v>
      </c>
    </row>
    <row r="5468" spans="1:7" x14ac:dyDescent="0.3">
      <c r="A5468" t="s">
        <v>13039</v>
      </c>
      <c r="B5468" t="s">
        <v>10970</v>
      </c>
      <c r="C5468" t="s">
        <v>10971</v>
      </c>
      <c r="D5468" s="1" t="s">
        <v>427</v>
      </c>
      <c r="E5468" s="3">
        <v>66.06</v>
      </c>
      <c r="F5468" s="3">
        <f t="shared" si="170"/>
        <v>16.693362000000004</v>
      </c>
      <c r="G5468" s="3">
        <f t="shared" si="171"/>
        <v>82.75336200000001</v>
      </c>
    </row>
    <row r="5469" spans="1:7" x14ac:dyDescent="0.3">
      <c r="A5469" t="s">
        <v>13039</v>
      </c>
      <c r="B5469" t="s">
        <v>10972</v>
      </c>
      <c r="C5469" t="s">
        <v>10973</v>
      </c>
      <c r="D5469" s="1" t="s">
        <v>427</v>
      </c>
      <c r="E5469" s="3">
        <v>79.48</v>
      </c>
      <c r="F5469" s="3">
        <f t="shared" si="170"/>
        <v>20.084596000000005</v>
      </c>
      <c r="G5469" s="3">
        <f t="shared" si="171"/>
        <v>99.564596000000009</v>
      </c>
    </row>
    <row r="5470" spans="1:7" x14ac:dyDescent="0.3">
      <c r="A5470" t="s">
        <v>13039</v>
      </c>
      <c r="B5470" t="s">
        <v>10974</v>
      </c>
      <c r="C5470" t="s">
        <v>10975</v>
      </c>
      <c r="D5470" s="1" t="s">
        <v>427</v>
      </c>
      <c r="E5470" s="3">
        <v>93.07</v>
      </c>
      <c r="F5470" s="3">
        <f t="shared" si="170"/>
        <v>23.518789000000002</v>
      </c>
      <c r="G5470" s="3">
        <f t="shared" si="171"/>
        <v>116.58878899999999</v>
      </c>
    </row>
    <row r="5471" spans="1:7" x14ac:dyDescent="0.3">
      <c r="A5471" t="s">
        <v>13039</v>
      </c>
      <c r="B5471" t="s">
        <v>10976</v>
      </c>
      <c r="C5471" t="s">
        <v>10977</v>
      </c>
      <c r="D5471" s="1" t="s">
        <v>427</v>
      </c>
      <c r="E5471" s="3">
        <v>120.08</v>
      </c>
      <c r="F5471" s="3">
        <f t="shared" si="170"/>
        <v>30.344216000000003</v>
      </c>
      <c r="G5471" s="3">
        <f t="shared" si="171"/>
        <v>150.424216</v>
      </c>
    </row>
    <row r="5472" spans="1:7" x14ac:dyDescent="0.3">
      <c r="A5472" t="s">
        <v>13039</v>
      </c>
      <c r="B5472" t="s">
        <v>10978</v>
      </c>
      <c r="C5472" t="s">
        <v>10979</v>
      </c>
      <c r="D5472" s="1" t="s">
        <v>427</v>
      </c>
      <c r="E5472" s="3">
        <v>147.26</v>
      </c>
      <c r="F5472" s="3">
        <f t="shared" si="170"/>
        <v>37.212602000000004</v>
      </c>
      <c r="G5472" s="3">
        <f t="shared" si="171"/>
        <v>184.47260199999999</v>
      </c>
    </row>
    <row r="5473" spans="1:7" x14ac:dyDescent="0.3">
      <c r="A5473" t="s">
        <v>13039</v>
      </c>
      <c r="B5473" t="s">
        <v>10980</v>
      </c>
      <c r="C5473" t="s">
        <v>10981</v>
      </c>
      <c r="D5473" s="1" t="s">
        <v>427</v>
      </c>
      <c r="E5473" s="3">
        <v>174.27</v>
      </c>
      <c r="F5473" s="3">
        <f t="shared" si="170"/>
        <v>44.038029000000009</v>
      </c>
      <c r="G5473" s="3">
        <f t="shared" si="171"/>
        <v>218.30802900000003</v>
      </c>
    </row>
    <row r="5474" spans="1:7" x14ac:dyDescent="0.3">
      <c r="A5474" t="s">
        <v>13039</v>
      </c>
      <c r="B5474" t="s">
        <v>10982</v>
      </c>
      <c r="C5474" t="s">
        <v>10983</v>
      </c>
      <c r="D5474" s="1" t="s">
        <v>2904</v>
      </c>
      <c r="E5474" s="3">
        <v>32.49</v>
      </c>
      <c r="F5474" s="3">
        <f t="shared" si="170"/>
        <v>8.2102230000000009</v>
      </c>
      <c r="G5474" s="3">
        <f t="shared" si="171"/>
        <v>40.700223000000001</v>
      </c>
    </row>
    <row r="5475" spans="1:7" x14ac:dyDescent="0.3">
      <c r="A5475" t="s">
        <v>13039</v>
      </c>
      <c r="B5475" t="s">
        <v>10984</v>
      </c>
      <c r="C5475" t="s">
        <v>10985</v>
      </c>
      <c r="D5475" s="1" t="s">
        <v>427</v>
      </c>
      <c r="E5475" s="3">
        <v>1478.23</v>
      </c>
      <c r="F5475" s="3">
        <f t="shared" si="170"/>
        <v>373.54872100000006</v>
      </c>
      <c r="G5475" s="3">
        <f t="shared" si="171"/>
        <v>1851.7787210000001</v>
      </c>
    </row>
    <row r="5476" spans="1:7" x14ac:dyDescent="0.3">
      <c r="A5476" t="s">
        <v>13039</v>
      </c>
      <c r="B5476" t="s">
        <v>10986</v>
      </c>
      <c r="C5476" t="s">
        <v>10987</v>
      </c>
      <c r="D5476" s="1" t="s">
        <v>427</v>
      </c>
      <c r="E5476" s="3">
        <v>1306.28</v>
      </c>
      <c r="F5476" s="3">
        <f t="shared" si="170"/>
        <v>330.09695600000003</v>
      </c>
      <c r="G5476" s="3">
        <f t="shared" si="171"/>
        <v>1636.3769560000001</v>
      </c>
    </row>
    <row r="5477" spans="1:7" x14ac:dyDescent="0.3">
      <c r="A5477" t="s">
        <v>13039</v>
      </c>
      <c r="B5477" t="s">
        <v>10988</v>
      </c>
      <c r="C5477" t="s">
        <v>10989</v>
      </c>
      <c r="D5477" s="1" t="s">
        <v>427</v>
      </c>
      <c r="E5477" s="3">
        <v>1657.79</v>
      </c>
      <c r="F5477" s="3">
        <f t="shared" si="170"/>
        <v>418.92353300000008</v>
      </c>
      <c r="G5477" s="3">
        <f t="shared" si="171"/>
        <v>2076.7135330000001</v>
      </c>
    </row>
    <row r="5478" spans="1:7" x14ac:dyDescent="0.3">
      <c r="A5478" t="s">
        <v>13039</v>
      </c>
      <c r="B5478" t="s">
        <v>10990</v>
      </c>
      <c r="C5478" t="s">
        <v>10991</v>
      </c>
      <c r="D5478" s="1" t="s">
        <v>427</v>
      </c>
      <c r="E5478" s="3">
        <v>1485.84</v>
      </c>
      <c r="F5478" s="3">
        <f t="shared" si="170"/>
        <v>375.47176800000005</v>
      </c>
      <c r="G5478" s="3">
        <f t="shared" si="171"/>
        <v>1861.311768</v>
      </c>
    </row>
    <row r="5479" spans="1:7" x14ac:dyDescent="0.3">
      <c r="A5479" t="s">
        <v>13039</v>
      </c>
      <c r="B5479" t="s">
        <v>10992</v>
      </c>
      <c r="C5479" t="s">
        <v>10993</v>
      </c>
      <c r="D5479" s="1" t="s">
        <v>2904</v>
      </c>
      <c r="E5479" s="3">
        <v>9.61</v>
      </c>
      <c r="F5479" s="3">
        <f t="shared" si="170"/>
        <v>2.4284470000000002</v>
      </c>
      <c r="G5479" s="3">
        <f t="shared" si="171"/>
        <v>12.038447</v>
      </c>
    </row>
    <row r="5480" spans="1:7" x14ac:dyDescent="0.3">
      <c r="A5480" t="s">
        <v>13039</v>
      </c>
      <c r="B5480" t="s">
        <v>10994</v>
      </c>
      <c r="C5480" t="s">
        <v>10995</v>
      </c>
      <c r="D5480" s="1" t="s">
        <v>2904</v>
      </c>
      <c r="E5480" s="3">
        <v>128.82</v>
      </c>
      <c r="F5480" s="3">
        <f t="shared" si="170"/>
        <v>32.552814000000005</v>
      </c>
      <c r="G5480" s="3">
        <f t="shared" si="171"/>
        <v>161.37281400000001</v>
      </c>
    </row>
    <row r="5481" spans="1:7" x14ac:dyDescent="0.3">
      <c r="A5481" t="s">
        <v>13039</v>
      </c>
      <c r="B5481" t="s">
        <v>10996</v>
      </c>
      <c r="C5481" t="s">
        <v>10997</v>
      </c>
      <c r="D5481" s="1" t="s">
        <v>2904</v>
      </c>
      <c r="E5481" s="3">
        <v>354.05</v>
      </c>
      <c r="F5481" s="3">
        <f t="shared" si="170"/>
        <v>89.468435000000014</v>
      </c>
      <c r="G5481" s="3">
        <f t="shared" si="171"/>
        <v>443.51843500000001</v>
      </c>
    </row>
    <row r="5482" spans="1:7" x14ac:dyDescent="0.3">
      <c r="A5482" t="s">
        <v>13039</v>
      </c>
      <c r="B5482" t="s">
        <v>10998</v>
      </c>
      <c r="C5482" t="s">
        <v>10999</v>
      </c>
      <c r="D5482" s="1" t="s">
        <v>2904</v>
      </c>
      <c r="E5482" s="3">
        <v>329.97</v>
      </c>
      <c r="F5482" s="3">
        <f t="shared" si="170"/>
        <v>83.383419000000018</v>
      </c>
      <c r="G5482" s="3">
        <f t="shared" si="171"/>
        <v>413.35341900000003</v>
      </c>
    </row>
    <row r="5483" spans="1:7" x14ac:dyDescent="0.3">
      <c r="A5483" t="s">
        <v>13039</v>
      </c>
      <c r="B5483" t="s">
        <v>11000</v>
      </c>
      <c r="C5483" t="s">
        <v>11001</v>
      </c>
      <c r="D5483" s="1" t="s">
        <v>2904</v>
      </c>
      <c r="E5483" s="3">
        <v>379.19</v>
      </c>
      <c r="F5483" s="3">
        <f t="shared" si="170"/>
        <v>95.821313000000018</v>
      </c>
      <c r="G5483" s="3">
        <f t="shared" si="171"/>
        <v>475.01131300000003</v>
      </c>
    </row>
    <row r="5484" spans="1:7" x14ac:dyDescent="0.3">
      <c r="A5484" t="s">
        <v>13039</v>
      </c>
      <c r="B5484" t="s">
        <v>11002</v>
      </c>
      <c r="C5484" t="s">
        <v>11003</v>
      </c>
      <c r="D5484" s="1" t="s">
        <v>2904</v>
      </c>
      <c r="E5484" s="3">
        <v>355.11</v>
      </c>
      <c r="F5484" s="3">
        <f t="shared" si="170"/>
        <v>89.736297000000022</v>
      </c>
      <c r="G5484" s="3">
        <f t="shared" si="171"/>
        <v>444.84629700000005</v>
      </c>
    </row>
    <row r="5485" spans="1:7" x14ac:dyDescent="0.3">
      <c r="A5485" t="s">
        <v>13039</v>
      </c>
      <c r="B5485" t="s">
        <v>11004</v>
      </c>
      <c r="C5485" t="s">
        <v>11005</v>
      </c>
      <c r="D5485" s="1" t="s">
        <v>2904</v>
      </c>
      <c r="E5485" s="3">
        <v>339.1</v>
      </c>
      <c r="F5485" s="3">
        <f t="shared" si="170"/>
        <v>85.690570000000022</v>
      </c>
      <c r="G5485" s="3">
        <f t="shared" si="171"/>
        <v>424.79057000000006</v>
      </c>
    </row>
    <row r="5486" spans="1:7" x14ac:dyDescent="0.3">
      <c r="A5486" t="s">
        <v>13039</v>
      </c>
      <c r="B5486" t="s">
        <v>11006</v>
      </c>
      <c r="C5486" t="s">
        <v>11007</v>
      </c>
      <c r="D5486" s="1" t="s">
        <v>2904</v>
      </c>
      <c r="E5486" s="3">
        <v>315.02</v>
      </c>
      <c r="F5486" s="3">
        <f t="shared" si="170"/>
        <v>79.605554000000012</v>
      </c>
      <c r="G5486" s="3">
        <f t="shared" si="171"/>
        <v>394.62555399999997</v>
      </c>
    </row>
    <row r="5487" spans="1:7" x14ac:dyDescent="0.3">
      <c r="A5487" t="s">
        <v>13039</v>
      </c>
      <c r="B5487" t="s">
        <v>11008</v>
      </c>
      <c r="C5487" t="s">
        <v>11009</v>
      </c>
      <c r="D5487" s="1" t="s">
        <v>2904</v>
      </c>
      <c r="E5487" s="3">
        <v>364.23</v>
      </c>
      <c r="F5487" s="3">
        <f t="shared" si="170"/>
        <v>92.040921000000012</v>
      </c>
      <c r="G5487" s="3">
        <f t="shared" si="171"/>
        <v>456.27092100000004</v>
      </c>
    </row>
    <row r="5488" spans="1:7" x14ac:dyDescent="0.3">
      <c r="A5488" t="s">
        <v>13039</v>
      </c>
      <c r="B5488" t="s">
        <v>11010</v>
      </c>
      <c r="C5488" t="s">
        <v>11011</v>
      </c>
      <c r="D5488" s="1" t="s">
        <v>2904</v>
      </c>
      <c r="E5488" s="3">
        <v>340.16</v>
      </c>
      <c r="F5488" s="3">
        <f t="shared" si="170"/>
        <v>85.958432000000016</v>
      </c>
      <c r="G5488" s="3">
        <f t="shared" si="171"/>
        <v>426.11843200000004</v>
      </c>
    </row>
    <row r="5489" spans="1:7" x14ac:dyDescent="0.3">
      <c r="A5489" t="s">
        <v>13039</v>
      </c>
      <c r="B5489" t="s">
        <v>11012</v>
      </c>
      <c r="C5489" t="s">
        <v>11013</v>
      </c>
      <c r="D5489" s="1" t="s">
        <v>2904</v>
      </c>
      <c r="E5489" s="3">
        <v>343.08</v>
      </c>
      <c r="F5489" s="3">
        <f t="shared" si="170"/>
        <v>86.69631600000001</v>
      </c>
      <c r="G5489" s="3">
        <f t="shared" si="171"/>
        <v>429.77631600000001</v>
      </c>
    </row>
    <row r="5490" spans="1:7" x14ac:dyDescent="0.3">
      <c r="A5490" t="s">
        <v>13039</v>
      </c>
      <c r="B5490" t="s">
        <v>11014</v>
      </c>
      <c r="C5490" t="s">
        <v>11015</v>
      </c>
      <c r="D5490" s="1" t="s">
        <v>2904</v>
      </c>
      <c r="E5490" s="3">
        <v>319.01</v>
      </c>
      <c r="F5490" s="3">
        <f t="shared" si="170"/>
        <v>80.613827000000015</v>
      </c>
      <c r="G5490" s="3">
        <f t="shared" si="171"/>
        <v>399.62382700000001</v>
      </c>
    </row>
    <row r="5491" spans="1:7" x14ac:dyDescent="0.3">
      <c r="A5491" t="s">
        <v>13039</v>
      </c>
      <c r="B5491" t="s">
        <v>11016</v>
      </c>
      <c r="C5491" t="s">
        <v>11017</v>
      </c>
      <c r="D5491" s="1" t="s">
        <v>2904</v>
      </c>
      <c r="E5491" s="3">
        <v>368.22</v>
      </c>
      <c r="F5491" s="3">
        <f t="shared" si="170"/>
        <v>93.049194000000014</v>
      </c>
      <c r="G5491" s="3">
        <f t="shared" si="171"/>
        <v>461.26919400000003</v>
      </c>
    </row>
    <row r="5492" spans="1:7" x14ac:dyDescent="0.3">
      <c r="A5492" t="s">
        <v>13039</v>
      </c>
      <c r="B5492" t="s">
        <v>11018</v>
      </c>
      <c r="C5492" t="s">
        <v>11019</v>
      </c>
      <c r="D5492" s="1" t="s">
        <v>2904</v>
      </c>
      <c r="E5492" s="3">
        <v>344.15</v>
      </c>
      <c r="F5492" s="3">
        <f t="shared" si="170"/>
        <v>86.966705000000005</v>
      </c>
      <c r="G5492" s="3">
        <f t="shared" si="171"/>
        <v>431.11670499999997</v>
      </c>
    </row>
    <row r="5493" spans="1:7" x14ac:dyDescent="0.3">
      <c r="A5493" t="s">
        <v>13039</v>
      </c>
      <c r="B5493" t="s">
        <v>11020</v>
      </c>
      <c r="C5493" t="s">
        <v>11021</v>
      </c>
      <c r="D5493" s="1" t="s">
        <v>2904</v>
      </c>
      <c r="E5493" s="3">
        <v>340.99</v>
      </c>
      <c r="F5493" s="3">
        <f t="shared" si="170"/>
        <v>86.16817300000001</v>
      </c>
      <c r="G5493" s="3">
        <f t="shared" si="171"/>
        <v>427.15817300000003</v>
      </c>
    </row>
    <row r="5494" spans="1:7" x14ac:dyDescent="0.3">
      <c r="A5494" t="s">
        <v>13039</v>
      </c>
      <c r="B5494" t="s">
        <v>11022</v>
      </c>
      <c r="C5494" t="s">
        <v>11023</v>
      </c>
      <c r="D5494" s="1" t="s">
        <v>2904</v>
      </c>
      <c r="E5494" s="3">
        <v>316.92</v>
      </c>
      <c r="F5494" s="3">
        <f t="shared" si="170"/>
        <v>80.085684000000015</v>
      </c>
      <c r="G5494" s="3">
        <f t="shared" si="171"/>
        <v>397.00568400000003</v>
      </c>
    </row>
    <row r="5495" spans="1:7" x14ac:dyDescent="0.3">
      <c r="A5495" t="s">
        <v>13039</v>
      </c>
      <c r="B5495" t="s">
        <v>11024</v>
      </c>
      <c r="C5495" t="s">
        <v>11025</v>
      </c>
      <c r="D5495" s="1" t="s">
        <v>2904</v>
      </c>
      <c r="E5495" s="3">
        <v>366.13</v>
      </c>
      <c r="F5495" s="3">
        <f t="shared" si="170"/>
        <v>92.521051000000014</v>
      </c>
      <c r="G5495" s="3">
        <f t="shared" si="171"/>
        <v>458.651051</v>
      </c>
    </row>
    <row r="5496" spans="1:7" x14ac:dyDescent="0.3">
      <c r="A5496" t="s">
        <v>13039</v>
      </c>
      <c r="B5496" t="s">
        <v>11026</v>
      </c>
      <c r="C5496" t="s">
        <v>11027</v>
      </c>
      <c r="D5496" s="1" t="s">
        <v>2904</v>
      </c>
      <c r="E5496" s="3">
        <v>342.06</v>
      </c>
      <c r="F5496" s="3">
        <f t="shared" si="170"/>
        <v>86.438562000000019</v>
      </c>
      <c r="G5496" s="3">
        <f t="shared" si="171"/>
        <v>428.49856199999999</v>
      </c>
    </row>
    <row r="5497" spans="1:7" x14ac:dyDescent="0.3">
      <c r="A5497" t="s">
        <v>13039</v>
      </c>
      <c r="B5497" t="s">
        <v>11028</v>
      </c>
      <c r="C5497" t="s">
        <v>11029</v>
      </c>
      <c r="D5497" s="1" t="s">
        <v>2904</v>
      </c>
      <c r="E5497" s="3">
        <v>339.83</v>
      </c>
      <c r="F5497" s="3">
        <f t="shared" si="170"/>
        <v>85.87504100000001</v>
      </c>
      <c r="G5497" s="3">
        <f t="shared" si="171"/>
        <v>425.70504099999999</v>
      </c>
    </row>
    <row r="5498" spans="1:7" x14ac:dyDescent="0.3">
      <c r="A5498" t="s">
        <v>13039</v>
      </c>
      <c r="B5498" t="s">
        <v>11030</v>
      </c>
      <c r="C5498" t="s">
        <v>11031</v>
      </c>
      <c r="D5498" s="1" t="s">
        <v>2904</v>
      </c>
      <c r="E5498" s="3">
        <v>315.76</v>
      </c>
      <c r="F5498" s="3">
        <f t="shared" si="170"/>
        <v>79.792552000000015</v>
      </c>
      <c r="G5498" s="3">
        <f t="shared" si="171"/>
        <v>395.55255199999999</v>
      </c>
    </row>
    <row r="5499" spans="1:7" x14ac:dyDescent="0.3">
      <c r="A5499" t="s">
        <v>13039</v>
      </c>
      <c r="B5499" t="s">
        <v>11032</v>
      </c>
      <c r="C5499" t="s">
        <v>11033</v>
      </c>
      <c r="D5499" s="1" t="s">
        <v>2904</v>
      </c>
      <c r="E5499" s="3">
        <v>364.97</v>
      </c>
      <c r="F5499" s="3">
        <f t="shared" si="170"/>
        <v>92.227919000000014</v>
      </c>
      <c r="G5499" s="3">
        <f t="shared" si="171"/>
        <v>457.19791900000007</v>
      </c>
    </row>
    <row r="5500" spans="1:7" x14ac:dyDescent="0.3">
      <c r="A5500" t="s">
        <v>13039</v>
      </c>
      <c r="B5500" t="s">
        <v>11034</v>
      </c>
      <c r="C5500" t="s">
        <v>11035</v>
      </c>
      <c r="D5500" s="1" t="s">
        <v>2904</v>
      </c>
      <c r="E5500" s="3">
        <v>340.9</v>
      </c>
      <c r="F5500" s="3">
        <f t="shared" si="170"/>
        <v>86.145430000000005</v>
      </c>
      <c r="G5500" s="3">
        <f t="shared" si="171"/>
        <v>427.04543000000001</v>
      </c>
    </row>
    <row r="5501" spans="1:7" x14ac:dyDescent="0.3">
      <c r="A5501" t="s">
        <v>13039</v>
      </c>
      <c r="B5501" t="s">
        <v>11036</v>
      </c>
      <c r="C5501" t="s">
        <v>11037</v>
      </c>
      <c r="D5501" s="1" t="s">
        <v>38</v>
      </c>
      <c r="E5501" s="3">
        <v>9.1199999999999992</v>
      </c>
      <c r="F5501" s="3">
        <f t="shared" si="170"/>
        <v>2.304624</v>
      </c>
      <c r="G5501" s="3">
        <f t="shared" si="171"/>
        <v>11.424624</v>
      </c>
    </row>
    <row r="5502" spans="1:7" x14ac:dyDescent="0.3">
      <c r="A5502" t="s">
        <v>13039</v>
      </c>
      <c r="B5502" t="s">
        <v>11038</v>
      </c>
      <c r="C5502" t="s">
        <v>11039</v>
      </c>
      <c r="D5502" s="1" t="s">
        <v>2904</v>
      </c>
      <c r="E5502" s="3">
        <v>16.07</v>
      </c>
      <c r="F5502" s="3">
        <f t="shared" si="170"/>
        <v>4.0608890000000004</v>
      </c>
      <c r="G5502" s="3">
        <f t="shared" si="171"/>
        <v>20.130889</v>
      </c>
    </row>
    <row r="5503" spans="1:7" x14ac:dyDescent="0.3">
      <c r="A5503" t="s">
        <v>13039</v>
      </c>
      <c r="B5503" t="s">
        <v>11040</v>
      </c>
      <c r="C5503" t="s">
        <v>11041</v>
      </c>
      <c r="D5503" s="1" t="s">
        <v>427</v>
      </c>
      <c r="E5503" s="3">
        <v>173.52</v>
      </c>
      <c r="F5503" s="3">
        <f t="shared" si="170"/>
        <v>43.848504000000005</v>
      </c>
      <c r="G5503" s="3">
        <f t="shared" si="171"/>
        <v>217.36850400000003</v>
      </c>
    </row>
    <row r="5504" spans="1:7" x14ac:dyDescent="0.3">
      <c r="A5504" t="s">
        <v>13039</v>
      </c>
      <c r="B5504" t="s">
        <v>11042</v>
      </c>
      <c r="C5504" t="s">
        <v>11043</v>
      </c>
      <c r="D5504" s="1" t="s">
        <v>427</v>
      </c>
      <c r="E5504" s="3">
        <v>17.52</v>
      </c>
      <c r="F5504" s="3">
        <f t="shared" si="170"/>
        <v>4.4273040000000004</v>
      </c>
      <c r="G5504" s="3">
        <f t="shared" si="171"/>
        <v>21.947303999999999</v>
      </c>
    </row>
    <row r="5505" spans="1:7" x14ac:dyDescent="0.3">
      <c r="A5505" t="s">
        <v>13039</v>
      </c>
      <c r="B5505" t="s">
        <v>11044</v>
      </c>
      <c r="C5505" t="s">
        <v>11045</v>
      </c>
      <c r="D5505" s="1" t="s">
        <v>427</v>
      </c>
      <c r="E5505" s="3">
        <v>6.55</v>
      </c>
      <c r="F5505" s="3">
        <f t="shared" si="170"/>
        <v>1.6551850000000001</v>
      </c>
      <c r="G5505" s="3">
        <f t="shared" si="171"/>
        <v>8.2051850000000002</v>
      </c>
    </row>
    <row r="5506" spans="1:7" x14ac:dyDescent="0.3">
      <c r="A5506" t="s">
        <v>13039</v>
      </c>
      <c r="B5506" t="s">
        <v>11046</v>
      </c>
      <c r="C5506" t="s">
        <v>11047</v>
      </c>
      <c r="D5506" s="1" t="s">
        <v>427</v>
      </c>
      <c r="E5506" s="3">
        <v>5.67</v>
      </c>
      <c r="F5506" s="3">
        <f t="shared" si="170"/>
        <v>1.4328090000000002</v>
      </c>
      <c r="G5506" s="3">
        <f t="shared" si="171"/>
        <v>7.1028090000000006</v>
      </c>
    </row>
    <row r="5507" spans="1:7" x14ac:dyDescent="0.3">
      <c r="A5507" t="s">
        <v>13039</v>
      </c>
      <c r="B5507" t="s">
        <v>11048</v>
      </c>
      <c r="C5507" t="s">
        <v>11049</v>
      </c>
      <c r="D5507" s="1" t="s">
        <v>427</v>
      </c>
      <c r="E5507" s="3">
        <v>42.49</v>
      </c>
      <c r="F5507" s="3">
        <f t="shared" si="170"/>
        <v>10.737223000000002</v>
      </c>
      <c r="G5507" s="3">
        <f t="shared" si="171"/>
        <v>53.227223000000002</v>
      </c>
    </row>
    <row r="5508" spans="1:7" x14ac:dyDescent="0.3">
      <c r="A5508" t="s">
        <v>13039</v>
      </c>
      <c r="B5508" t="s">
        <v>11050</v>
      </c>
      <c r="C5508" t="s">
        <v>11051</v>
      </c>
      <c r="D5508" s="1" t="s">
        <v>427</v>
      </c>
      <c r="E5508" s="3">
        <v>21.97</v>
      </c>
      <c r="F5508" s="3">
        <f t="shared" si="170"/>
        <v>5.5518190000000001</v>
      </c>
      <c r="G5508" s="3">
        <f t="shared" si="171"/>
        <v>27.521819000000001</v>
      </c>
    </row>
    <row r="5509" spans="1:7" x14ac:dyDescent="0.3">
      <c r="A5509" t="s">
        <v>13039</v>
      </c>
      <c r="B5509" t="s">
        <v>11052</v>
      </c>
      <c r="C5509" t="s">
        <v>11053</v>
      </c>
      <c r="D5509" s="1" t="s">
        <v>2904</v>
      </c>
      <c r="E5509" s="3">
        <v>0.7</v>
      </c>
      <c r="F5509" s="3">
        <f t="shared" si="170"/>
        <v>0.17689000000000002</v>
      </c>
      <c r="G5509" s="3">
        <f t="shared" si="171"/>
        <v>0.87688999999999995</v>
      </c>
    </row>
    <row r="5510" spans="1:7" x14ac:dyDescent="0.3">
      <c r="A5510" t="s">
        <v>13039</v>
      </c>
      <c r="B5510" t="s">
        <v>11054</v>
      </c>
      <c r="C5510" t="s">
        <v>11055</v>
      </c>
      <c r="D5510" s="1" t="s">
        <v>427</v>
      </c>
      <c r="E5510" s="3">
        <v>169.67</v>
      </c>
      <c r="F5510" s="3">
        <f t="shared" si="170"/>
        <v>42.875609000000004</v>
      </c>
      <c r="G5510" s="3">
        <f t="shared" si="171"/>
        <v>212.54560899999998</v>
      </c>
    </row>
    <row r="5511" spans="1:7" x14ac:dyDescent="0.3">
      <c r="A5511" t="s">
        <v>13039</v>
      </c>
      <c r="B5511" t="s">
        <v>11056</v>
      </c>
      <c r="C5511" t="s">
        <v>11057</v>
      </c>
      <c r="D5511" s="1" t="s">
        <v>427</v>
      </c>
      <c r="E5511" s="3">
        <v>50.46</v>
      </c>
      <c r="F5511" s="3">
        <f t="shared" ref="F5511:F5574" si="172">+E5511*$F$4</f>
        <v>12.751242000000001</v>
      </c>
      <c r="G5511" s="3">
        <f t="shared" ref="G5511:G5574" si="173">+E5511+F5511</f>
        <v>63.211241999999999</v>
      </c>
    </row>
    <row r="5512" spans="1:7" x14ac:dyDescent="0.3">
      <c r="A5512" t="s">
        <v>13039</v>
      </c>
      <c r="B5512" t="s">
        <v>11058</v>
      </c>
      <c r="C5512" t="s">
        <v>11059</v>
      </c>
      <c r="D5512" s="1" t="s">
        <v>427</v>
      </c>
      <c r="E5512" s="3">
        <v>377.28</v>
      </c>
      <c r="F5512" s="3">
        <f t="shared" si="172"/>
        <v>95.338656</v>
      </c>
      <c r="G5512" s="3">
        <f t="shared" si="173"/>
        <v>472.61865599999999</v>
      </c>
    </row>
    <row r="5513" spans="1:7" x14ac:dyDescent="0.3">
      <c r="A5513" t="s">
        <v>13039</v>
      </c>
      <c r="B5513" t="s">
        <v>11060</v>
      </c>
      <c r="C5513" t="s">
        <v>11061</v>
      </c>
      <c r="D5513" s="1" t="s">
        <v>38</v>
      </c>
      <c r="E5513" s="3">
        <v>52.01</v>
      </c>
      <c r="F5513" s="3">
        <f t="shared" si="172"/>
        <v>13.142927000000002</v>
      </c>
      <c r="G5513" s="3">
        <f t="shared" si="173"/>
        <v>65.152927000000005</v>
      </c>
    </row>
    <row r="5514" spans="1:7" x14ac:dyDescent="0.3">
      <c r="A5514" t="s">
        <v>13039</v>
      </c>
      <c r="B5514" t="s">
        <v>11062</v>
      </c>
      <c r="C5514" t="s">
        <v>11063</v>
      </c>
      <c r="D5514" s="1" t="s">
        <v>38</v>
      </c>
      <c r="E5514" s="3">
        <v>130.03</v>
      </c>
      <c r="F5514" s="3">
        <f t="shared" si="172"/>
        <v>32.858581000000008</v>
      </c>
      <c r="G5514" s="3">
        <f t="shared" si="173"/>
        <v>162.88858100000002</v>
      </c>
    </row>
    <row r="5515" spans="1:7" x14ac:dyDescent="0.3">
      <c r="A5515" t="s">
        <v>13039</v>
      </c>
      <c r="B5515" t="s">
        <v>11064</v>
      </c>
      <c r="C5515" t="s">
        <v>11065</v>
      </c>
      <c r="D5515" s="1" t="s">
        <v>427</v>
      </c>
      <c r="E5515" s="3">
        <v>211.48</v>
      </c>
      <c r="F5515" s="3">
        <f t="shared" si="172"/>
        <v>53.440996000000005</v>
      </c>
      <c r="G5515" s="3">
        <f t="shared" si="173"/>
        <v>264.920996</v>
      </c>
    </row>
    <row r="5516" spans="1:7" x14ac:dyDescent="0.3">
      <c r="A5516" t="s">
        <v>13039</v>
      </c>
      <c r="B5516" t="s">
        <v>11066</v>
      </c>
      <c r="C5516" t="s">
        <v>11067</v>
      </c>
      <c r="D5516" s="1" t="s">
        <v>427</v>
      </c>
      <c r="E5516" s="3">
        <v>23.86</v>
      </c>
      <c r="F5516" s="3">
        <f t="shared" si="172"/>
        <v>6.0294220000000003</v>
      </c>
      <c r="G5516" s="3">
        <f t="shared" si="173"/>
        <v>29.889422</v>
      </c>
    </row>
    <row r="5517" spans="1:7" x14ac:dyDescent="0.3">
      <c r="A5517" t="s">
        <v>13039</v>
      </c>
      <c r="B5517" t="s">
        <v>11068</v>
      </c>
      <c r="C5517" t="s">
        <v>11069</v>
      </c>
      <c r="D5517" s="1" t="s">
        <v>427</v>
      </c>
      <c r="E5517" s="3">
        <v>30.1</v>
      </c>
      <c r="F5517" s="3">
        <f t="shared" si="172"/>
        <v>7.6062700000000012</v>
      </c>
      <c r="G5517" s="3">
        <f t="shared" si="173"/>
        <v>37.706270000000004</v>
      </c>
    </row>
    <row r="5518" spans="1:7" x14ac:dyDescent="0.3">
      <c r="A5518" t="s">
        <v>13039</v>
      </c>
      <c r="B5518" t="s">
        <v>11070</v>
      </c>
      <c r="C5518" t="s">
        <v>11071</v>
      </c>
      <c r="D5518" s="1" t="s">
        <v>427</v>
      </c>
      <c r="E5518" s="3">
        <v>55.14</v>
      </c>
      <c r="F5518" s="3">
        <f t="shared" si="172"/>
        <v>13.933878000000002</v>
      </c>
      <c r="G5518" s="3">
        <f t="shared" si="173"/>
        <v>69.073878000000008</v>
      </c>
    </row>
    <row r="5519" spans="1:7" x14ac:dyDescent="0.3">
      <c r="A5519" t="s">
        <v>13039</v>
      </c>
      <c r="B5519" t="s">
        <v>11072</v>
      </c>
      <c r="C5519" t="s">
        <v>11073</v>
      </c>
      <c r="D5519" s="1" t="s">
        <v>427</v>
      </c>
      <c r="E5519" s="3">
        <v>102.64</v>
      </c>
      <c r="F5519" s="3">
        <f t="shared" si="172"/>
        <v>25.937128000000005</v>
      </c>
      <c r="G5519" s="3">
        <f t="shared" si="173"/>
        <v>128.57712800000002</v>
      </c>
    </row>
    <row r="5520" spans="1:7" x14ac:dyDescent="0.3">
      <c r="A5520" t="s">
        <v>13039</v>
      </c>
      <c r="B5520" t="s">
        <v>11074</v>
      </c>
      <c r="C5520" t="s">
        <v>11075</v>
      </c>
      <c r="D5520" s="1" t="s">
        <v>427</v>
      </c>
      <c r="E5520" s="3">
        <v>38.869999999999997</v>
      </c>
      <c r="F5520" s="3">
        <f t="shared" si="172"/>
        <v>9.8224490000000007</v>
      </c>
      <c r="G5520" s="3">
        <f t="shared" si="173"/>
        <v>48.692448999999996</v>
      </c>
    </row>
    <row r="5521" spans="1:7" x14ac:dyDescent="0.3">
      <c r="A5521" t="s">
        <v>13039</v>
      </c>
      <c r="B5521" t="s">
        <v>11076</v>
      </c>
      <c r="C5521" t="s">
        <v>11077</v>
      </c>
      <c r="D5521" s="1" t="s">
        <v>427</v>
      </c>
      <c r="E5521" s="3">
        <v>27.37</v>
      </c>
      <c r="F5521" s="3">
        <f t="shared" si="172"/>
        <v>6.9163990000000011</v>
      </c>
      <c r="G5521" s="3">
        <f t="shared" si="173"/>
        <v>34.286399000000003</v>
      </c>
    </row>
    <row r="5522" spans="1:7" x14ac:dyDescent="0.3">
      <c r="A5522" t="s">
        <v>13039</v>
      </c>
      <c r="B5522" t="s">
        <v>11078</v>
      </c>
      <c r="C5522" t="s">
        <v>11079</v>
      </c>
      <c r="D5522" s="1" t="s">
        <v>427</v>
      </c>
      <c r="E5522" s="3">
        <v>117.02</v>
      </c>
      <c r="F5522" s="3">
        <f t="shared" si="172"/>
        <v>29.570954000000004</v>
      </c>
      <c r="G5522" s="3">
        <f t="shared" si="173"/>
        <v>146.59095400000001</v>
      </c>
    </row>
    <row r="5523" spans="1:7" x14ac:dyDescent="0.3">
      <c r="A5523" t="s">
        <v>13039</v>
      </c>
      <c r="B5523" t="s">
        <v>11080</v>
      </c>
      <c r="C5523" t="s">
        <v>11081</v>
      </c>
      <c r="D5523" s="1" t="s">
        <v>427</v>
      </c>
      <c r="E5523" s="3">
        <v>14.28</v>
      </c>
      <c r="F5523" s="3">
        <f t="shared" si="172"/>
        <v>3.6085560000000005</v>
      </c>
      <c r="G5523" s="3">
        <f t="shared" si="173"/>
        <v>17.888556000000001</v>
      </c>
    </row>
    <row r="5524" spans="1:7" x14ac:dyDescent="0.3">
      <c r="A5524" t="s">
        <v>13039</v>
      </c>
      <c r="B5524" t="s">
        <v>11082</v>
      </c>
      <c r="C5524" t="s">
        <v>11083</v>
      </c>
      <c r="D5524" s="1" t="s">
        <v>427</v>
      </c>
      <c r="E5524" s="3">
        <v>17.89</v>
      </c>
      <c r="F5524" s="3">
        <f t="shared" si="172"/>
        <v>4.5208030000000008</v>
      </c>
      <c r="G5524" s="3">
        <f t="shared" si="173"/>
        <v>22.410803000000001</v>
      </c>
    </row>
    <row r="5525" spans="1:7" x14ac:dyDescent="0.3">
      <c r="A5525" t="s">
        <v>13039</v>
      </c>
      <c r="B5525" t="s">
        <v>11084</v>
      </c>
      <c r="C5525" t="s">
        <v>11085</v>
      </c>
      <c r="D5525" s="1" t="s">
        <v>427</v>
      </c>
      <c r="E5525" s="3">
        <v>32.200000000000003</v>
      </c>
      <c r="F5525" s="3">
        <f t="shared" si="172"/>
        <v>8.1369400000000027</v>
      </c>
      <c r="G5525" s="3">
        <f t="shared" si="173"/>
        <v>40.336940000000006</v>
      </c>
    </row>
    <row r="5526" spans="1:7" x14ac:dyDescent="0.3">
      <c r="A5526" t="s">
        <v>13039</v>
      </c>
      <c r="B5526" t="s">
        <v>11086</v>
      </c>
      <c r="C5526" t="s">
        <v>11087</v>
      </c>
      <c r="D5526" s="1" t="s">
        <v>427</v>
      </c>
      <c r="E5526" s="3">
        <v>59.05</v>
      </c>
      <c r="F5526" s="3">
        <f t="shared" si="172"/>
        <v>14.921935000000001</v>
      </c>
      <c r="G5526" s="3">
        <f t="shared" si="173"/>
        <v>73.971935000000002</v>
      </c>
    </row>
    <row r="5527" spans="1:7" x14ac:dyDescent="0.3">
      <c r="A5527" t="s">
        <v>13039</v>
      </c>
      <c r="B5527" t="s">
        <v>11088</v>
      </c>
      <c r="C5527" t="s">
        <v>11089</v>
      </c>
      <c r="D5527" s="1" t="s">
        <v>427</v>
      </c>
      <c r="E5527" s="3">
        <v>6.97</v>
      </c>
      <c r="F5527" s="3">
        <f t="shared" si="172"/>
        <v>1.7613190000000001</v>
      </c>
      <c r="G5527" s="3">
        <f t="shared" si="173"/>
        <v>8.7313189999999992</v>
      </c>
    </row>
    <row r="5528" spans="1:7" x14ac:dyDescent="0.3">
      <c r="A5528" t="s">
        <v>13039</v>
      </c>
      <c r="B5528" t="s">
        <v>11090</v>
      </c>
      <c r="C5528" t="s">
        <v>11091</v>
      </c>
      <c r="D5528" s="1" t="s">
        <v>427</v>
      </c>
      <c r="E5528" s="3">
        <v>13.78</v>
      </c>
      <c r="F5528" s="3">
        <f t="shared" si="172"/>
        <v>3.4822060000000001</v>
      </c>
      <c r="G5528" s="3">
        <f t="shared" si="173"/>
        <v>17.262205999999999</v>
      </c>
    </row>
    <row r="5529" spans="1:7" x14ac:dyDescent="0.3">
      <c r="A5529" t="s">
        <v>13039</v>
      </c>
      <c r="B5529" t="s">
        <v>11092</v>
      </c>
      <c r="C5529" t="s">
        <v>11093</v>
      </c>
      <c r="D5529" s="1" t="s">
        <v>427</v>
      </c>
      <c r="E5529" s="3">
        <v>8.52</v>
      </c>
      <c r="F5529" s="3">
        <f t="shared" si="172"/>
        <v>2.1530040000000001</v>
      </c>
      <c r="G5529" s="3">
        <f t="shared" si="173"/>
        <v>10.673003999999999</v>
      </c>
    </row>
    <row r="5530" spans="1:7" x14ac:dyDescent="0.3">
      <c r="A5530" t="s">
        <v>13039</v>
      </c>
      <c r="B5530" t="s">
        <v>11094</v>
      </c>
      <c r="C5530" t="s">
        <v>11095</v>
      </c>
      <c r="D5530" s="1" t="s">
        <v>427</v>
      </c>
      <c r="E5530" s="3">
        <v>12.45</v>
      </c>
      <c r="F5530" s="3">
        <f t="shared" si="172"/>
        <v>3.1461150000000004</v>
      </c>
      <c r="G5530" s="3">
        <f t="shared" si="173"/>
        <v>15.596114999999999</v>
      </c>
    </row>
    <row r="5531" spans="1:7" x14ac:dyDescent="0.3">
      <c r="A5531" t="s">
        <v>13039</v>
      </c>
      <c r="B5531" t="s">
        <v>11096</v>
      </c>
      <c r="C5531" t="s">
        <v>11097</v>
      </c>
      <c r="D5531" s="1" t="s">
        <v>427</v>
      </c>
      <c r="E5531" s="3">
        <v>7.18</v>
      </c>
      <c r="F5531" s="3">
        <f t="shared" si="172"/>
        <v>1.8143860000000003</v>
      </c>
      <c r="G5531" s="3">
        <f t="shared" si="173"/>
        <v>8.9943860000000004</v>
      </c>
    </row>
    <row r="5532" spans="1:7" x14ac:dyDescent="0.3">
      <c r="A5532" t="s">
        <v>13039</v>
      </c>
      <c r="B5532" t="s">
        <v>11098</v>
      </c>
      <c r="C5532" t="s">
        <v>11099</v>
      </c>
      <c r="D5532" s="1" t="s">
        <v>427</v>
      </c>
      <c r="E5532" s="3">
        <v>12.45</v>
      </c>
      <c r="F5532" s="3">
        <f t="shared" si="172"/>
        <v>3.1461150000000004</v>
      </c>
      <c r="G5532" s="3">
        <f t="shared" si="173"/>
        <v>15.596114999999999</v>
      </c>
    </row>
    <row r="5533" spans="1:7" x14ac:dyDescent="0.3">
      <c r="A5533" t="s">
        <v>13039</v>
      </c>
      <c r="B5533" t="s">
        <v>11100</v>
      </c>
      <c r="C5533" t="s">
        <v>11101</v>
      </c>
      <c r="D5533" s="1" t="s">
        <v>427</v>
      </c>
      <c r="E5533" s="3">
        <v>7.62</v>
      </c>
      <c r="F5533" s="3">
        <f t="shared" si="172"/>
        <v>1.9255740000000003</v>
      </c>
      <c r="G5533" s="3">
        <f t="shared" si="173"/>
        <v>9.5455740000000002</v>
      </c>
    </row>
    <row r="5534" spans="1:7" x14ac:dyDescent="0.3">
      <c r="A5534" t="s">
        <v>13039</v>
      </c>
      <c r="B5534" t="s">
        <v>11102</v>
      </c>
      <c r="C5534" t="s">
        <v>11103</v>
      </c>
      <c r="D5534" s="1" t="s">
        <v>427</v>
      </c>
      <c r="E5534" s="3">
        <v>14.06</v>
      </c>
      <c r="F5534" s="3">
        <f t="shared" si="172"/>
        <v>3.5529620000000008</v>
      </c>
      <c r="G5534" s="3">
        <f t="shared" si="173"/>
        <v>17.612962000000003</v>
      </c>
    </row>
    <row r="5535" spans="1:7" x14ac:dyDescent="0.3">
      <c r="A5535" t="s">
        <v>13039</v>
      </c>
      <c r="B5535" t="s">
        <v>11104</v>
      </c>
      <c r="C5535" t="s">
        <v>11105</v>
      </c>
      <c r="D5535" s="1" t="s">
        <v>427</v>
      </c>
      <c r="E5535" s="3">
        <v>9.24</v>
      </c>
      <c r="F5535" s="3">
        <f t="shared" si="172"/>
        <v>2.3349480000000002</v>
      </c>
      <c r="G5535" s="3">
        <f t="shared" si="173"/>
        <v>11.574948000000001</v>
      </c>
    </row>
    <row r="5536" spans="1:7" x14ac:dyDescent="0.3">
      <c r="A5536" t="s">
        <v>13039</v>
      </c>
      <c r="B5536" t="s">
        <v>11106</v>
      </c>
      <c r="C5536" t="s">
        <v>11107</v>
      </c>
      <c r="D5536" s="1" t="s">
        <v>427</v>
      </c>
      <c r="E5536" s="3">
        <v>12.64</v>
      </c>
      <c r="F5536" s="3">
        <f t="shared" si="172"/>
        <v>3.1941280000000005</v>
      </c>
      <c r="G5536" s="3">
        <f t="shared" si="173"/>
        <v>15.834128000000002</v>
      </c>
    </row>
    <row r="5537" spans="1:7" x14ac:dyDescent="0.3">
      <c r="A5537" t="s">
        <v>13039</v>
      </c>
      <c r="B5537" t="s">
        <v>11108</v>
      </c>
      <c r="C5537" t="s">
        <v>11109</v>
      </c>
      <c r="D5537" s="1" t="s">
        <v>427</v>
      </c>
      <c r="E5537" s="3">
        <v>7.77</v>
      </c>
      <c r="F5537" s="3">
        <f t="shared" si="172"/>
        <v>1.9634790000000002</v>
      </c>
      <c r="G5537" s="3">
        <f t="shared" si="173"/>
        <v>9.7334789999999991</v>
      </c>
    </row>
    <row r="5538" spans="1:7" x14ac:dyDescent="0.3">
      <c r="A5538" t="s">
        <v>13039</v>
      </c>
      <c r="B5538" t="s">
        <v>11110</v>
      </c>
      <c r="C5538" t="s">
        <v>11111</v>
      </c>
      <c r="D5538" s="1" t="s">
        <v>427</v>
      </c>
      <c r="E5538" s="3">
        <v>12.64</v>
      </c>
      <c r="F5538" s="3">
        <f t="shared" si="172"/>
        <v>3.1941280000000005</v>
      </c>
      <c r="G5538" s="3">
        <f t="shared" si="173"/>
        <v>15.834128000000002</v>
      </c>
    </row>
    <row r="5539" spans="1:7" x14ac:dyDescent="0.3">
      <c r="A5539" t="s">
        <v>13039</v>
      </c>
      <c r="B5539" t="s">
        <v>11112</v>
      </c>
      <c r="C5539" t="s">
        <v>11113</v>
      </c>
      <c r="D5539" s="1" t="s">
        <v>427</v>
      </c>
      <c r="E5539" s="3">
        <v>7.77</v>
      </c>
      <c r="F5539" s="3">
        <f t="shared" si="172"/>
        <v>1.9634790000000002</v>
      </c>
      <c r="G5539" s="3">
        <f t="shared" si="173"/>
        <v>9.7334789999999991</v>
      </c>
    </row>
    <row r="5540" spans="1:7" x14ac:dyDescent="0.3">
      <c r="A5540" t="s">
        <v>13039</v>
      </c>
      <c r="B5540" t="s">
        <v>11114</v>
      </c>
      <c r="C5540" t="s">
        <v>11115</v>
      </c>
      <c r="D5540" s="1" t="s">
        <v>427</v>
      </c>
      <c r="E5540" s="3">
        <v>14.34</v>
      </c>
      <c r="F5540" s="3">
        <f t="shared" si="172"/>
        <v>3.6237180000000007</v>
      </c>
      <c r="G5540" s="3">
        <f t="shared" si="173"/>
        <v>17.963718</v>
      </c>
    </row>
    <row r="5541" spans="1:7" x14ac:dyDescent="0.3">
      <c r="A5541" t="s">
        <v>13039</v>
      </c>
      <c r="B5541" t="s">
        <v>11116</v>
      </c>
      <c r="C5541" t="s">
        <v>11117</v>
      </c>
      <c r="D5541" s="1" t="s">
        <v>427</v>
      </c>
      <c r="E5541" s="3">
        <v>9.48</v>
      </c>
      <c r="F5541" s="3">
        <f t="shared" si="172"/>
        <v>2.3955960000000003</v>
      </c>
      <c r="G5541" s="3">
        <f t="shared" si="173"/>
        <v>11.875596000000002</v>
      </c>
    </row>
    <row r="5542" spans="1:7" x14ac:dyDescent="0.3">
      <c r="A5542" t="s">
        <v>13039</v>
      </c>
      <c r="B5542" t="s">
        <v>11118</v>
      </c>
      <c r="C5542" t="s">
        <v>11119</v>
      </c>
      <c r="D5542" s="1" t="s">
        <v>427</v>
      </c>
      <c r="E5542" s="3">
        <v>12.82</v>
      </c>
      <c r="F5542" s="3">
        <f t="shared" si="172"/>
        <v>3.2396140000000004</v>
      </c>
      <c r="G5542" s="3">
        <f t="shared" si="173"/>
        <v>16.059614</v>
      </c>
    </row>
    <row r="5543" spans="1:7" x14ac:dyDescent="0.3">
      <c r="A5543" t="s">
        <v>13039</v>
      </c>
      <c r="B5543" t="s">
        <v>11120</v>
      </c>
      <c r="C5543" t="s">
        <v>11121</v>
      </c>
      <c r="D5543" s="1" t="s">
        <v>427</v>
      </c>
      <c r="E5543" s="3">
        <v>7.97</v>
      </c>
      <c r="F5543" s="3">
        <f t="shared" si="172"/>
        <v>2.0140190000000002</v>
      </c>
      <c r="G5543" s="3">
        <f t="shared" si="173"/>
        <v>9.984019</v>
      </c>
    </row>
    <row r="5544" spans="1:7" x14ac:dyDescent="0.3">
      <c r="A5544" t="s">
        <v>13039</v>
      </c>
      <c r="B5544" t="s">
        <v>11122</v>
      </c>
      <c r="C5544" t="s">
        <v>11123</v>
      </c>
      <c r="D5544" s="1" t="s">
        <v>427</v>
      </c>
      <c r="E5544" s="3">
        <v>12.78</v>
      </c>
      <c r="F5544" s="3">
        <f t="shared" si="172"/>
        <v>3.2295060000000002</v>
      </c>
      <c r="G5544" s="3">
        <f t="shared" si="173"/>
        <v>16.009505999999998</v>
      </c>
    </row>
    <row r="5545" spans="1:7" x14ac:dyDescent="0.3">
      <c r="A5545" t="s">
        <v>13039</v>
      </c>
      <c r="B5545" t="s">
        <v>11124</v>
      </c>
      <c r="C5545" t="s">
        <v>11125</v>
      </c>
      <c r="D5545" s="1" t="s">
        <v>427</v>
      </c>
      <c r="E5545" s="3">
        <v>7.92</v>
      </c>
      <c r="F5545" s="3">
        <f t="shared" si="172"/>
        <v>2.0013840000000003</v>
      </c>
      <c r="G5545" s="3">
        <f t="shared" si="173"/>
        <v>9.9213839999999998</v>
      </c>
    </row>
    <row r="5546" spans="1:7" x14ac:dyDescent="0.3">
      <c r="A5546" t="s">
        <v>13039</v>
      </c>
      <c r="B5546" t="s">
        <v>11126</v>
      </c>
      <c r="C5546" t="s">
        <v>11127</v>
      </c>
      <c r="D5546" s="1" t="s">
        <v>427</v>
      </c>
      <c r="E5546" s="3">
        <v>14.62</v>
      </c>
      <c r="F5546" s="3">
        <f t="shared" si="172"/>
        <v>3.6944740000000005</v>
      </c>
      <c r="G5546" s="3">
        <f t="shared" si="173"/>
        <v>18.314474000000001</v>
      </c>
    </row>
    <row r="5547" spans="1:7" x14ac:dyDescent="0.3">
      <c r="A5547" t="s">
        <v>13039</v>
      </c>
      <c r="B5547" t="s">
        <v>11128</v>
      </c>
      <c r="C5547" t="s">
        <v>11129</v>
      </c>
      <c r="D5547" s="1" t="s">
        <v>427</v>
      </c>
      <c r="E5547" s="3">
        <v>9.77</v>
      </c>
      <c r="F5547" s="3">
        <f t="shared" si="172"/>
        <v>2.4688790000000003</v>
      </c>
      <c r="G5547" s="3">
        <f t="shared" si="173"/>
        <v>12.238879000000001</v>
      </c>
    </row>
    <row r="5548" spans="1:7" x14ac:dyDescent="0.3">
      <c r="A5548" t="s">
        <v>13039</v>
      </c>
      <c r="B5548" t="s">
        <v>11130</v>
      </c>
      <c r="C5548" t="s">
        <v>11131</v>
      </c>
      <c r="D5548" s="1" t="s">
        <v>427</v>
      </c>
      <c r="E5548" s="3">
        <v>13.01</v>
      </c>
      <c r="F5548" s="3">
        <f t="shared" si="172"/>
        <v>3.2876270000000005</v>
      </c>
      <c r="G5548" s="3">
        <f t="shared" si="173"/>
        <v>16.297626999999999</v>
      </c>
    </row>
    <row r="5549" spans="1:7" x14ac:dyDescent="0.3">
      <c r="A5549" t="s">
        <v>13039</v>
      </c>
      <c r="B5549" t="s">
        <v>11132</v>
      </c>
      <c r="C5549" t="s">
        <v>11133</v>
      </c>
      <c r="D5549" s="1" t="s">
        <v>427</v>
      </c>
      <c r="E5549" s="3">
        <v>8.17</v>
      </c>
      <c r="F5549" s="3">
        <f t="shared" si="172"/>
        <v>2.0645590000000005</v>
      </c>
      <c r="G5549" s="3">
        <f t="shared" si="173"/>
        <v>10.234559000000001</v>
      </c>
    </row>
    <row r="5550" spans="1:7" x14ac:dyDescent="0.3">
      <c r="A5550" t="s">
        <v>13039</v>
      </c>
      <c r="B5550" t="s">
        <v>11134</v>
      </c>
      <c r="C5550" t="s">
        <v>11135</v>
      </c>
      <c r="D5550" s="1" t="s">
        <v>427</v>
      </c>
      <c r="E5550" s="3">
        <v>12.96</v>
      </c>
      <c r="F5550" s="3">
        <f t="shared" si="172"/>
        <v>3.2749920000000006</v>
      </c>
      <c r="G5550" s="3">
        <f t="shared" si="173"/>
        <v>16.234992000000002</v>
      </c>
    </row>
    <row r="5551" spans="1:7" x14ac:dyDescent="0.3">
      <c r="A5551" t="s">
        <v>13039</v>
      </c>
      <c r="B5551" t="s">
        <v>11136</v>
      </c>
      <c r="C5551" t="s">
        <v>11137</v>
      </c>
      <c r="D5551" s="1" t="s">
        <v>427</v>
      </c>
      <c r="E5551" s="3">
        <v>8.1199999999999992</v>
      </c>
      <c r="F5551" s="3">
        <f t="shared" si="172"/>
        <v>2.0519240000000001</v>
      </c>
      <c r="G5551" s="3">
        <f t="shared" si="173"/>
        <v>10.171923999999999</v>
      </c>
    </row>
    <row r="5552" spans="1:7" x14ac:dyDescent="0.3">
      <c r="A5552" t="s">
        <v>13039</v>
      </c>
      <c r="B5552" t="s">
        <v>11138</v>
      </c>
      <c r="C5552" t="s">
        <v>11139</v>
      </c>
      <c r="D5552" s="1" t="s">
        <v>427</v>
      </c>
      <c r="E5552" s="3">
        <v>15.29</v>
      </c>
      <c r="F5552" s="3">
        <f t="shared" si="172"/>
        <v>3.8637830000000002</v>
      </c>
      <c r="G5552" s="3">
        <f t="shared" si="173"/>
        <v>19.153783000000001</v>
      </c>
    </row>
    <row r="5553" spans="1:7" x14ac:dyDescent="0.3">
      <c r="A5553" t="s">
        <v>13039</v>
      </c>
      <c r="B5553" t="s">
        <v>11140</v>
      </c>
      <c r="C5553" t="s">
        <v>11141</v>
      </c>
      <c r="D5553" s="1" t="s">
        <v>427</v>
      </c>
      <c r="E5553" s="3">
        <v>10.07</v>
      </c>
      <c r="F5553" s="3">
        <f t="shared" si="172"/>
        <v>2.5446890000000004</v>
      </c>
      <c r="G5553" s="3">
        <f t="shared" si="173"/>
        <v>12.614689</v>
      </c>
    </row>
    <row r="5554" spans="1:7" x14ac:dyDescent="0.3">
      <c r="A5554" t="s">
        <v>13039</v>
      </c>
      <c r="B5554" t="s">
        <v>11142</v>
      </c>
      <c r="C5554" t="s">
        <v>11143</v>
      </c>
      <c r="D5554" s="1" t="s">
        <v>427</v>
      </c>
      <c r="E5554" s="3">
        <v>13.2</v>
      </c>
      <c r="F5554" s="3">
        <f t="shared" si="172"/>
        <v>3.3356400000000002</v>
      </c>
      <c r="G5554" s="3">
        <f t="shared" si="173"/>
        <v>16.535640000000001</v>
      </c>
    </row>
    <row r="5555" spans="1:7" x14ac:dyDescent="0.3">
      <c r="A5555" t="s">
        <v>13039</v>
      </c>
      <c r="B5555" t="s">
        <v>11144</v>
      </c>
      <c r="C5555" t="s">
        <v>11145</v>
      </c>
      <c r="D5555" s="1" t="s">
        <v>427</v>
      </c>
      <c r="E5555" s="3">
        <v>8.32</v>
      </c>
      <c r="F5555" s="3">
        <f t="shared" si="172"/>
        <v>2.1024640000000003</v>
      </c>
      <c r="G5555" s="3">
        <f t="shared" si="173"/>
        <v>10.422464000000002</v>
      </c>
    </row>
    <row r="5556" spans="1:7" x14ac:dyDescent="0.3">
      <c r="A5556" t="s">
        <v>13039</v>
      </c>
      <c r="B5556" t="s">
        <v>11146</v>
      </c>
      <c r="C5556" t="s">
        <v>11147</v>
      </c>
      <c r="D5556" s="1" t="s">
        <v>427</v>
      </c>
      <c r="E5556" s="3">
        <v>13.1</v>
      </c>
      <c r="F5556" s="3">
        <f t="shared" si="172"/>
        <v>3.3103700000000003</v>
      </c>
      <c r="G5556" s="3">
        <f t="shared" si="173"/>
        <v>16.41037</v>
      </c>
    </row>
    <row r="5557" spans="1:7" x14ac:dyDescent="0.3">
      <c r="A5557" t="s">
        <v>13039</v>
      </c>
      <c r="B5557" t="s">
        <v>11148</v>
      </c>
      <c r="C5557" t="s">
        <v>11149</v>
      </c>
      <c r="D5557" s="1" t="s">
        <v>427</v>
      </c>
      <c r="E5557" s="3">
        <v>8.27</v>
      </c>
      <c r="F5557" s="3">
        <f t="shared" si="172"/>
        <v>2.0898290000000004</v>
      </c>
      <c r="G5557" s="3">
        <f t="shared" si="173"/>
        <v>10.359829</v>
      </c>
    </row>
    <row r="5558" spans="1:7" x14ac:dyDescent="0.3">
      <c r="A5558" t="s">
        <v>13039</v>
      </c>
      <c r="B5558" t="s">
        <v>11150</v>
      </c>
      <c r="C5558" t="s">
        <v>11151</v>
      </c>
      <c r="D5558" s="1" t="s">
        <v>427</v>
      </c>
      <c r="E5558" s="3">
        <v>15.82</v>
      </c>
      <c r="F5558" s="3">
        <f t="shared" si="172"/>
        <v>3.9977140000000007</v>
      </c>
      <c r="G5558" s="3">
        <f t="shared" si="173"/>
        <v>19.817714000000002</v>
      </c>
    </row>
    <row r="5559" spans="1:7" x14ac:dyDescent="0.3">
      <c r="A5559" t="s">
        <v>13039</v>
      </c>
      <c r="B5559" t="s">
        <v>11152</v>
      </c>
      <c r="C5559" t="s">
        <v>11153</v>
      </c>
      <c r="D5559" s="1" t="s">
        <v>427</v>
      </c>
      <c r="E5559" s="3">
        <v>10.99</v>
      </c>
      <c r="F5559" s="3">
        <f t="shared" si="172"/>
        <v>2.7771730000000003</v>
      </c>
      <c r="G5559" s="3">
        <f t="shared" si="173"/>
        <v>13.767173</v>
      </c>
    </row>
    <row r="5560" spans="1:7" x14ac:dyDescent="0.3">
      <c r="A5560" t="s">
        <v>13039</v>
      </c>
      <c r="B5560" t="s">
        <v>11154</v>
      </c>
      <c r="C5560" t="s">
        <v>11155</v>
      </c>
      <c r="D5560" s="1" t="s">
        <v>427</v>
      </c>
      <c r="E5560" s="3">
        <v>13.89</v>
      </c>
      <c r="F5560" s="3">
        <f t="shared" si="172"/>
        <v>3.5100030000000007</v>
      </c>
      <c r="G5560" s="3">
        <f t="shared" si="173"/>
        <v>17.400003000000002</v>
      </c>
    </row>
    <row r="5561" spans="1:7" x14ac:dyDescent="0.3">
      <c r="A5561" t="s">
        <v>13039</v>
      </c>
      <c r="B5561" t="s">
        <v>11156</v>
      </c>
      <c r="C5561" t="s">
        <v>11157</v>
      </c>
      <c r="D5561" s="1" t="s">
        <v>427</v>
      </c>
      <c r="E5561" s="3">
        <v>8.66</v>
      </c>
      <c r="F5561" s="3">
        <f t="shared" si="172"/>
        <v>2.1883820000000003</v>
      </c>
      <c r="G5561" s="3">
        <f t="shared" si="173"/>
        <v>10.848382000000001</v>
      </c>
    </row>
    <row r="5562" spans="1:7" x14ac:dyDescent="0.3">
      <c r="A5562" t="s">
        <v>13039</v>
      </c>
      <c r="B5562" t="s">
        <v>11158</v>
      </c>
      <c r="C5562" t="s">
        <v>11159</v>
      </c>
      <c r="D5562" s="1" t="s">
        <v>427</v>
      </c>
      <c r="E5562" s="3">
        <v>13.83</v>
      </c>
      <c r="F5562" s="3">
        <f t="shared" si="172"/>
        <v>3.4948410000000005</v>
      </c>
      <c r="G5562" s="3">
        <f t="shared" si="173"/>
        <v>17.324840999999999</v>
      </c>
    </row>
    <row r="5563" spans="1:7" x14ac:dyDescent="0.3">
      <c r="A5563" t="s">
        <v>13039</v>
      </c>
      <c r="B5563" t="s">
        <v>11160</v>
      </c>
      <c r="C5563" t="s">
        <v>11161</v>
      </c>
      <c r="D5563" s="1" t="s">
        <v>427</v>
      </c>
      <c r="E5563" s="3">
        <v>8.57</v>
      </c>
      <c r="F5563" s="3">
        <f t="shared" si="172"/>
        <v>2.1656390000000005</v>
      </c>
      <c r="G5563" s="3">
        <f t="shared" si="173"/>
        <v>10.735639000000001</v>
      </c>
    </row>
    <row r="5564" spans="1:7" x14ac:dyDescent="0.3">
      <c r="A5564" t="s">
        <v>13039</v>
      </c>
      <c r="B5564" t="s">
        <v>11162</v>
      </c>
      <c r="C5564" t="s">
        <v>11163</v>
      </c>
      <c r="D5564" s="1" t="s">
        <v>427</v>
      </c>
      <c r="E5564" s="3">
        <v>16.97</v>
      </c>
      <c r="F5564" s="3">
        <f t="shared" si="172"/>
        <v>4.2883190000000004</v>
      </c>
      <c r="G5564" s="3">
        <f t="shared" si="173"/>
        <v>21.258319</v>
      </c>
    </row>
    <row r="5565" spans="1:7" x14ac:dyDescent="0.3">
      <c r="A5565" t="s">
        <v>13039</v>
      </c>
      <c r="B5565" t="s">
        <v>11164</v>
      </c>
      <c r="C5565" t="s">
        <v>11165</v>
      </c>
      <c r="D5565" s="1" t="s">
        <v>427</v>
      </c>
      <c r="E5565" s="3">
        <v>12.17</v>
      </c>
      <c r="F5565" s="3">
        <f t="shared" si="172"/>
        <v>3.0753590000000006</v>
      </c>
      <c r="G5565" s="3">
        <f t="shared" si="173"/>
        <v>15.245359000000001</v>
      </c>
    </row>
    <row r="5566" spans="1:7" x14ac:dyDescent="0.3">
      <c r="A5566" t="s">
        <v>13039</v>
      </c>
      <c r="B5566" t="s">
        <v>11166</v>
      </c>
      <c r="C5566" t="s">
        <v>11167</v>
      </c>
      <c r="D5566" s="1" t="s">
        <v>427</v>
      </c>
      <c r="E5566" s="3">
        <v>14.39</v>
      </c>
      <c r="F5566" s="3">
        <f t="shared" si="172"/>
        <v>3.6363530000000006</v>
      </c>
      <c r="G5566" s="3">
        <f t="shared" si="173"/>
        <v>18.026353</v>
      </c>
    </row>
    <row r="5567" spans="1:7" x14ac:dyDescent="0.3">
      <c r="A5567" t="s">
        <v>13039</v>
      </c>
      <c r="B5567" t="s">
        <v>11168</v>
      </c>
      <c r="C5567" t="s">
        <v>11169</v>
      </c>
      <c r="D5567" s="1" t="s">
        <v>427</v>
      </c>
      <c r="E5567" s="3">
        <v>9.59</v>
      </c>
      <c r="F5567" s="3">
        <f t="shared" si="172"/>
        <v>2.4233930000000004</v>
      </c>
      <c r="G5567" s="3">
        <f t="shared" si="173"/>
        <v>12.013393000000001</v>
      </c>
    </row>
    <row r="5568" spans="1:7" x14ac:dyDescent="0.3">
      <c r="A5568" t="s">
        <v>13039</v>
      </c>
      <c r="B5568" t="s">
        <v>11170</v>
      </c>
      <c r="C5568" t="s">
        <v>11171</v>
      </c>
      <c r="D5568" s="1" t="s">
        <v>427</v>
      </c>
      <c r="E5568" s="3">
        <v>14.28</v>
      </c>
      <c r="F5568" s="3">
        <f t="shared" si="172"/>
        <v>3.6085560000000005</v>
      </c>
      <c r="G5568" s="3">
        <f t="shared" si="173"/>
        <v>17.888556000000001</v>
      </c>
    </row>
    <row r="5569" spans="1:7" x14ac:dyDescent="0.3">
      <c r="A5569" t="s">
        <v>13039</v>
      </c>
      <c r="B5569" t="s">
        <v>11172</v>
      </c>
      <c r="C5569" t="s">
        <v>11173</v>
      </c>
      <c r="D5569" s="1" t="s">
        <v>427</v>
      </c>
      <c r="E5569" s="3">
        <v>9.48</v>
      </c>
      <c r="F5569" s="3">
        <f t="shared" si="172"/>
        <v>2.3955960000000003</v>
      </c>
      <c r="G5569" s="3">
        <f t="shared" si="173"/>
        <v>11.875596000000002</v>
      </c>
    </row>
    <row r="5570" spans="1:7" x14ac:dyDescent="0.3">
      <c r="A5570" t="s">
        <v>13039</v>
      </c>
      <c r="B5570" t="s">
        <v>11174</v>
      </c>
      <c r="C5570" t="s">
        <v>11175</v>
      </c>
      <c r="D5570" s="1" t="s">
        <v>427</v>
      </c>
      <c r="E5570" s="3">
        <v>11.67</v>
      </c>
      <c r="F5570" s="3">
        <f t="shared" si="172"/>
        <v>2.9490090000000002</v>
      </c>
      <c r="G5570" s="3">
        <f t="shared" si="173"/>
        <v>14.619009</v>
      </c>
    </row>
    <row r="5571" spans="1:7" x14ac:dyDescent="0.3">
      <c r="A5571" t="s">
        <v>13039</v>
      </c>
      <c r="B5571" t="s">
        <v>11176</v>
      </c>
      <c r="C5571" t="s">
        <v>11177</v>
      </c>
      <c r="D5571" s="1" t="s">
        <v>427</v>
      </c>
      <c r="E5571" s="3">
        <v>6.78</v>
      </c>
      <c r="F5571" s="3">
        <f t="shared" si="172"/>
        <v>1.7133060000000002</v>
      </c>
      <c r="G5571" s="3">
        <f t="shared" si="173"/>
        <v>8.4933060000000005</v>
      </c>
    </row>
    <row r="5572" spans="1:7" x14ac:dyDescent="0.3">
      <c r="A5572" t="s">
        <v>13039</v>
      </c>
      <c r="B5572" t="s">
        <v>11178</v>
      </c>
      <c r="C5572" t="s">
        <v>11179</v>
      </c>
      <c r="D5572" s="1" t="s">
        <v>427</v>
      </c>
      <c r="E5572" s="3">
        <v>11.22</v>
      </c>
      <c r="F5572" s="3">
        <f t="shared" si="172"/>
        <v>2.8352940000000006</v>
      </c>
      <c r="G5572" s="3">
        <f t="shared" si="173"/>
        <v>14.055294000000002</v>
      </c>
    </row>
    <row r="5573" spans="1:7" x14ac:dyDescent="0.3">
      <c r="A5573" t="s">
        <v>13039</v>
      </c>
      <c r="B5573" t="s">
        <v>11180</v>
      </c>
      <c r="C5573" t="s">
        <v>11181</v>
      </c>
      <c r="D5573" s="1" t="s">
        <v>427</v>
      </c>
      <c r="E5573" s="3">
        <v>6.35</v>
      </c>
      <c r="F5573" s="3">
        <f t="shared" si="172"/>
        <v>1.6046450000000001</v>
      </c>
      <c r="G5573" s="3">
        <f t="shared" si="173"/>
        <v>7.9546449999999993</v>
      </c>
    </row>
    <row r="5574" spans="1:7" x14ac:dyDescent="0.3">
      <c r="A5574" t="s">
        <v>13039</v>
      </c>
      <c r="B5574" t="s">
        <v>11182</v>
      </c>
      <c r="C5574" t="s">
        <v>11183</v>
      </c>
      <c r="D5574" s="1" t="s">
        <v>427</v>
      </c>
      <c r="E5574" s="3">
        <v>11.29</v>
      </c>
      <c r="F5574" s="3">
        <f t="shared" si="172"/>
        <v>2.852983</v>
      </c>
      <c r="G5574" s="3">
        <f t="shared" si="173"/>
        <v>14.142982999999999</v>
      </c>
    </row>
    <row r="5575" spans="1:7" x14ac:dyDescent="0.3">
      <c r="A5575" t="s">
        <v>13039</v>
      </c>
      <c r="B5575" t="s">
        <v>11184</v>
      </c>
      <c r="C5575" t="s">
        <v>11185</v>
      </c>
      <c r="D5575" s="1" t="s">
        <v>427</v>
      </c>
      <c r="E5575" s="3">
        <v>6.43</v>
      </c>
      <c r="F5575" s="3">
        <f t="shared" ref="F5575:F5638" si="174">+E5575*$F$4</f>
        <v>1.6248610000000001</v>
      </c>
      <c r="G5575" s="3">
        <f t="shared" ref="G5575:G5638" si="175">+E5575+F5575</f>
        <v>8.0548609999999989</v>
      </c>
    </row>
    <row r="5576" spans="1:7" x14ac:dyDescent="0.3">
      <c r="A5576" t="s">
        <v>13039</v>
      </c>
      <c r="B5576" t="s">
        <v>11186</v>
      </c>
      <c r="C5576" t="s">
        <v>11187</v>
      </c>
      <c r="D5576" s="1" t="s">
        <v>427</v>
      </c>
      <c r="E5576" s="3">
        <v>12.45</v>
      </c>
      <c r="F5576" s="3">
        <f t="shared" si="174"/>
        <v>3.1461150000000004</v>
      </c>
      <c r="G5576" s="3">
        <f t="shared" si="175"/>
        <v>15.596114999999999</v>
      </c>
    </row>
    <row r="5577" spans="1:7" x14ac:dyDescent="0.3">
      <c r="A5577" t="s">
        <v>13039</v>
      </c>
      <c r="B5577" t="s">
        <v>11188</v>
      </c>
      <c r="C5577" t="s">
        <v>11189</v>
      </c>
      <c r="D5577" s="1" t="s">
        <v>427</v>
      </c>
      <c r="E5577" s="3">
        <v>7.18</v>
      </c>
      <c r="F5577" s="3">
        <f t="shared" si="174"/>
        <v>1.8143860000000003</v>
      </c>
      <c r="G5577" s="3">
        <f t="shared" si="175"/>
        <v>8.9943860000000004</v>
      </c>
    </row>
    <row r="5578" spans="1:7" x14ac:dyDescent="0.3">
      <c r="A5578" t="s">
        <v>13039</v>
      </c>
      <c r="B5578" t="s">
        <v>11190</v>
      </c>
      <c r="C5578" t="s">
        <v>11191</v>
      </c>
      <c r="D5578" s="1" t="s">
        <v>427</v>
      </c>
      <c r="E5578" s="3">
        <v>11.48</v>
      </c>
      <c r="F5578" s="3">
        <f t="shared" si="174"/>
        <v>2.9009960000000006</v>
      </c>
      <c r="G5578" s="3">
        <f t="shared" si="175"/>
        <v>14.380996000000001</v>
      </c>
    </row>
    <row r="5579" spans="1:7" x14ac:dyDescent="0.3">
      <c r="A5579" t="s">
        <v>13039</v>
      </c>
      <c r="B5579" t="s">
        <v>11192</v>
      </c>
      <c r="C5579" t="s">
        <v>11193</v>
      </c>
      <c r="D5579" s="1" t="s">
        <v>427</v>
      </c>
      <c r="E5579" s="3">
        <v>6.58</v>
      </c>
      <c r="F5579" s="3">
        <f t="shared" si="174"/>
        <v>1.6627660000000002</v>
      </c>
      <c r="G5579" s="3">
        <f t="shared" si="175"/>
        <v>8.2427659999999996</v>
      </c>
    </row>
    <row r="5580" spans="1:7" x14ac:dyDescent="0.3">
      <c r="A5580" t="s">
        <v>13039</v>
      </c>
      <c r="B5580" t="s">
        <v>11194</v>
      </c>
      <c r="C5580" t="s">
        <v>11195</v>
      </c>
      <c r="D5580" s="1" t="s">
        <v>427</v>
      </c>
      <c r="E5580" s="3">
        <v>11.52</v>
      </c>
      <c r="F5580" s="3">
        <f t="shared" si="174"/>
        <v>2.9111040000000004</v>
      </c>
      <c r="G5580" s="3">
        <f t="shared" si="175"/>
        <v>14.431103999999999</v>
      </c>
    </row>
    <row r="5581" spans="1:7" x14ac:dyDescent="0.3">
      <c r="A5581" t="s">
        <v>13039</v>
      </c>
      <c r="B5581" t="s">
        <v>11196</v>
      </c>
      <c r="C5581" t="s">
        <v>11197</v>
      </c>
      <c r="D5581" s="1" t="s">
        <v>427</v>
      </c>
      <c r="E5581" s="3">
        <v>6.62</v>
      </c>
      <c r="F5581" s="3">
        <f t="shared" si="174"/>
        <v>1.6728740000000002</v>
      </c>
      <c r="G5581" s="3">
        <f t="shared" si="175"/>
        <v>8.2928740000000012</v>
      </c>
    </row>
    <row r="5582" spans="1:7" x14ac:dyDescent="0.3">
      <c r="A5582" t="s">
        <v>13039</v>
      </c>
      <c r="B5582" t="s">
        <v>11198</v>
      </c>
      <c r="C5582" t="s">
        <v>11199</v>
      </c>
      <c r="D5582" s="1" t="s">
        <v>427</v>
      </c>
      <c r="E5582" s="3">
        <v>11.22</v>
      </c>
      <c r="F5582" s="3">
        <f t="shared" si="174"/>
        <v>2.8352940000000006</v>
      </c>
      <c r="G5582" s="3">
        <f t="shared" si="175"/>
        <v>14.055294000000002</v>
      </c>
    </row>
    <row r="5583" spans="1:7" x14ac:dyDescent="0.3">
      <c r="A5583" t="s">
        <v>13039</v>
      </c>
      <c r="B5583" t="s">
        <v>11200</v>
      </c>
      <c r="C5583" t="s">
        <v>11201</v>
      </c>
      <c r="D5583" s="1" t="s">
        <v>427</v>
      </c>
      <c r="E5583" s="3">
        <v>6.35</v>
      </c>
      <c r="F5583" s="3">
        <f t="shared" si="174"/>
        <v>1.6046450000000001</v>
      </c>
      <c r="G5583" s="3">
        <f t="shared" si="175"/>
        <v>7.9546449999999993</v>
      </c>
    </row>
    <row r="5584" spans="1:7" x14ac:dyDescent="0.3">
      <c r="A5584" t="s">
        <v>13039</v>
      </c>
      <c r="B5584" t="s">
        <v>11202</v>
      </c>
      <c r="C5584" t="s">
        <v>11203</v>
      </c>
      <c r="D5584" s="1" t="s">
        <v>427</v>
      </c>
      <c r="E5584" s="3">
        <v>10.53</v>
      </c>
      <c r="F5584" s="3">
        <f t="shared" si="174"/>
        <v>2.6609310000000002</v>
      </c>
      <c r="G5584" s="3">
        <f t="shared" si="175"/>
        <v>13.190930999999999</v>
      </c>
    </row>
    <row r="5585" spans="1:7" x14ac:dyDescent="0.3">
      <c r="A5585" t="s">
        <v>13039</v>
      </c>
      <c r="B5585" t="s">
        <v>11204</v>
      </c>
      <c r="C5585" t="s">
        <v>11205</v>
      </c>
      <c r="D5585" s="1" t="s">
        <v>427</v>
      </c>
      <c r="E5585" s="3">
        <v>5.61</v>
      </c>
      <c r="F5585" s="3">
        <f t="shared" si="174"/>
        <v>1.4176470000000003</v>
      </c>
      <c r="G5585" s="3">
        <f t="shared" si="175"/>
        <v>7.0276470000000009</v>
      </c>
    </row>
    <row r="5586" spans="1:7" x14ac:dyDescent="0.3">
      <c r="A5586" t="s">
        <v>13039</v>
      </c>
      <c r="B5586" t="s">
        <v>11206</v>
      </c>
      <c r="C5586" t="s">
        <v>11207</v>
      </c>
      <c r="D5586" s="1" t="s">
        <v>427</v>
      </c>
      <c r="E5586" s="3">
        <v>11.03</v>
      </c>
      <c r="F5586" s="3">
        <f t="shared" si="174"/>
        <v>2.7872810000000001</v>
      </c>
      <c r="G5586" s="3">
        <f t="shared" si="175"/>
        <v>13.817280999999999</v>
      </c>
    </row>
    <row r="5587" spans="1:7" x14ac:dyDescent="0.3">
      <c r="A5587" t="s">
        <v>13039</v>
      </c>
      <c r="B5587" t="s">
        <v>11208</v>
      </c>
      <c r="C5587" t="s">
        <v>11209</v>
      </c>
      <c r="D5587" s="1" t="s">
        <v>427</v>
      </c>
      <c r="E5587" s="3">
        <v>5.7</v>
      </c>
      <c r="F5587" s="3">
        <f t="shared" si="174"/>
        <v>1.4403900000000003</v>
      </c>
      <c r="G5587" s="3">
        <f t="shared" si="175"/>
        <v>7.14039</v>
      </c>
    </row>
    <row r="5588" spans="1:7" x14ac:dyDescent="0.3">
      <c r="A5588" t="s">
        <v>13039</v>
      </c>
      <c r="B5588" t="s">
        <v>11210</v>
      </c>
      <c r="C5588" t="s">
        <v>11211</v>
      </c>
      <c r="D5588" s="1" t="s">
        <v>427</v>
      </c>
      <c r="E5588" s="3">
        <v>12.78</v>
      </c>
      <c r="F5588" s="3">
        <f t="shared" si="174"/>
        <v>3.2295060000000002</v>
      </c>
      <c r="G5588" s="3">
        <f t="shared" si="175"/>
        <v>16.009505999999998</v>
      </c>
    </row>
    <row r="5589" spans="1:7" x14ac:dyDescent="0.3">
      <c r="A5589" t="s">
        <v>13039</v>
      </c>
      <c r="B5589" t="s">
        <v>11212</v>
      </c>
      <c r="C5589" t="s">
        <v>11213</v>
      </c>
      <c r="D5589" s="1" t="s">
        <v>427</v>
      </c>
      <c r="E5589" s="3">
        <v>7.92</v>
      </c>
      <c r="F5589" s="3">
        <f t="shared" si="174"/>
        <v>2.0013840000000003</v>
      </c>
      <c r="G5589" s="3">
        <f t="shared" si="175"/>
        <v>9.9213839999999998</v>
      </c>
    </row>
    <row r="5590" spans="1:7" x14ac:dyDescent="0.3">
      <c r="A5590" t="s">
        <v>13039</v>
      </c>
      <c r="B5590" t="s">
        <v>11214</v>
      </c>
      <c r="C5590" t="s">
        <v>11215</v>
      </c>
      <c r="D5590" s="1" t="s">
        <v>427</v>
      </c>
      <c r="E5590" s="3">
        <v>11.67</v>
      </c>
      <c r="F5590" s="3">
        <f t="shared" si="174"/>
        <v>2.9490090000000002</v>
      </c>
      <c r="G5590" s="3">
        <f t="shared" si="175"/>
        <v>14.619009</v>
      </c>
    </row>
    <row r="5591" spans="1:7" x14ac:dyDescent="0.3">
      <c r="A5591" t="s">
        <v>13039</v>
      </c>
      <c r="B5591" t="s">
        <v>11216</v>
      </c>
      <c r="C5591" t="s">
        <v>11217</v>
      </c>
      <c r="D5591" s="1" t="s">
        <v>427</v>
      </c>
      <c r="E5591" s="3">
        <v>6.82</v>
      </c>
      <c r="F5591" s="3">
        <f t="shared" si="174"/>
        <v>1.7234140000000002</v>
      </c>
      <c r="G5591" s="3">
        <f t="shared" si="175"/>
        <v>8.5434140000000003</v>
      </c>
    </row>
    <row r="5592" spans="1:7" x14ac:dyDescent="0.3">
      <c r="A5592" t="s">
        <v>13039</v>
      </c>
      <c r="B5592" t="s">
        <v>11218</v>
      </c>
      <c r="C5592" t="s">
        <v>11219</v>
      </c>
      <c r="D5592" s="1" t="s">
        <v>427</v>
      </c>
      <c r="E5592" s="3">
        <v>11.7</v>
      </c>
      <c r="F5592" s="3">
        <f t="shared" si="174"/>
        <v>2.9565900000000003</v>
      </c>
      <c r="G5592" s="3">
        <f t="shared" si="175"/>
        <v>14.65659</v>
      </c>
    </row>
    <row r="5593" spans="1:7" x14ac:dyDescent="0.3">
      <c r="A5593" t="s">
        <v>13039</v>
      </c>
      <c r="B5593" t="s">
        <v>11220</v>
      </c>
      <c r="C5593" t="s">
        <v>11221</v>
      </c>
      <c r="D5593" s="1" t="s">
        <v>427</v>
      </c>
      <c r="E5593" s="3">
        <v>6.82</v>
      </c>
      <c r="F5593" s="3">
        <f t="shared" si="174"/>
        <v>1.7234140000000002</v>
      </c>
      <c r="G5593" s="3">
        <f t="shared" si="175"/>
        <v>8.5434140000000003</v>
      </c>
    </row>
    <row r="5594" spans="1:7" x14ac:dyDescent="0.3">
      <c r="A5594" t="s">
        <v>13039</v>
      </c>
      <c r="B5594" t="s">
        <v>11222</v>
      </c>
      <c r="C5594" t="s">
        <v>11223</v>
      </c>
      <c r="D5594" s="1" t="s">
        <v>427</v>
      </c>
      <c r="E5594" s="3">
        <v>13.1</v>
      </c>
      <c r="F5594" s="3">
        <f t="shared" si="174"/>
        <v>3.3103700000000003</v>
      </c>
      <c r="G5594" s="3">
        <f t="shared" si="175"/>
        <v>16.41037</v>
      </c>
    </row>
    <row r="5595" spans="1:7" x14ac:dyDescent="0.3">
      <c r="A5595" t="s">
        <v>13039</v>
      </c>
      <c r="B5595" t="s">
        <v>11224</v>
      </c>
      <c r="C5595" t="s">
        <v>11225</v>
      </c>
      <c r="D5595" s="1" t="s">
        <v>427</v>
      </c>
      <c r="E5595" s="3">
        <v>8.2200000000000006</v>
      </c>
      <c r="F5595" s="3">
        <f t="shared" si="174"/>
        <v>2.0771940000000004</v>
      </c>
      <c r="G5595" s="3">
        <f t="shared" si="175"/>
        <v>10.297194000000001</v>
      </c>
    </row>
    <row r="5596" spans="1:7" x14ac:dyDescent="0.3">
      <c r="A5596" t="s">
        <v>13039</v>
      </c>
      <c r="B5596" t="s">
        <v>11226</v>
      </c>
      <c r="C5596" t="s">
        <v>11227</v>
      </c>
      <c r="D5596" s="1" t="s">
        <v>427</v>
      </c>
      <c r="E5596" s="3">
        <v>11.89</v>
      </c>
      <c r="F5596" s="3">
        <f t="shared" si="174"/>
        <v>3.0046030000000004</v>
      </c>
      <c r="G5596" s="3">
        <f t="shared" si="175"/>
        <v>14.894603</v>
      </c>
    </row>
    <row r="5597" spans="1:7" x14ac:dyDescent="0.3">
      <c r="A5597" t="s">
        <v>13039</v>
      </c>
      <c r="B5597" t="s">
        <v>11228</v>
      </c>
      <c r="C5597" t="s">
        <v>11229</v>
      </c>
      <c r="D5597" s="1" t="s">
        <v>427</v>
      </c>
      <c r="E5597" s="3">
        <v>7.02</v>
      </c>
      <c r="F5597" s="3">
        <f t="shared" si="174"/>
        <v>1.7739540000000003</v>
      </c>
      <c r="G5597" s="3">
        <f t="shared" si="175"/>
        <v>8.7939539999999994</v>
      </c>
    </row>
    <row r="5598" spans="1:7" x14ac:dyDescent="0.3">
      <c r="A5598" t="s">
        <v>13039</v>
      </c>
      <c r="B5598" t="s">
        <v>11230</v>
      </c>
      <c r="C5598" t="s">
        <v>11231</v>
      </c>
      <c r="D5598" s="1" t="s">
        <v>427</v>
      </c>
      <c r="E5598" s="3">
        <v>12.31</v>
      </c>
      <c r="F5598" s="3">
        <f t="shared" si="174"/>
        <v>3.1107370000000008</v>
      </c>
      <c r="G5598" s="3">
        <f t="shared" si="175"/>
        <v>15.420737000000001</v>
      </c>
    </row>
    <row r="5599" spans="1:7" x14ac:dyDescent="0.3">
      <c r="A5599" t="s">
        <v>13039</v>
      </c>
      <c r="B5599" t="s">
        <v>11232</v>
      </c>
      <c r="C5599" t="s">
        <v>11233</v>
      </c>
      <c r="D5599" s="1" t="s">
        <v>427</v>
      </c>
      <c r="E5599" s="3">
        <v>7.02</v>
      </c>
      <c r="F5599" s="3">
        <f t="shared" si="174"/>
        <v>1.7739540000000003</v>
      </c>
      <c r="G5599" s="3">
        <f t="shared" si="175"/>
        <v>8.7939539999999994</v>
      </c>
    </row>
    <row r="5600" spans="1:7" x14ac:dyDescent="0.3">
      <c r="A5600" t="s">
        <v>13039</v>
      </c>
      <c r="B5600" t="s">
        <v>11234</v>
      </c>
      <c r="C5600" t="s">
        <v>11235</v>
      </c>
      <c r="D5600" s="1" t="s">
        <v>427</v>
      </c>
      <c r="E5600" s="3">
        <v>17.84</v>
      </c>
      <c r="F5600" s="3">
        <f t="shared" si="174"/>
        <v>4.5081680000000004</v>
      </c>
      <c r="G5600" s="3">
        <f t="shared" si="175"/>
        <v>22.348168000000001</v>
      </c>
    </row>
    <row r="5601" spans="1:7" x14ac:dyDescent="0.3">
      <c r="A5601" t="s">
        <v>13039</v>
      </c>
      <c r="B5601" t="s">
        <v>11236</v>
      </c>
      <c r="C5601" t="s">
        <v>11237</v>
      </c>
      <c r="D5601" s="1" t="s">
        <v>427</v>
      </c>
      <c r="E5601" s="3">
        <v>12.64</v>
      </c>
      <c r="F5601" s="3">
        <f t="shared" si="174"/>
        <v>3.1941280000000005</v>
      </c>
      <c r="G5601" s="3">
        <f t="shared" si="175"/>
        <v>15.834128000000002</v>
      </c>
    </row>
    <row r="5602" spans="1:7" x14ac:dyDescent="0.3">
      <c r="A5602" t="s">
        <v>13039</v>
      </c>
      <c r="B5602" t="s">
        <v>11238</v>
      </c>
      <c r="C5602" t="s">
        <v>11239</v>
      </c>
      <c r="D5602" s="1" t="s">
        <v>427</v>
      </c>
      <c r="E5602" s="3">
        <v>14.68</v>
      </c>
      <c r="F5602" s="3">
        <f t="shared" si="174"/>
        <v>3.7096360000000006</v>
      </c>
      <c r="G5602" s="3">
        <f t="shared" si="175"/>
        <v>18.389635999999999</v>
      </c>
    </row>
    <row r="5603" spans="1:7" x14ac:dyDescent="0.3">
      <c r="A5603" t="s">
        <v>13039</v>
      </c>
      <c r="B5603" t="s">
        <v>11240</v>
      </c>
      <c r="C5603" t="s">
        <v>11241</v>
      </c>
      <c r="D5603" s="1" t="s">
        <v>427</v>
      </c>
      <c r="E5603" s="3">
        <v>9.89</v>
      </c>
      <c r="F5603" s="3">
        <f t="shared" si="174"/>
        <v>2.4992030000000005</v>
      </c>
      <c r="G5603" s="3">
        <f t="shared" si="175"/>
        <v>12.389203000000002</v>
      </c>
    </row>
    <row r="5604" spans="1:7" x14ac:dyDescent="0.3">
      <c r="A5604" t="s">
        <v>13039</v>
      </c>
      <c r="B5604" t="s">
        <v>11242</v>
      </c>
      <c r="C5604" t="s">
        <v>11243</v>
      </c>
      <c r="D5604" s="1" t="s">
        <v>427</v>
      </c>
      <c r="E5604" s="3">
        <v>14.51</v>
      </c>
      <c r="F5604" s="3">
        <f t="shared" si="174"/>
        <v>3.6666770000000004</v>
      </c>
      <c r="G5604" s="3">
        <f t="shared" si="175"/>
        <v>18.176677000000002</v>
      </c>
    </row>
    <row r="5605" spans="1:7" x14ac:dyDescent="0.3">
      <c r="A5605" t="s">
        <v>13039</v>
      </c>
      <c r="B5605" t="s">
        <v>11244</v>
      </c>
      <c r="C5605" t="s">
        <v>11245</v>
      </c>
      <c r="D5605" s="1" t="s">
        <v>427</v>
      </c>
      <c r="E5605" s="3">
        <v>9.7100000000000009</v>
      </c>
      <c r="F5605" s="3">
        <f t="shared" si="174"/>
        <v>2.4537170000000006</v>
      </c>
      <c r="G5605" s="3">
        <f t="shared" si="175"/>
        <v>12.163717000000002</v>
      </c>
    </row>
    <row r="5606" spans="1:7" x14ac:dyDescent="0.3">
      <c r="A5606" t="s">
        <v>13039</v>
      </c>
      <c r="B5606" t="s">
        <v>11246</v>
      </c>
      <c r="C5606" t="s">
        <v>11247</v>
      </c>
      <c r="D5606" s="1" t="s">
        <v>427</v>
      </c>
      <c r="E5606" s="3">
        <v>21.98</v>
      </c>
      <c r="F5606" s="3">
        <f t="shared" si="174"/>
        <v>5.5543460000000007</v>
      </c>
      <c r="G5606" s="3">
        <f t="shared" si="175"/>
        <v>27.534345999999999</v>
      </c>
    </row>
    <row r="5607" spans="1:7" x14ac:dyDescent="0.3">
      <c r="A5607" t="s">
        <v>13039</v>
      </c>
      <c r="B5607" t="s">
        <v>11248</v>
      </c>
      <c r="C5607" t="s">
        <v>11249</v>
      </c>
      <c r="D5607" s="1" t="s">
        <v>427</v>
      </c>
      <c r="E5607" s="3">
        <v>11.57</v>
      </c>
      <c r="F5607" s="3">
        <f t="shared" si="174"/>
        <v>2.9237390000000003</v>
      </c>
      <c r="G5607" s="3">
        <f t="shared" si="175"/>
        <v>14.493739000000001</v>
      </c>
    </row>
    <row r="5608" spans="1:7" x14ac:dyDescent="0.3">
      <c r="A5608" t="s">
        <v>13039</v>
      </c>
      <c r="B5608" t="s">
        <v>11250</v>
      </c>
      <c r="C5608" t="s">
        <v>11251</v>
      </c>
      <c r="D5608" s="1" t="s">
        <v>427</v>
      </c>
      <c r="E5608" s="3">
        <v>20.46</v>
      </c>
      <c r="F5608" s="3">
        <f t="shared" si="174"/>
        <v>5.1702420000000009</v>
      </c>
      <c r="G5608" s="3">
        <f t="shared" si="175"/>
        <v>25.630242000000003</v>
      </c>
    </row>
    <row r="5609" spans="1:7" x14ac:dyDescent="0.3">
      <c r="A5609" t="s">
        <v>13039</v>
      </c>
      <c r="B5609" t="s">
        <v>11252</v>
      </c>
      <c r="C5609" t="s">
        <v>11253</v>
      </c>
      <c r="D5609" s="1" t="s">
        <v>427</v>
      </c>
      <c r="E5609" s="3">
        <v>9.89</v>
      </c>
      <c r="F5609" s="3">
        <f t="shared" si="174"/>
        <v>2.4992030000000005</v>
      </c>
      <c r="G5609" s="3">
        <f t="shared" si="175"/>
        <v>12.389203000000002</v>
      </c>
    </row>
    <row r="5610" spans="1:7" x14ac:dyDescent="0.3">
      <c r="A5610" t="s">
        <v>13039</v>
      </c>
      <c r="B5610" t="s">
        <v>11254</v>
      </c>
      <c r="C5610" t="s">
        <v>11255</v>
      </c>
      <c r="D5610" s="1" t="s">
        <v>427</v>
      </c>
      <c r="E5610" s="3">
        <v>20.46</v>
      </c>
      <c r="F5610" s="3">
        <f t="shared" si="174"/>
        <v>5.1702420000000009</v>
      </c>
      <c r="G5610" s="3">
        <f t="shared" si="175"/>
        <v>25.630242000000003</v>
      </c>
    </row>
    <row r="5611" spans="1:7" x14ac:dyDescent="0.3">
      <c r="A5611" t="s">
        <v>13039</v>
      </c>
      <c r="B5611" t="s">
        <v>11256</v>
      </c>
      <c r="C5611" t="s">
        <v>11257</v>
      </c>
      <c r="D5611" s="1" t="s">
        <v>427</v>
      </c>
      <c r="E5611" s="3">
        <v>9.84</v>
      </c>
      <c r="F5611" s="3">
        <f t="shared" si="174"/>
        <v>2.4865680000000001</v>
      </c>
      <c r="G5611" s="3">
        <f t="shared" si="175"/>
        <v>12.326568</v>
      </c>
    </row>
    <row r="5612" spans="1:7" x14ac:dyDescent="0.3">
      <c r="A5612" t="s">
        <v>13039</v>
      </c>
      <c r="B5612" t="s">
        <v>11258</v>
      </c>
      <c r="C5612" t="s">
        <v>11259</v>
      </c>
      <c r="D5612" s="1" t="s">
        <v>427</v>
      </c>
      <c r="E5612" s="3">
        <v>22.3</v>
      </c>
      <c r="F5612" s="3">
        <f t="shared" si="174"/>
        <v>5.6352100000000007</v>
      </c>
      <c r="G5612" s="3">
        <f t="shared" si="175"/>
        <v>27.935210000000001</v>
      </c>
    </row>
    <row r="5613" spans="1:7" x14ac:dyDescent="0.3">
      <c r="A5613" t="s">
        <v>13039</v>
      </c>
      <c r="B5613" t="s">
        <v>11260</v>
      </c>
      <c r="C5613" t="s">
        <v>11261</v>
      </c>
      <c r="D5613" s="1" t="s">
        <v>427</v>
      </c>
      <c r="E5613" s="3">
        <v>11.91</v>
      </c>
      <c r="F5613" s="3">
        <f t="shared" si="174"/>
        <v>3.0096570000000002</v>
      </c>
      <c r="G5613" s="3">
        <f t="shared" si="175"/>
        <v>14.919657000000001</v>
      </c>
    </row>
    <row r="5614" spans="1:7" x14ac:dyDescent="0.3">
      <c r="A5614" t="s">
        <v>13039</v>
      </c>
      <c r="B5614" t="s">
        <v>11262</v>
      </c>
      <c r="C5614" t="s">
        <v>11263</v>
      </c>
      <c r="D5614" s="1" t="s">
        <v>427</v>
      </c>
      <c r="E5614" s="3">
        <v>20.66</v>
      </c>
      <c r="F5614" s="3">
        <f t="shared" si="174"/>
        <v>5.2207820000000007</v>
      </c>
      <c r="G5614" s="3">
        <f t="shared" si="175"/>
        <v>25.880782</v>
      </c>
    </row>
    <row r="5615" spans="1:7" x14ac:dyDescent="0.3">
      <c r="A5615" t="s">
        <v>13039</v>
      </c>
      <c r="B5615" t="s">
        <v>11264</v>
      </c>
      <c r="C5615" t="s">
        <v>11265</v>
      </c>
      <c r="D5615" s="1" t="s">
        <v>427</v>
      </c>
      <c r="E5615" s="3">
        <v>10.050000000000001</v>
      </c>
      <c r="F5615" s="3">
        <f t="shared" si="174"/>
        <v>2.5396350000000005</v>
      </c>
      <c r="G5615" s="3">
        <f t="shared" si="175"/>
        <v>12.589635000000001</v>
      </c>
    </row>
    <row r="5616" spans="1:7" x14ac:dyDescent="0.3">
      <c r="A5616" t="s">
        <v>13039</v>
      </c>
      <c r="B5616" t="s">
        <v>11266</v>
      </c>
      <c r="C5616" t="s">
        <v>11267</v>
      </c>
      <c r="D5616" s="1" t="s">
        <v>427</v>
      </c>
      <c r="E5616" s="3">
        <v>20.61</v>
      </c>
      <c r="F5616" s="3">
        <f t="shared" si="174"/>
        <v>5.2081470000000003</v>
      </c>
      <c r="G5616" s="3">
        <f t="shared" si="175"/>
        <v>25.818147</v>
      </c>
    </row>
    <row r="5617" spans="1:7" x14ac:dyDescent="0.3">
      <c r="A5617" t="s">
        <v>13039</v>
      </c>
      <c r="B5617" t="s">
        <v>11268</v>
      </c>
      <c r="C5617" t="s">
        <v>11269</v>
      </c>
      <c r="D5617" s="1" t="s">
        <v>427</v>
      </c>
      <c r="E5617" s="3">
        <v>10.050000000000001</v>
      </c>
      <c r="F5617" s="3">
        <f t="shared" si="174"/>
        <v>2.5396350000000005</v>
      </c>
      <c r="G5617" s="3">
        <f t="shared" si="175"/>
        <v>12.589635000000001</v>
      </c>
    </row>
    <row r="5618" spans="1:7" x14ac:dyDescent="0.3">
      <c r="A5618" t="s">
        <v>13039</v>
      </c>
      <c r="B5618" t="s">
        <v>11270</v>
      </c>
      <c r="C5618" t="s">
        <v>11271</v>
      </c>
      <c r="D5618" s="1" t="s">
        <v>427</v>
      </c>
      <c r="E5618" s="3">
        <v>22.62</v>
      </c>
      <c r="F5618" s="3">
        <f t="shared" si="174"/>
        <v>5.7160740000000008</v>
      </c>
      <c r="G5618" s="3">
        <f t="shared" si="175"/>
        <v>28.336074000000004</v>
      </c>
    </row>
    <row r="5619" spans="1:7" x14ac:dyDescent="0.3">
      <c r="A5619" t="s">
        <v>13039</v>
      </c>
      <c r="B5619" t="s">
        <v>11272</v>
      </c>
      <c r="C5619" t="s">
        <v>11273</v>
      </c>
      <c r="D5619" s="1" t="s">
        <v>427</v>
      </c>
      <c r="E5619" s="3">
        <v>12.18</v>
      </c>
      <c r="F5619" s="3">
        <f t="shared" si="174"/>
        <v>3.0778860000000003</v>
      </c>
      <c r="G5619" s="3">
        <f t="shared" si="175"/>
        <v>15.257885999999999</v>
      </c>
    </row>
    <row r="5620" spans="1:7" x14ac:dyDescent="0.3">
      <c r="A5620" t="s">
        <v>13039</v>
      </c>
      <c r="B5620" t="s">
        <v>11274</v>
      </c>
      <c r="C5620" t="s">
        <v>11275</v>
      </c>
      <c r="D5620" s="1" t="s">
        <v>427</v>
      </c>
      <c r="E5620" s="3">
        <v>20.87</v>
      </c>
      <c r="F5620" s="3">
        <f t="shared" si="174"/>
        <v>5.2738490000000011</v>
      </c>
      <c r="G5620" s="3">
        <f t="shared" si="175"/>
        <v>26.143849000000003</v>
      </c>
    </row>
    <row r="5621" spans="1:7" x14ac:dyDescent="0.3">
      <c r="A5621" t="s">
        <v>13039</v>
      </c>
      <c r="B5621" t="s">
        <v>11276</v>
      </c>
      <c r="C5621" t="s">
        <v>11277</v>
      </c>
      <c r="D5621" s="1" t="s">
        <v>427</v>
      </c>
      <c r="E5621" s="3">
        <v>11.02</v>
      </c>
      <c r="F5621" s="3">
        <f t="shared" si="174"/>
        <v>2.7847540000000004</v>
      </c>
      <c r="G5621" s="3">
        <f t="shared" si="175"/>
        <v>13.804753999999999</v>
      </c>
    </row>
    <row r="5622" spans="1:7" x14ac:dyDescent="0.3">
      <c r="A5622" t="s">
        <v>13039</v>
      </c>
      <c r="B5622" t="s">
        <v>11278</v>
      </c>
      <c r="C5622" t="s">
        <v>11279</v>
      </c>
      <c r="D5622" s="1" t="s">
        <v>427</v>
      </c>
      <c r="E5622" s="3">
        <v>20.82</v>
      </c>
      <c r="F5622" s="3">
        <f t="shared" si="174"/>
        <v>5.2612140000000007</v>
      </c>
      <c r="G5622" s="3">
        <f t="shared" si="175"/>
        <v>26.081214000000003</v>
      </c>
    </row>
    <row r="5623" spans="1:7" x14ac:dyDescent="0.3">
      <c r="A5623" t="s">
        <v>13039</v>
      </c>
      <c r="B5623" t="s">
        <v>11280</v>
      </c>
      <c r="C5623" t="s">
        <v>11281</v>
      </c>
      <c r="D5623" s="1" t="s">
        <v>427</v>
      </c>
      <c r="E5623" s="3">
        <v>10.95</v>
      </c>
      <c r="F5623" s="3">
        <f t="shared" si="174"/>
        <v>2.7670650000000001</v>
      </c>
      <c r="G5623" s="3">
        <f t="shared" si="175"/>
        <v>13.717065</v>
      </c>
    </row>
    <row r="5624" spans="1:7" x14ac:dyDescent="0.3">
      <c r="A5624" t="s">
        <v>13039</v>
      </c>
      <c r="B5624" t="s">
        <v>11282</v>
      </c>
      <c r="C5624" t="s">
        <v>11283</v>
      </c>
      <c r="D5624" s="1" t="s">
        <v>427</v>
      </c>
      <c r="E5624" s="3">
        <v>22.93</v>
      </c>
      <c r="F5624" s="3">
        <f t="shared" si="174"/>
        <v>5.7944110000000011</v>
      </c>
      <c r="G5624" s="3">
        <f t="shared" si="175"/>
        <v>28.724411</v>
      </c>
    </row>
    <row r="5625" spans="1:7" x14ac:dyDescent="0.3">
      <c r="A5625" t="s">
        <v>13039</v>
      </c>
      <c r="B5625" t="s">
        <v>11284</v>
      </c>
      <c r="C5625" t="s">
        <v>11285</v>
      </c>
      <c r="D5625" s="1" t="s">
        <v>427</v>
      </c>
      <c r="E5625" s="3">
        <v>12.53</v>
      </c>
      <c r="F5625" s="3">
        <f t="shared" si="174"/>
        <v>3.1663310000000005</v>
      </c>
      <c r="G5625" s="3">
        <f t="shared" si="175"/>
        <v>15.696331000000001</v>
      </c>
    </row>
    <row r="5626" spans="1:7" x14ac:dyDescent="0.3">
      <c r="A5626" t="s">
        <v>13039</v>
      </c>
      <c r="B5626" t="s">
        <v>11286</v>
      </c>
      <c r="C5626" t="s">
        <v>11287</v>
      </c>
      <c r="D5626" s="1" t="s">
        <v>427</v>
      </c>
      <c r="E5626" s="3">
        <v>21.07</v>
      </c>
      <c r="F5626" s="3">
        <f t="shared" si="174"/>
        <v>5.3243890000000009</v>
      </c>
      <c r="G5626" s="3">
        <f t="shared" si="175"/>
        <v>26.394389</v>
      </c>
    </row>
    <row r="5627" spans="1:7" x14ac:dyDescent="0.3">
      <c r="A5627" t="s">
        <v>13039</v>
      </c>
      <c r="B5627" t="s">
        <v>11288</v>
      </c>
      <c r="C5627" t="s">
        <v>11289</v>
      </c>
      <c r="D5627" s="1" t="s">
        <v>427</v>
      </c>
      <c r="E5627" s="3">
        <v>11.23</v>
      </c>
      <c r="F5627" s="3">
        <f t="shared" si="174"/>
        <v>2.8378210000000004</v>
      </c>
      <c r="G5627" s="3">
        <f t="shared" si="175"/>
        <v>14.067821</v>
      </c>
    </row>
    <row r="5628" spans="1:7" x14ac:dyDescent="0.3">
      <c r="A5628" t="s">
        <v>13039</v>
      </c>
      <c r="B5628" t="s">
        <v>11290</v>
      </c>
      <c r="C5628" t="s">
        <v>11291</v>
      </c>
      <c r="D5628" s="1" t="s">
        <v>427</v>
      </c>
      <c r="E5628" s="3">
        <v>21.02</v>
      </c>
      <c r="F5628" s="3">
        <f t="shared" si="174"/>
        <v>5.3117540000000005</v>
      </c>
      <c r="G5628" s="3">
        <f t="shared" si="175"/>
        <v>26.331754</v>
      </c>
    </row>
    <row r="5629" spans="1:7" x14ac:dyDescent="0.3">
      <c r="A5629" t="s">
        <v>13039</v>
      </c>
      <c r="B5629" t="s">
        <v>11292</v>
      </c>
      <c r="C5629" t="s">
        <v>11293</v>
      </c>
      <c r="D5629" s="1" t="s">
        <v>427</v>
      </c>
      <c r="E5629" s="3">
        <v>11.16</v>
      </c>
      <c r="F5629" s="3">
        <f t="shared" si="174"/>
        <v>2.8201320000000005</v>
      </c>
      <c r="G5629" s="3">
        <f t="shared" si="175"/>
        <v>13.980132000000001</v>
      </c>
    </row>
    <row r="5630" spans="1:7" x14ac:dyDescent="0.3">
      <c r="A5630" t="s">
        <v>13039</v>
      </c>
      <c r="B5630" t="s">
        <v>11294</v>
      </c>
      <c r="C5630" t="s">
        <v>11295</v>
      </c>
      <c r="D5630" s="1" t="s">
        <v>427</v>
      </c>
      <c r="E5630" s="3">
        <v>23.76</v>
      </c>
      <c r="F5630" s="3">
        <f t="shared" si="174"/>
        <v>6.0041520000000013</v>
      </c>
      <c r="G5630" s="3">
        <f t="shared" si="175"/>
        <v>29.764152000000003</v>
      </c>
    </row>
    <row r="5631" spans="1:7" x14ac:dyDescent="0.3">
      <c r="A5631" t="s">
        <v>13039</v>
      </c>
      <c r="B5631" t="s">
        <v>11296</v>
      </c>
      <c r="C5631" t="s">
        <v>11297</v>
      </c>
      <c r="D5631" s="1" t="s">
        <v>427</v>
      </c>
      <c r="E5631" s="3">
        <v>13.58</v>
      </c>
      <c r="F5631" s="3">
        <f t="shared" si="174"/>
        <v>3.4316660000000003</v>
      </c>
      <c r="G5631" s="3">
        <f t="shared" si="175"/>
        <v>17.011666000000002</v>
      </c>
    </row>
    <row r="5632" spans="1:7" x14ac:dyDescent="0.3">
      <c r="A5632" t="s">
        <v>13039</v>
      </c>
      <c r="B5632" t="s">
        <v>11298</v>
      </c>
      <c r="C5632" t="s">
        <v>11299</v>
      </c>
      <c r="D5632" s="1" t="s">
        <v>427</v>
      </c>
      <c r="E5632" s="3">
        <v>21.79</v>
      </c>
      <c r="F5632" s="3">
        <f t="shared" si="174"/>
        <v>5.5063330000000006</v>
      </c>
      <c r="G5632" s="3">
        <f t="shared" si="175"/>
        <v>27.296333000000001</v>
      </c>
    </row>
    <row r="5633" spans="1:7" x14ac:dyDescent="0.3">
      <c r="A5633" t="s">
        <v>13039</v>
      </c>
      <c r="B5633" t="s">
        <v>11300</v>
      </c>
      <c r="C5633" t="s">
        <v>11301</v>
      </c>
      <c r="D5633" s="1" t="s">
        <v>427</v>
      </c>
      <c r="E5633" s="3">
        <v>11.36</v>
      </c>
      <c r="F5633" s="3">
        <f t="shared" si="174"/>
        <v>2.8706720000000003</v>
      </c>
      <c r="G5633" s="3">
        <f t="shared" si="175"/>
        <v>14.230672</v>
      </c>
    </row>
    <row r="5634" spans="1:7" x14ac:dyDescent="0.3">
      <c r="A5634" t="s">
        <v>13039</v>
      </c>
      <c r="B5634" t="s">
        <v>11302</v>
      </c>
      <c r="C5634" t="s">
        <v>11303</v>
      </c>
      <c r="D5634" s="1" t="s">
        <v>427</v>
      </c>
      <c r="E5634" s="3">
        <v>21.73</v>
      </c>
      <c r="F5634" s="3">
        <f t="shared" si="174"/>
        <v>5.4911710000000005</v>
      </c>
      <c r="G5634" s="3">
        <f t="shared" si="175"/>
        <v>27.221171000000002</v>
      </c>
    </row>
    <row r="5635" spans="1:7" x14ac:dyDescent="0.3">
      <c r="A5635" t="s">
        <v>13039</v>
      </c>
      <c r="B5635" t="s">
        <v>11304</v>
      </c>
      <c r="C5635" t="s">
        <v>11305</v>
      </c>
      <c r="D5635" s="1" t="s">
        <v>427</v>
      </c>
      <c r="E5635" s="3">
        <v>11.29</v>
      </c>
      <c r="F5635" s="3">
        <f t="shared" si="174"/>
        <v>2.852983</v>
      </c>
      <c r="G5635" s="3">
        <f t="shared" si="175"/>
        <v>14.142982999999999</v>
      </c>
    </row>
    <row r="5636" spans="1:7" x14ac:dyDescent="0.3">
      <c r="A5636" t="s">
        <v>13039</v>
      </c>
      <c r="B5636" t="s">
        <v>11306</v>
      </c>
      <c r="C5636" t="s">
        <v>11307</v>
      </c>
      <c r="D5636" s="1" t="s">
        <v>427</v>
      </c>
      <c r="E5636" s="3">
        <v>24.29</v>
      </c>
      <c r="F5636" s="3">
        <f t="shared" si="174"/>
        <v>6.1380830000000008</v>
      </c>
      <c r="G5636" s="3">
        <f t="shared" si="175"/>
        <v>30.428083000000001</v>
      </c>
    </row>
    <row r="5637" spans="1:7" x14ac:dyDescent="0.3">
      <c r="A5637" t="s">
        <v>13039</v>
      </c>
      <c r="B5637" t="s">
        <v>11308</v>
      </c>
      <c r="C5637" t="s">
        <v>11309</v>
      </c>
      <c r="D5637" s="1" t="s">
        <v>427</v>
      </c>
      <c r="E5637" s="3">
        <v>14.1</v>
      </c>
      <c r="F5637" s="3">
        <f t="shared" si="174"/>
        <v>3.5630700000000006</v>
      </c>
      <c r="G5637" s="3">
        <f t="shared" si="175"/>
        <v>17.663070000000001</v>
      </c>
    </row>
    <row r="5638" spans="1:7" x14ac:dyDescent="0.3">
      <c r="A5638" t="s">
        <v>13039</v>
      </c>
      <c r="B5638" t="s">
        <v>11310</v>
      </c>
      <c r="C5638" t="s">
        <v>11311</v>
      </c>
      <c r="D5638" s="1" t="s">
        <v>427</v>
      </c>
      <c r="E5638" s="3">
        <v>22.17</v>
      </c>
      <c r="F5638" s="3">
        <f t="shared" si="174"/>
        <v>5.6023590000000016</v>
      </c>
      <c r="G5638" s="3">
        <f t="shared" si="175"/>
        <v>27.772359000000002</v>
      </c>
    </row>
    <row r="5639" spans="1:7" x14ac:dyDescent="0.3">
      <c r="A5639" t="s">
        <v>13039</v>
      </c>
      <c r="B5639" t="s">
        <v>11312</v>
      </c>
      <c r="C5639" t="s">
        <v>11313</v>
      </c>
      <c r="D5639" s="1" t="s">
        <v>427</v>
      </c>
      <c r="E5639" s="3">
        <v>11.77</v>
      </c>
      <c r="F5639" s="3">
        <f t="shared" ref="F5639:F5702" si="176">+E5639*$F$4</f>
        <v>2.9742790000000001</v>
      </c>
      <c r="G5639" s="3">
        <f t="shared" ref="G5639:G5702" si="177">+E5639+F5639</f>
        <v>14.744278999999999</v>
      </c>
    </row>
    <row r="5640" spans="1:7" x14ac:dyDescent="0.3">
      <c r="A5640" t="s">
        <v>13039</v>
      </c>
      <c r="B5640" t="s">
        <v>11314</v>
      </c>
      <c r="C5640" t="s">
        <v>11315</v>
      </c>
      <c r="D5640" s="1" t="s">
        <v>427</v>
      </c>
      <c r="E5640" s="3">
        <v>22.05</v>
      </c>
      <c r="F5640" s="3">
        <f t="shared" si="176"/>
        <v>5.5720350000000014</v>
      </c>
      <c r="G5640" s="3">
        <f t="shared" si="177"/>
        <v>27.622035000000004</v>
      </c>
    </row>
    <row r="5641" spans="1:7" x14ac:dyDescent="0.3">
      <c r="A5641" t="s">
        <v>13039</v>
      </c>
      <c r="B5641" t="s">
        <v>11316</v>
      </c>
      <c r="C5641" t="s">
        <v>11317</v>
      </c>
      <c r="D5641" s="1" t="s">
        <v>427</v>
      </c>
      <c r="E5641" s="3">
        <v>11.64</v>
      </c>
      <c r="F5641" s="3">
        <f t="shared" si="176"/>
        <v>2.9414280000000006</v>
      </c>
      <c r="G5641" s="3">
        <f t="shared" si="177"/>
        <v>14.581428000000001</v>
      </c>
    </row>
    <row r="5642" spans="1:7" x14ac:dyDescent="0.3">
      <c r="A5642" t="s">
        <v>13039</v>
      </c>
      <c r="B5642" t="s">
        <v>11318</v>
      </c>
      <c r="C5642" t="s">
        <v>11319</v>
      </c>
      <c r="D5642" s="1" t="s">
        <v>427</v>
      </c>
      <c r="E5642" s="3">
        <v>25.76</v>
      </c>
      <c r="F5642" s="3">
        <f t="shared" si="176"/>
        <v>6.5095520000000011</v>
      </c>
      <c r="G5642" s="3">
        <f t="shared" si="177"/>
        <v>32.269552000000004</v>
      </c>
    </row>
    <row r="5643" spans="1:7" x14ac:dyDescent="0.3">
      <c r="A5643" t="s">
        <v>13039</v>
      </c>
      <c r="B5643" t="s">
        <v>11320</v>
      </c>
      <c r="C5643" t="s">
        <v>11321</v>
      </c>
      <c r="D5643" s="1" t="s">
        <v>427</v>
      </c>
      <c r="E5643" s="3">
        <v>14.95</v>
      </c>
      <c r="F5643" s="3">
        <f t="shared" si="176"/>
        <v>3.7778650000000003</v>
      </c>
      <c r="G5643" s="3">
        <f t="shared" si="177"/>
        <v>18.727865000000001</v>
      </c>
    </row>
    <row r="5644" spans="1:7" x14ac:dyDescent="0.3">
      <c r="A5644" t="s">
        <v>13039</v>
      </c>
      <c r="B5644" t="s">
        <v>11322</v>
      </c>
      <c r="C5644" t="s">
        <v>11323</v>
      </c>
      <c r="D5644" s="1" t="s">
        <v>427</v>
      </c>
      <c r="E5644" s="3">
        <v>22.68</v>
      </c>
      <c r="F5644" s="3">
        <f t="shared" si="176"/>
        <v>5.7312360000000009</v>
      </c>
      <c r="G5644" s="3">
        <f t="shared" si="177"/>
        <v>28.411236000000002</v>
      </c>
    </row>
    <row r="5645" spans="1:7" x14ac:dyDescent="0.3">
      <c r="A5645" t="s">
        <v>13039</v>
      </c>
      <c r="B5645" t="s">
        <v>11324</v>
      </c>
      <c r="C5645" t="s">
        <v>11325</v>
      </c>
      <c r="D5645" s="1" t="s">
        <v>427</v>
      </c>
      <c r="E5645" s="3">
        <v>12.32</v>
      </c>
      <c r="F5645" s="3">
        <f t="shared" si="176"/>
        <v>3.1132640000000005</v>
      </c>
      <c r="G5645" s="3">
        <f t="shared" si="177"/>
        <v>15.433264000000001</v>
      </c>
    </row>
    <row r="5646" spans="1:7" x14ac:dyDescent="0.3">
      <c r="A5646" t="s">
        <v>13039</v>
      </c>
      <c r="B5646" t="s">
        <v>11326</v>
      </c>
      <c r="C5646" t="s">
        <v>11327</v>
      </c>
      <c r="D5646" s="1" t="s">
        <v>427</v>
      </c>
      <c r="E5646" s="3">
        <v>22.55</v>
      </c>
      <c r="F5646" s="3">
        <f t="shared" si="176"/>
        <v>5.6983850000000009</v>
      </c>
      <c r="G5646" s="3">
        <f t="shared" si="177"/>
        <v>28.248385000000003</v>
      </c>
    </row>
    <row r="5647" spans="1:7" x14ac:dyDescent="0.3">
      <c r="A5647" t="s">
        <v>13039</v>
      </c>
      <c r="B5647" t="s">
        <v>11328</v>
      </c>
      <c r="C5647" t="s">
        <v>11329</v>
      </c>
      <c r="D5647" s="1" t="s">
        <v>427</v>
      </c>
      <c r="E5647" s="3">
        <v>12.18</v>
      </c>
      <c r="F5647" s="3">
        <f t="shared" si="176"/>
        <v>3.0778860000000003</v>
      </c>
      <c r="G5647" s="3">
        <f t="shared" si="177"/>
        <v>15.257885999999999</v>
      </c>
    </row>
    <row r="5648" spans="1:7" x14ac:dyDescent="0.3">
      <c r="A5648" t="s">
        <v>13039</v>
      </c>
      <c r="B5648" t="s">
        <v>11330</v>
      </c>
      <c r="C5648" t="s">
        <v>11331</v>
      </c>
      <c r="D5648" s="1" t="s">
        <v>427</v>
      </c>
      <c r="E5648" s="3">
        <v>20</v>
      </c>
      <c r="F5648" s="3">
        <f t="shared" si="176"/>
        <v>5.0540000000000003</v>
      </c>
      <c r="G5648" s="3">
        <f t="shared" si="177"/>
        <v>25.054000000000002</v>
      </c>
    </row>
    <row r="5649" spans="1:7" x14ac:dyDescent="0.3">
      <c r="A5649" t="s">
        <v>13039</v>
      </c>
      <c r="B5649" t="s">
        <v>11332</v>
      </c>
      <c r="C5649" t="s">
        <v>11333</v>
      </c>
      <c r="D5649" s="1" t="s">
        <v>427</v>
      </c>
      <c r="E5649" s="3">
        <v>9.43</v>
      </c>
      <c r="F5649" s="3">
        <f t="shared" si="176"/>
        <v>2.3829610000000003</v>
      </c>
      <c r="G5649" s="3">
        <f t="shared" si="177"/>
        <v>11.812961</v>
      </c>
    </row>
    <row r="5650" spans="1:7" x14ac:dyDescent="0.3">
      <c r="A5650" t="s">
        <v>13039</v>
      </c>
      <c r="B5650" t="s">
        <v>11334</v>
      </c>
      <c r="C5650" t="s">
        <v>11335</v>
      </c>
      <c r="D5650" s="1" t="s">
        <v>427</v>
      </c>
      <c r="E5650" s="3">
        <v>18.96</v>
      </c>
      <c r="F5650" s="3">
        <f t="shared" si="176"/>
        <v>4.7911920000000006</v>
      </c>
      <c r="G5650" s="3">
        <f t="shared" si="177"/>
        <v>23.751192000000003</v>
      </c>
    </row>
    <row r="5651" spans="1:7" x14ac:dyDescent="0.3">
      <c r="A5651" t="s">
        <v>13039</v>
      </c>
      <c r="B5651" t="s">
        <v>11336</v>
      </c>
      <c r="C5651" t="s">
        <v>11337</v>
      </c>
      <c r="D5651" s="1" t="s">
        <v>427</v>
      </c>
      <c r="E5651" s="3">
        <v>8.92</v>
      </c>
      <c r="F5651" s="3">
        <f t="shared" si="176"/>
        <v>2.2540840000000002</v>
      </c>
      <c r="G5651" s="3">
        <f t="shared" si="177"/>
        <v>11.174084000000001</v>
      </c>
    </row>
    <row r="5652" spans="1:7" x14ac:dyDescent="0.3">
      <c r="A5652" t="s">
        <v>13039</v>
      </c>
      <c r="B5652" t="s">
        <v>11338</v>
      </c>
      <c r="C5652" t="s">
        <v>11339</v>
      </c>
      <c r="D5652" s="1" t="s">
        <v>427</v>
      </c>
      <c r="E5652" s="3">
        <v>19.04</v>
      </c>
      <c r="F5652" s="3">
        <f t="shared" si="176"/>
        <v>4.8114080000000001</v>
      </c>
      <c r="G5652" s="3">
        <f t="shared" si="177"/>
        <v>23.851407999999999</v>
      </c>
    </row>
    <row r="5653" spans="1:7" x14ac:dyDescent="0.3">
      <c r="A5653" t="s">
        <v>13039</v>
      </c>
      <c r="B5653" t="s">
        <v>11340</v>
      </c>
      <c r="C5653" t="s">
        <v>11341</v>
      </c>
      <c r="D5653" s="1" t="s">
        <v>427</v>
      </c>
      <c r="E5653" s="3">
        <v>9.02</v>
      </c>
      <c r="F5653" s="3">
        <f t="shared" si="176"/>
        <v>2.2793540000000001</v>
      </c>
      <c r="G5653" s="3">
        <f t="shared" si="177"/>
        <v>11.299353999999999</v>
      </c>
    </row>
    <row r="5654" spans="1:7" x14ac:dyDescent="0.3">
      <c r="A5654" t="s">
        <v>13039</v>
      </c>
      <c r="B5654" t="s">
        <v>11342</v>
      </c>
      <c r="C5654" t="s">
        <v>11343</v>
      </c>
      <c r="D5654" s="1" t="s">
        <v>427</v>
      </c>
      <c r="E5654" s="3">
        <v>20.41</v>
      </c>
      <c r="F5654" s="3">
        <f t="shared" si="176"/>
        <v>5.1576070000000005</v>
      </c>
      <c r="G5654" s="3">
        <f t="shared" si="177"/>
        <v>25.567607000000002</v>
      </c>
    </row>
    <row r="5655" spans="1:7" x14ac:dyDescent="0.3">
      <c r="A5655" t="s">
        <v>13039</v>
      </c>
      <c r="B5655" t="s">
        <v>11344</v>
      </c>
      <c r="C5655" t="s">
        <v>11345</v>
      </c>
      <c r="D5655" s="1" t="s">
        <v>427</v>
      </c>
      <c r="E5655" s="3">
        <v>9.84</v>
      </c>
      <c r="F5655" s="3">
        <f t="shared" si="176"/>
        <v>2.4865680000000001</v>
      </c>
      <c r="G5655" s="3">
        <f t="shared" si="177"/>
        <v>12.326568</v>
      </c>
    </row>
    <row r="5656" spans="1:7" x14ac:dyDescent="0.3">
      <c r="A5656" t="s">
        <v>13039</v>
      </c>
      <c r="B5656" t="s">
        <v>11346</v>
      </c>
      <c r="C5656" t="s">
        <v>11347</v>
      </c>
      <c r="D5656" s="1" t="s">
        <v>427</v>
      </c>
      <c r="E5656" s="3">
        <v>19.27</v>
      </c>
      <c r="F5656" s="3">
        <f t="shared" si="176"/>
        <v>4.8695290000000009</v>
      </c>
      <c r="G5656" s="3">
        <f t="shared" si="177"/>
        <v>24.139529</v>
      </c>
    </row>
    <row r="5657" spans="1:7" x14ac:dyDescent="0.3">
      <c r="A5657" t="s">
        <v>13039</v>
      </c>
      <c r="B5657" t="s">
        <v>11348</v>
      </c>
      <c r="C5657" t="s">
        <v>11349</v>
      </c>
      <c r="D5657" s="1" t="s">
        <v>427</v>
      </c>
      <c r="E5657" s="3">
        <v>9.23</v>
      </c>
      <c r="F5657" s="3">
        <f t="shared" si="176"/>
        <v>2.3324210000000005</v>
      </c>
      <c r="G5657" s="3">
        <f t="shared" si="177"/>
        <v>11.562421000000001</v>
      </c>
    </row>
    <row r="5658" spans="1:7" x14ac:dyDescent="0.3">
      <c r="A5658" t="s">
        <v>13039</v>
      </c>
      <c r="B5658" t="s">
        <v>11350</v>
      </c>
      <c r="C5658" t="s">
        <v>11351</v>
      </c>
      <c r="D5658" s="1" t="s">
        <v>427</v>
      </c>
      <c r="E5658" s="3">
        <v>19.850000000000001</v>
      </c>
      <c r="F5658" s="3">
        <f t="shared" si="176"/>
        <v>5.0160950000000009</v>
      </c>
      <c r="G5658" s="3">
        <f t="shared" si="177"/>
        <v>24.866095000000001</v>
      </c>
    </row>
    <row r="5659" spans="1:7" x14ac:dyDescent="0.3">
      <c r="A5659" t="s">
        <v>13039</v>
      </c>
      <c r="B5659" t="s">
        <v>11352</v>
      </c>
      <c r="C5659" t="s">
        <v>11353</v>
      </c>
      <c r="D5659" s="1" t="s">
        <v>427</v>
      </c>
      <c r="E5659" s="3">
        <v>9.2799999999999994</v>
      </c>
      <c r="F5659" s="3">
        <f t="shared" si="176"/>
        <v>2.345056</v>
      </c>
      <c r="G5659" s="3">
        <f t="shared" si="177"/>
        <v>11.625055999999999</v>
      </c>
    </row>
    <row r="5660" spans="1:7" x14ac:dyDescent="0.3">
      <c r="A5660" t="s">
        <v>13039</v>
      </c>
      <c r="B5660" t="s">
        <v>11354</v>
      </c>
      <c r="C5660" t="s">
        <v>11355</v>
      </c>
      <c r="D5660" s="1" t="s">
        <v>427</v>
      </c>
      <c r="E5660" s="3">
        <v>18.96</v>
      </c>
      <c r="F5660" s="3">
        <f t="shared" si="176"/>
        <v>4.7911920000000006</v>
      </c>
      <c r="G5660" s="3">
        <f t="shared" si="177"/>
        <v>23.751192000000003</v>
      </c>
    </row>
    <row r="5661" spans="1:7" x14ac:dyDescent="0.3">
      <c r="A5661" t="s">
        <v>13039</v>
      </c>
      <c r="B5661" t="s">
        <v>11356</v>
      </c>
      <c r="C5661" t="s">
        <v>11357</v>
      </c>
      <c r="D5661" s="1" t="s">
        <v>427</v>
      </c>
      <c r="E5661" s="3">
        <v>8.92</v>
      </c>
      <c r="F5661" s="3">
        <f t="shared" si="176"/>
        <v>2.2540840000000002</v>
      </c>
      <c r="G5661" s="3">
        <f t="shared" si="177"/>
        <v>11.174084000000001</v>
      </c>
    </row>
    <row r="5662" spans="1:7" x14ac:dyDescent="0.3">
      <c r="A5662" t="s">
        <v>13039</v>
      </c>
      <c r="B5662" t="s">
        <v>11358</v>
      </c>
      <c r="C5662" t="s">
        <v>11359</v>
      </c>
      <c r="D5662" s="1" t="s">
        <v>427</v>
      </c>
      <c r="E5662" s="3">
        <v>18.66</v>
      </c>
      <c r="F5662" s="3">
        <f t="shared" si="176"/>
        <v>4.7153820000000009</v>
      </c>
      <c r="G5662" s="3">
        <f t="shared" si="177"/>
        <v>23.375382000000002</v>
      </c>
    </row>
    <row r="5663" spans="1:7" x14ac:dyDescent="0.3">
      <c r="A5663" t="s">
        <v>13039</v>
      </c>
      <c r="B5663" t="s">
        <v>11360</v>
      </c>
      <c r="C5663" t="s">
        <v>11361</v>
      </c>
      <c r="D5663" s="1" t="s">
        <v>427</v>
      </c>
      <c r="E5663" s="3">
        <v>8.61</v>
      </c>
      <c r="F5663" s="3">
        <f t="shared" si="176"/>
        <v>2.1757470000000003</v>
      </c>
      <c r="G5663" s="3">
        <f t="shared" si="177"/>
        <v>10.785747000000001</v>
      </c>
    </row>
    <row r="5664" spans="1:7" x14ac:dyDescent="0.3">
      <c r="A5664" t="s">
        <v>13039</v>
      </c>
      <c r="B5664" t="s">
        <v>11362</v>
      </c>
      <c r="C5664" t="s">
        <v>11363</v>
      </c>
      <c r="D5664" s="1" t="s">
        <v>427</v>
      </c>
      <c r="E5664" s="3">
        <v>18.77</v>
      </c>
      <c r="F5664" s="3">
        <f t="shared" si="176"/>
        <v>4.7431790000000005</v>
      </c>
      <c r="G5664" s="3">
        <f t="shared" si="177"/>
        <v>23.513179000000001</v>
      </c>
    </row>
    <row r="5665" spans="1:7" x14ac:dyDescent="0.3">
      <c r="A5665" t="s">
        <v>13039</v>
      </c>
      <c r="B5665" t="s">
        <v>11364</v>
      </c>
      <c r="C5665" t="s">
        <v>11365</v>
      </c>
      <c r="D5665" s="1" t="s">
        <v>427</v>
      </c>
      <c r="E5665" s="3">
        <v>8.7100000000000009</v>
      </c>
      <c r="F5665" s="3">
        <f t="shared" si="176"/>
        <v>2.2010170000000007</v>
      </c>
      <c r="G5665" s="3">
        <f t="shared" si="177"/>
        <v>10.911017000000001</v>
      </c>
    </row>
    <row r="5666" spans="1:7" x14ac:dyDescent="0.3">
      <c r="A5666" t="s">
        <v>13039</v>
      </c>
      <c r="B5666" t="s">
        <v>11366</v>
      </c>
      <c r="C5666" t="s">
        <v>11367</v>
      </c>
      <c r="D5666" s="1" t="s">
        <v>427</v>
      </c>
      <c r="E5666" s="3">
        <v>9.75</v>
      </c>
      <c r="F5666" s="3">
        <f t="shared" si="176"/>
        <v>2.4638250000000004</v>
      </c>
      <c r="G5666" s="3">
        <f t="shared" si="177"/>
        <v>12.213825</v>
      </c>
    </row>
    <row r="5667" spans="1:7" x14ac:dyDescent="0.3">
      <c r="A5667" t="s">
        <v>13039</v>
      </c>
      <c r="B5667" t="s">
        <v>11368</v>
      </c>
      <c r="C5667" t="s">
        <v>11369</v>
      </c>
      <c r="D5667" s="1" t="s">
        <v>427</v>
      </c>
      <c r="E5667" s="3">
        <v>20.82</v>
      </c>
      <c r="F5667" s="3">
        <f t="shared" si="176"/>
        <v>5.2612140000000007</v>
      </c>
      <c r="G5667" s="3">
        <f t="shared" si="177"/>
        <v>26.081214000000003</v>
      </c>
    </row>
    <row r="5668" spans="1:7" x14ac:dyDescent="0.3">
      <c r="A5668" t="s">
        <v>13039</v>
      </c>
      <c r="B5668" t="s">
        <v>11370</v>
      </c>
      <c r="C5668" t="s">
        <v>11371</v>
      </c>
      <c r="D5668" s="1" t="s">
        <v>427</v>
      </c>
      <c r="E5668" s="3">
        <v>10.95</v>
      </c>
      <c r="F5668" s="3">
        <f t="shared" si="176"/>
        <v>2.7670650000000001</v>
      </c>
      <c r="G5668" s="3">
        <f t="shared" si="177"/>
        <v>13.717065</v>
      </c>
    </row>
    <row r="5669" spans="1:7" x14ac:dyDescent="0.3">
      <c r="A5669" t="s">
        <v>13039</v>
      </c>
      <c r="B5669" t="s">
        <v>11372</v>
      </c>
      <c r="C5669" t="s">
        <v>11373</v>
      </c>
      <c r="D5669" s="1" t="s">
        <v>427</v>
      </c>
      <c r="E5669" s="3">
        <v>20.05</v>
      </c>
      <c r="F5669" s="3">
        <f t="shared" si="176"/>
        <v>5.0666350000000007</v>
      </c>
      <c r="G5669" s="3">
        <f t="shared" si="177"/>
        <v>25.116635000000002</v>
      </c>
    </row>
    <row r="5670" spans="1:7" x14ac:dyDescent="0.3">
      <c r="A5670" t="s">
        <v>13039</v>
      </c>
      <c r="B5670" t="s">
        <v>11374</v>
      </c>
      <c r="C5670" t="s">
        <v>11375</v>
      </c>
      <c r="D5670" s="1" t="s">
        <v>427</v>
      </c>
      <c r="E5670" s="3">
        <v>9.43</v>
      </c>
      <c r="F5670" s="3">
        <f t="shared" si="176"/>
        <v>2.3829610000000003</v>
      </c>
      <c r="G5670" s="3">
        <f t="shared" si="177"/>
        <v>11.812961</v>
      </c>
    </row>
    <row r="5671" spans="1:7" x14ac:dyDescent="0.3">
      <c r="A5671" t="s">
        <v>13039</v>
      </c>
      <c r="B5671" t="s">
        <v>11376</v>
      </c>
      <c r="C5671" t="s">
        <v>11377</v>
      </c>
      <c r="D5671" s="1" t="s">
        <v>427</v>
      </c>
      <c r="E5671" s="3">
        <v>20.05</v>
      </c>
      <c r="F5671" s="3">
        <f t="shared" si="176"/>
        <v>5.0666350000000007</v>
      </c>
      <c r="G5671" s="3">
        <f t="shared" si="177"/>
        <v>25.116635000000002</v>
      </c>
    </row>
    <row r="5672" spans="1:7" x14ac:dyDescent="0.3">
      <c r="A5672" t="s">
        <v>13039</v>
      </c>
      <c r="B5672" t="s">
        <v>11378</v>
      </c>
      <c r="C5672" t="s">
        <v>11379</v>
      </c>
      <c r="D5672" s="1" t="s">
        <v>427</v>
      </c>
      <c r="E5672" s="3">
        <v>9.48</v>
      </c>
      <c r="F5672" s="3">
        <f t="shared" si="176"/>
        <v>2.3955960000000003</v>
      </c>
      <c r="G5672" s="3">
        <f t="shared" si="177"/>
        <v>11.875596000000002</v>
      </c>
    </row>
    <row r="5673" spans="1:7" x14ac:dyDescent="0.3">
      <c r="A5673" t="s">
        <v>13039</v>
      </c>
      <c r="B5673" t="s">
        <v>11380</v>
      </c>
      <c r="C5673" t="s">
        <v>11381</v>
      </c>
      <c r="D5673" s="1" t="s">
        <v>427</v>
      </c>
      <c r="E5673" s="3">
        <v>21.12</v>
      </c>
      <c r="F5673" s="3">
        <f t="shared" si="176"/>
        <v>5.3370240000000013</v>
      </c>
      <c r="G5673" s="3">
        <f t="shared" si="177"/>
        <v>26.457024000000004</v>
      </c>
    </row>
    <row r="5674" spans="1:7" x14ac:dyDescent="0.3">
      <c r="A5674" t="s">
        <v>13039</v>
      </c>
      <c r="B5674" t="s">
        <v>11382</v>
      </c>
      <c r="C5674" t="s">
        <v>11383</v>
      </c>
      <c r="D5674" s="1" t="s">
        <v>427</v>
      </c>
      <c r="E5674" s="3">
        <v>11.29</v>
      </c>
      <c r="F5674" s="3">
        <f t="shared" si="176"/>
        <v>2.852983</v>
      </c>
      <c r="G5674" s="3">
        <f t="shared" si="177"/>
        <v>14.142982999999999</v>
      </c>
    </row>
    <row r="5675" spans="1:7" x14ac:dyDescent="0.3">
      <c r="A5675" t="s">
        <v>13039</v>
      </c>
      <c r="B5675" t="s">
        <v>11384</v>
      </c>
      <c r="C5675" t="s">
        <v>11385</v>
      </c>
      <c r="D5675" s="1" t="s">
        <v>427</v>
      </c>
      <c r="E5675" s="3">
        <v>20.260000000000002</v>
      </c>
      <c r="F5675" s="3">
        <f t="shared" si="176"/>
        <v>5.1197020000000011</v>
      </c>
      <c r="G5675" s="3">
        <f t="shared" si="177"/>
        <v>25.379702000000002</v>
      </c>
    </row>
    <row r="5676" spans="1:7" x14ac:dyDescent="0.3">
      <c r="A5676" t="s">
        <v>13039</v>
      </c>
      <c r="B5676" t="s">
        <v>11386</v>
      </c>
      <c r="C5676" t="s">
        <v>11387</v>
      </c>
      <c r="D5676" s="1" t="s">
        <v>427</v>
      </c>
      <c r="E5676" s="3">
        <v>9.69</v>
      </c>
      <c r="F5676" s="3">
        <f t="shared" si="176"/>
        <v>2.4486630000000003</v>
      </c>
      <c r="G5676" s="3">
        <f t="shared" si="177"/>
        <v>12.138662999999999</v>
      </c>
    </row>
    <row r="5677" spans="1:7" x14ac:dyDescent="0.3">
      <c r="A5677" t="s">
        <v>13039</v>
      </c>
      <c r="B5677" t="s">
        <v>11388</v>
      </c>
      <c r="C5677" t="s">
        <v>11389</v>
      </c>
      <c r="D5677" s="1" t="s">
        <v>427</v>
      </c>
      <c r="E5677" s="3">
        <v>20.260000000000002</v>
      </c>
      <c r="F5677" s="3">
        <f t="shared" si="176"/>
        <v>5.1197020000000011</v>
      </c>
      <c r="G5677" s="3">
        <f t="shared" si="177"/>
        <v>25.379702000000002</v>
      </c>
    </row>
    <row r="5678" spans="1:7" x14ac:dyDescent="0.3">
      <c r="A5678" t="s">
        <v>13039</v>
      </c>
      <c r="B5678" t="s">
        <v>11390</v>
      </c>
      <c r="C5678" t="s">
        <v>11391</v>
      </c>
      <c r="D5678" s="1" t="s">
        <v>427</v>
      </c>
      <c r="E5678" s="3">
        <v>9.69</v>
      </c>
      <c r="F5678" s="3">
        <f t="shared" si="176"/>
        <v>2.4486630000000003</v>
      </c>
      <c r="G5678" s="3">
        <f t="shared" si="177"/>
        <v>12.138662999999999</v>
      </c>
    </row>
    <row r="5679" spans="1:7" x14ac:dyDescent="0.3">
      <c r="A5679" t="s">
        <v>13039</v>
      </c>
      <c r="B5679" t="s">
        <v>11392</v>
      </c>
      <c r="C5679" t="s">
        <v>11393</v>
      </c>
      <c r="D5679" s="1" t="s">
        <v>427</v>
      </c>
      <c r="E5679" s="3">
        <v>16.149999999999999</v>
      </c>
      <c r="F5679" s="3">
        <f t="shared" si="176"/>
        <v>4.081105</v>
      </c>
      <c r="G5679" s="3">
        <f t="shared" si="177"/>
        <v>20.231104999999999</v>
      </c>
    </row>
    <row r="5680" spans="1:7" x14ac:dyDescent="0.3">
      <c r="A5680" t="s">
        <v>13039</v>
      </c>
      <c r="B5680" t="s">
        <v>11394</v>
      </c>
      <c r="C5680" t="s">
        <v>11395</v>
      </c>
      <c r="D5680" s="1" t="s">
        <v>427</v>
      </c>
      <c r="E5680" s="3">
        <v>26.21</v>
      </c>
      <c r="F5680" s="3">
        <f t="shared" si="176"/>
        <v>6.6232670000000011</v>
      </c>
      <c r="G5680" s="3">
        <f t="shared" si="177"/>
        <v>32.833266999999999</v>
      </c>
    </row>
    <row r="5681" spans="1:7" x14ac:dyDescent="0.3">
      <c r="A5681" t="s">
        <v>13039</v>
      </c>
      <c r="B5681" t="s">
        <v>11396</v>
      </c>
      <c r="C5681" t="s">
        <v>11397</v>
      </c>
      <c r="D5681" s="1" t="s">
        <v>427</v>
      </c>
      <c r="E5681" s="3">
        <v>12.59</v>
      </c>
      <c r="F5681" s="3">
        <f t="shared" si="176"/>
        <v>3.1814930000000006</v>
      </c>
      <c r="G5681" s="3">
        <f t="shared" si="177"/>
        <v>15.771493</v>
      </c>
    </row>
    <row r="5682" spans="1:7" x14ac:dyDescent="0.3">
      <c r="A5682" t="s">
        <v>13039</v>
      </c>
      <c r="B5682" t="s">
        <v>11398</v>
      </c>
      <c r="C5682" t="s">
        <v>11399</v>
      </c>
      <c r="D5682" s="1" t="s">
        <v>427</v>
      </c>
      <c r="E5682" s="3">
        <v>22.81</v>
      </c>
      <c r="F5682" s="3">
        <f t="shared" si="176"/>
        <v>5.7640870000000008</v>
      </c>
      <c r="G5682" s="3">
        <f t="shared" si="177"/>
        <v>28.574086999999999</v>
      </c>
    </row>
    <row r="5683" spans="1:7" x14ac:dyDescent="0.3">
      <c r="A5683" t="s">
        <v>13039</v>
      </c>
      <c r="B5683" t="s">
        <v>11400</v>
      </c>
      <c r="C5683" t="s">
        <v>11401</v>
      </c>
      <c r="D5683" s="1" t="s">
        <v>427</v>
      </c>
      <c r="E5683" s="3">
        <v>12.46</v>
      </c>
      <c r="F5683" s="3">
        <f t="shared" si="176"/>
        <v>3.1486420000000006</v>
      </c>
      <c r="G5683" s="3">
        <f t="shared" si="177"/>
        <v>15.608642000000001</v>
      </c>
    </row>
    <row r="5684" spans="1:7" x14ac:dyDescent="0.3">
      <c r="A5684" t="s">
        <v>13039</v>
      </c>
      <c r="B5684" t="s">
        <v>11402</v>
      </c>
      <c r="C5684" t="s">
        <v>11403</v>
      </c>
      <c r="D5684" s="1" t="s">
        <v>427</v>
      </c>
      <c r="E5684" s="3">
        <v>23.53</v>
      </c>
      <c r="F5684" s="3">
        <f t="shared" si="176"/>
        <v>5.9460310000000014</v>
      </c>
      <c r="G5684" s="3">
        <f t="shared" si="177"/>
        <v>29.476031000000003</v>
      </c>
    </row>
    <row r="5685" spans="1:7" x14ac:dyDescent="0.3">
      <c r="A5685" t="s">
        <v>13039</v>
      </c>
      <c r="B5685" t="s">
        <v>11404</v>
      </c>
      <c r="C5685" t="s">
        <v>11405</v>
      </c>
      <c r="D5685" s="1" t="s">
        <v>427</v>
      </c>
      <c r="E5685" s="3">
        <v>50.76</v>
      </c>
      <c r="F5685" s="3">
        <f t="shared" si="176"/>
        <v>12.827052000000002</v>
      </c>
      <c r="G5685" s="3">
        <f t="shared" si="177"/>
        <v>63.587052</v>
      </c>
    </row>
    <row r="5686" spans="1:7" x14ac:dyDescent="0.3">
      <c r="A5686" t="s">
        <v>13039</v>
      </c>
      <c r="B5686" t="s">
        <v>11406</v>
      </c>
      <c r="C5686" t="s">
        <v>11407</v>
      </c>
      <c r="D5686" s="1" t="s">
        <v>427</v>
      </c>
      <c r="E5686" s="3">
        <v>49.19</v>
      </c>
      <c r="F5686" s="3">
        <f t="shared" si="176"/>
        <v>12.430313000000002</v>
      </c>
      <c r="G5686" s="3">
        <f t="shared" si="177"/>
        <v>61.620312999999996</v>
      </c>
    </row>
    <row r="5687" spans="1:7" x14ac:dyDescent="0.3">
      <c r="A5687" t="s">
        <v>13039</v>
      </c>
      <c r="B5687" t="s">
        <v>11408</v>
      </c>
      <c r="C5687" t="s">
        <v>11409</v>
      </c>
      <c r="D5687" s="1" t="s">
        <v>427</v>
      </c>
      <c r="E5687" s="3">
        <v>47.16</v>
      </c>
      <c r="F5687" s="3">
        <f t="shared" si="176"/>
        <v>11.917332</v>
      </c>
      <c r="G5687" s="3">
        <f t="shared" si="177"/>
        <v>59.077331999999998</v>
      </c>
    </row>
    <row r="5688" spans="1:7" x14ac:dyDescent="0.3">
      <c r="A5688" t="s">
        <v>13039</v>
      </c>
      <c r="B5688" t="s">
        <v>11410</v>
      </c>
      <c r="C5688" t="s">
        <v>11411</v>
      </c>
      <c r="D5688" s="1" t="s">
        <v>427</v>
      </c>
      <c r="E5688" s="3">
        <v>51.32</v>
      </c>
      <c r="F5688" s="3">
        <f t="shared" si="176"/>
        <v>12.968564000000002</v>
      </c>
      <c r="G5688" s="3">
        <f t="shared" si="177"/>
        <v>64.288564000000008</v>
      </c>
    </row>
    <row r="5689" spans="1:7" x14ac:dyDescent="0.3">
      <c r="A5689" t="s">
        <v>13039</v>
      </c>
      <c r="B5689" t="s">
        <v>11412</v>
      </c>
      <c r="C5689" t="s">
        <v>11413</v>
      </c>
      <c r="D5689" s="1" t="s">
        <v>427</v>
      </c>
      <c r="E5689" s="3">
        <v>49.52</v>
      </c>
      <c r="F5689" s="3">
        <f t="shared" si="176"/>
        <v>12.513704000000002</v>
      </c>
      <c r="G5689" s="3">
        <f t="shared" si="177"/>
        <v>62.033704000000007</v>
      </c>
    </row>
    <row r="5690" spans="1:7" x14ac:dyDescent="0.3">
      <c r="A5690" t="s">
        <v>13039</v>
      </c>
      <c r="B5690" t="s">
        <v>11414</v>
      </c>
      <c r="C5690" t="s">
        <v>11415</v>
      </c>
      <c r="D5690" s="1" t="s">
        <v>427</v>
      </c>
      <c r="E5690" s="3">
        <v>49.19</v>
      </c>
      <c r="F5690" s="3">
        <f t="shared" si="176"/>
        <v>12.430313000000002</v>
      </c>
      <c r="G5690" s="3">
        <f t="shared" si="177"/>
        <v>61.620312999999996</v>
      </c>
    </row>
    <row r="5691" spans="1:7" x14ac:dyDescent="0.3">
      <c r="A5691" t="s">
        <v>13039</v>
      </c>
      <c r="B5691" t="s">
        <v>11416</v>
      </c>
      <c r="C5691" t="s">
        <v>11417</v>
      </c>
      <c r="D5691" s="1" t="s">
        <v>427</v>
      </c>
      <c r="E5691" s="3">
        <v>51.77</v>
      </c>
      <c r="F5691" s="3">
        <f t="shared" si="176"/>
        <v>13.082279000000003</v>
      </c>
      <c r="G5691" s="3">
        <f t="shared" si="177"/>
        <v>64.85227900000001</v>
      </c>
    </row>
    <row r="5692" spans="1:7" x14ac:dyDescent="0.3">
      <c r="A5692" t="s">
        <v>13039</v>
      </c>
      <c r="B5692" t="s">
        <v>11418</v>
      </c>
      <c r="C5692" t="s">
        <v>11419</v>
      </c>
      <c r="D5692" s="1" t="s">
        <v>427</v>
      </c>
      <c r="E5692" s="3">
        <v>49.86</v>
      </c>
      <c r="F5692" s="3">
        <f t="shared" si="176"/>
        <v>12.599622000000002</v>
      </c>
      <c r="G5692" s="3">
        <f t="shared" si="177"/>
        <v>62.459622000000003</v>
      </c>
    </row>
    <row r="5693" spans="1:7" x14ac:dyDescent="0.3">
      <c r="A5693" t="s">
        <v>13039</v>
      </c>
      <c r="B5693" t="s">
        <v>11420</v>
      </c>
      <c r="C5693" t="s">
        <v>11421</v>
      </c>
      <c r="D5693" s="1" t="s">
        <v>427</v>
      </c>
      <c r="E5693" s="3">
        <v>49.52</v>
      </c>
      <c r="F5693" s="3">
        <f t="shared" si="176"/>
        <v>12.513704000000002</v>
      </c>
      <c r="G5693" s="3">
        <f t="shared" si="177"/>
        <v>62.033704000000007</v>
      </c>
    </row>
    <row r="5694" spans="1:7" x14ac:dyDescent="0.3">
      <c r="A5694" t="s">
        <v>13039</v>
      </c>
      <c r="B5694" t="s">
        <v>11422</v>
      </c>
      <c r="C5694" t="s">
        <v>11423</v>
      </c>
      <c r="D5694" s="1" t="s">
        <v>427</v>
      </c>
      <c r="E5694" s="3">
        <v>52.22</v>
      </c>
      <c r="F5694" s="3">
        <f t="shared" si="176"/>
        <v>13.195994000000002</v>
      </c>
      <c r="G5694" s="3">
        <f t="shared" si="177"/>
        <v>65.415993999999998</v>
      </c>
    </row>
    <row r="5695" spans="1:7" x14ac:dyDescent="0.3">
      <c r="A5695" t="s">
        <v>13039</v>
      </c>
      <c r="B5695" t="s">
        <v>11424</v>
      </c>
      <c r="C5695" t="s">
        <v>11425</v>
      </c>
      <c r="D5695" s="1" t="s">
        <v>427</v>
      </c>
      <c r="E5695" s="3">
        <v>50.2</v>
      </c>
      <c r="F5695" s="3">
        <f t="shared" si="176"/>
        <v>12.685540000000003</v>
      </c>
      <c r="G5695" s="3">
        <f t="shared" si="177"/>
        <v>62.885540000000006</v>
      </c>
    </row>
    <row r="5696" spans="1:7" x14ac:dyDescent="0.3">
      <c r="A5696" t="s">
        <v>13039</v>
      </c>
      <c r="B5696" t="s">
        <v>11426</v>
      </c>
      <c r="C5696" t="s">
        <v>11427</v>
      </c>
      <c r="D5696" s="1" t="s">
        <v>427</v>
      </c>
      <c r="E5696" s="3">
        <v>49.75</v>
      </c>
      <c r="F5696" s="3">
        <f t="shared" si="176"/>
        <v>12.571825000000002</v>
      </c>
      <c r="G5696" s="3">
        <f t="shared" si="177"/>
        <v>62.321825000000004</v>
      </c>
    </row>
    <row r="5697" spans="1:7" x14ac:dyDescent="0.3">
      <c r="A5697" t="s">
        <v>13039</v>
      </c>
      <c r="B5697" t="s">
        <v>11428</v>
      </c>
      <c r="C5697" t="s">
        <v>11429</v>
      </c>
      <c r="D5697" s="1" t="s">
        <v>427</v>
      </c>
      <c r="E5697" s="3">
        <v>54.58</v>
      </c>
      <c r="F5697" s="3">
        <f t="shared" si="176"/>
        <v>13.792366000000001</v>
      </c>
      <c r="G5697" s="3">
        <f t="shared" si="177"/>
        <v>68.372366</v>
      </c>
    </row>
    <row r="5698" spans="1:7" x14ac:dyDescent="0.3">
      <c r="A5698" t="s">
        <v>13039</v>
      </c>
      <c r="B5698" t="s">
        <v>11430</v>
      </c>
      <c r="C5698" t="s">
        <v>11431</v>
      </c>
      <c r="D5698" s="1" t="s">
        <v>427</v>
      </c>
      <c r="E5698" s="3">
        <v>50.42</v>
      </c>
      <c r="F5698" s="3">
        <f t="shared" si="176"/>
        <v>12.741134000000002</v>
      </c>
      <c r="G5698" s="3">
        <f t="shared" si="177"/>
        <v>63.161134000000004</v>
      </c>
    </row>
    <row r="5699" spans="1:7" x14ac:dyDescent="0.3">
      <c r="A5699" t="s">
        <v>13039</v>
      </c>
      <c r="B5699" t="s">
        <v>11432</v>
      </c>
      <c r="C5699" t="s">
        <v>11433</v>
      </c>
      <c r="D5699" s="1" t="s">
        <v>427</v>
      </c>
      <c r="E5699" s="3">
        <v>50.09</v>
      </c>
      <c r="F5699" s="3">
        <f t="shared" si="176"/>
        <v>12.657743000000004</v>
      </c>
      <c r="G5699" s="3">
        <f t="shared" si="177"/>
        <v>62.747743000000007</v>
      </c>
    </row>
    <row r="5700" spans="1:7" x14ac:dyDescent="0.3">
      <c r="A5700" t="s">
        <v>13039</v>
      </c>
      <c r="B5700" t="s">
        <v>11434</v>
      </c>
      <c r="C5700" t="s">
        <v>11435</v>
      </c>
      <c r="D5700" s="1" t="s">
        <v>427</v>
      </c>
      <c r="E5700" s="3">
        <v>55.33</v>
      </c>
      <c r="F5700" s="3">
        <f t="shared" si="176"/>
        <v>13.981891000000001</v>
      </c>
      <c r="G5700" s="3">
        <f t="shared" si="177"/>
        <v>69.311891000000003</v>
      </c>
    </row>
    <row r="5701" spans="1:7" x14ac:dyDescent="0.3">
      <c r="A5701" t="s">
        <v>13039</v>
      </c>
      <c r="B5701" t="s">
        <v>11436</v>
      </c>
      <c r="C5701" t="s">
        <v>11437</v>
      </c>
      <c r="D5701" s="1" t="s">
        <v>427</v>
      </c>
      <c r="E5701" s="3">
        <v>51.1</v>
      </c>
      <c r="F5701" s="3">
        <f t="shared" si="176"/>
        <v>12.912970000000001</v>
      </c>
      <c r="G5701" s="3">
        <f t="shared" si="177"/>
        <v>64.012969999999996</v>
      </c>
    </row>
    <row r="5702" spans="1:7" x14ac:dyDescent="0.3">
      <c r="A5702" t="s">
        <v>13039</v>
      </c>
      <c r="B5702" t="s">
        <v>11438</v>
      </c>
      <c r="C5702" t="s">
        <v>11439</v>
      </c>
      <c r="D5702" s="1" t="s">
        <v>427</v>
      </c>
      <c r="E5702" s="3">
        <v>50.53</v>
      </c>
      <c r="F5702" s="3">
        <f t="shared" si="176"/>
        <v>12.768931000000002</v>
      </c>
      <c r="G5702" s="3">
        <f t="shared" si="177"/>
        <v>63.298931000000003</v>
      </c>
    </row>
    <row r="5703" spans="1:7" x14ac:dyDescent="0.3">
      <c r="A5703" t="s">
        <v>13039</v>
      </c>
      <c r="B5703" t="s">
        <v>11440</v>
      </c>
      <c r="C5703" t="s">
        <v>11441</v>
      </c>
      <c r="D5703" s="1" t="s">
        <v>427</v>
      </c>
      <c r="E5703" s="3">
        <v>56.82</v>
      </c>
      <c r="F5703" s="3">
        <f t="shared" ref="F5703:F5766" si="178">+E5703*$F$4</f>
        <v>14.358414000000002</v>
      </c>
      <c r="G5703" s="3">
        <f t="shared" ref="G5703:G5766" si="179">+E5703+F5703</f>
        <v>71.178414000000004</v>
      </c>
    </row>
    <row r="5704" spans="1:7" x14ac:dyDescent="0.3">
      <c r="A5704" t="s">
        <v>13039</v>
      </c>
      <c r="B5704" t="s">
        <v>11442</v>
      </c>
      <c r="C5704" t="s">
        <v>11443</v>
      </c>
      <c r="D5704" s="1" t="s">
        <v>427</v>
      </c>
      <c r="E5704" s="3">
        <v>51.88</v>
      </c>
      <c r="F5704" s="3">
        <f t="shared" si="178"/>
        <v>13.110076000000003</v>
      </c>
      <c r="G5704" s="3">
        <f t="shared" si="179"/>
        <v>64.990076000000002</v>
      </c>
    </row>
    <row r="5705" spans="1:7" x14ac:dyDescent="0.3">
      <c r="A5705" t="s">
        <v>13039</v>
      </c>
      <c r="B5705" t="s">
        <v>11444</v>
      </c>
      <c r="C5705" t="s">
        <v>11445</v>
      </c>
      <c r="D5705" s="1" t="s">
        <v>427</v>
      </c>
      <c r="E5705" s="3">
        <v>51.32</v>
      </c>
      <c r="F5705" s="3">
        <f t="shared" si="178"/>
        <v>12.968564000000002</v>
      </c>
      <c r="G5705" s="3">
        <f t="shared" si="179"/>
        <v>64.288564000000008</v>
      </c>
    </row>
    <row r="5706" spans="1:7" x14ac:dyDescent="0.3">
      <c r="A5706" t="s">
        <v>13039</v>
      </c>
      <c r="B5706" t="s">
        <v>11446</v>
      </c>
      <c r="C5706" t="s">
        <v>11447</v>
      </c>
      <c r="D5706" s="1" t="s">
        <v>427</v>
      </c>
      <c r="E5706" s="3">
        <v>46.79</v>
      </c>
      <c r="F5706" s="3">
        <f t="shared" si="178"/>
        <v>11.823833000000002</v>
      </c>
      <c r="G5706" s="3">
        <f t="shared" si="179"/>
        <v>58.613833</v>
      </c>
    </row>
    <row r="5707" spans="1:7" x14ac:dyDescent="0.3">
      <c r="A5707" t="s">
        <v>13039</v>
      </c>
      <c r="B5707" t="s">
        <v>11448</v>
      </c>
      <c r="C5707" t="s">
        <v>11449</v>
      </c>
      <c r="D5707" s="1" t="s">
        <v>427</v>
      </c>
      <c r="E5707" s="3">
        <v>45.96</v>
      </c>
      <c r="F5707" s="3">
        <f t="shared" si="178"/>
        <v>11.614092000000001</v>
      </c>
      <c r="G5707" s="3">
        <f t="shared" si="179"/>
        <v>57.574092</v>
      </c>
    </row>
    <row r="5708" spans="1:7" x14ac:dyDescent="0.3">
      <c r="A5708" t="s">
        <v>13039</v>
      </c>
      <c r="B5708" t="s">
        <v>11450</v>
      </c>
      <c r="C5708" t="s">
        <v>11451</v>
      </c>
      <c r="D5708" s="1" t="s">
        <v>427</v>
      </c>
      <c r="E5708" s="3">
        <v>45.89</v>
      </c>
      <c r="F5708" s="3">
        <f t="shared" si="178"/>
        <v>11.596403000000002</v>
      </c>
      <c r="G5708" s="3">
        <f t="shared" si="179"/>
        <v>57.486403000000003</v>
      </c>
    </row>
    <row r="5709" spans="1:7" x14ac:dyDescent="0.3">
      <c r="A5709" t="s">
        <v>13039</v>
      </c>
      <c r="B5709" t="s">
        <v>11452</v>
      </c>
      <c r="C5709" t="s">
        <v>11453</v>
      </c>
      <c r="D5709" s="1" t="s">
        <v>427</v>
      </c>
      <c r="E5709" s="3">
        <v>49.19</v>
      </c>
      <c r="F5709" s="3">
        <f t="shared" si="178"/>
        <v>12.430313000000002</v>
      </c>
      <c r="G5709" s="3">
        <f t="shared" si="179"/>
        <v>61.620312999999996</v>
      </c>
    </row>
    <row r="5710" spans="1:7" x14ac:dyDescent="0.3">
      <c r="A5710" t="s">
        <v>13039</v>
      </c>
      <c r="B5710" t="s">
        <v>11454</v>
      </c>
      <c r="C5710" t="s">
        <v>11455</v>
      </c>
      <c r="D5710" s="1" t="s">
        <v>427</v>
      </c>
      <c r="E5710" s="3">
        <v>46.41</v>
      </c>
      <c r="F5710" s="3">
        <f t="shared" si="178"/>
        <v>11.727807</v>
      </c>
      <c r="G5710" s="3">
        <f t="shared" si="179"/>
        <v>58.137806999999995</v>
      </c>
    </row>
    <row r="5711" spans="1:7" x14ac:dyDescent="0.3">
      <c r="A5711" t="s">
        <v>13039</v>
      </c>
      <c r="B5711" t="s">
        <v>11456</v>
      </c>
      <c r="C5711" t="s">
        <v>11457</v>
      </c>
      <c r="D5711" s="1" t="s">
        <v>427</v>
      </c>
      <c r="E5711" s="3">
        <v>46.26</v>
      </c>
      <c r="F5711" s="3">
        <f t="shared" si="178"/>
        <v>11.689902000000002</v>
      </c>
      <c r="G5711" s="3">
        <f t="shared" si="179"/>
        <v>57.949902000000002</v>
      </c>
    </row>
    <row r="5712" spans="1:7" x14ac:dyDescent="0.3">
      <c r="A5712" t="s">
        <v>13039</v>
      </c>
      <c r="B5712" t="s">
        <v>11458</v>
      </c>
      <c r="C5712" t="s">
        <v>11459</v>
      </c>
      <c r="D5712" s="1" t="s">
        <v>427</v>
      </c>
      <c r="E5712" s="3">
        <v>45.96</v>
      </c>
      <c r="F5712" s="3">
        <f t="shared" si="178"/>
        <v>11.614092000000001</v>
      </c>
      <c r="G5712" s="3">
        <f t="shared" si="179"/>
        <v>57.574092</v>
      </c>
    </row>
    <row r="5713" spans="1:7" x14ac:dyDescent="0.3">
      <c r="A5713" t="s">
        <v>13039</v>
      </c>
      <c r="B5713" t="s">
        <v>11460</v>
      </c>
      <c r="C5713" t="s">
        <v>11461</v>
      </c>
      <c r="D5713" s="1" t="s">
        <v>427</v>
      </c>
      <c r="E5713" s="3">
        <v>45.44</v>
      </c>
      <c r="F5713" s="3">
        <f t="shared" si="178"/>
        <v>11.482688000000001</v>
      </c>
      <c r="G5713" s="3">
        <f t="shared" si="179"/>
        <v>56.922688000000001</v>
      </c>
    </row>
    <row r="5714" spans="1:7" x14ac:dyDescent="0.3">
      <c r="A5714" t="s">
        <v>13039</v>
      </c>
      <c r="B5714" t="s">
        <v>11462</v>
      </c>
      <c r="C5714" t="s">
        <v>11463</v>
      </c>
      <c r="D5714" s="1" t="s">
        <v>427</v>
      </c>
      <c r="E5714" s="3">
        <v>45.44</v>
      </c>
      <c r="F5714" s="3">
        <f t="shared" si="178"/>
        <v>11.482688000000001</v>
      </c>
      <c r="G5714" s="3">
        <f t="shared" si="179"/>
        <v>56.922688000000001</v>
      </c>
    </row>
    <row r="5715" spans="1:7" x14ac:dyDescent="0.3">
      <c r="A5715" t="s">
        <v>13039</v>
      </c>
      <c r="B5715" t="s">
        <v>11464</v>
      </c>
      <c r="C5715" t="s">
        <v>11465</v>
      </c>
      <c r="D5715" s="1" t="s">
        <v>427</v>
      </c>
      <c r="E5715" s="3">
        <v>49.75</v>
      </c>
      <c r="F5715" s="3">
        <f t="shared" si="178"/>
        <v>12.571825000000002</v>
      </c>
      <c r="G5715" s="3">
        <f t="shared" si="179"/>
        <v>62.321825000000004</v>
      </c>
    </row>
    <row r="5716" spans="1:7" x14ac:dyDescent="0.3">
      <c r="A5716" t="s">
        <v>13039</v>
      </c>
      <c r="B5716" t="s">
        <v>11466</v>
      </c>
      <c r="C5716" t="s">
        <v>11467</v>
      </c>
      <c r="D5716" s="1" t="s">
        <v>427</v>
      </c>
      <c r="E5716" s="3">
        <v>46.79</v>
      </c>
      <c r="F5716" s="3">
        <f t="shared" si="178"/>
        <v>11.823833000000002</v>
      </c>
      <c r="G5716" s="3">
        <f t="shared" si="179"/>
        <v>58.613833</v>
      </c>
    </row>
    <row r="5717" spans="1:7" x14ac:dyDescent="0.3">
      <c r="A5717" t="s">
        <v>13039</v>
      </c>
      <c r="B5717" t="s">
        <v>11468</v>
      </c>
      <c r="C5717" t="s">
        <v>11469</v>
      </c>
      <c r="D5717" s="1" t="s">
        <v>427</v>
      </c>
      <c r="E5717" s="3">
        <v>46.64</v>
      </c>
      <c r="F5717" s="3">
        <f t="shared" si="178"/>
        <v>11.785928000000002</v>
      </c>
      <c r="G5717" s="3">
        <f t="shared" si="179"/>
        <v>58.425927999999999</v>
      </c>
    </row>
    <row r="5718" spans="1:7" x14ac:dyDescent="0.3">
      <c r="A5718" t="s">
        <v>13039</v>
      </c>
      <c r="B5718" t="s">
        <v>11470</v>
      </c>
      <c r="C5718" t="s">
        <v>11471</v>
      </c>
      <c r="D5718" s="1" t="s">
        <v>427</v>
      </c>
      <c r="E5718" s="3">
        <v>50.31</v>
      </c>
      <c r="F5718" s="3">
        <f t="shared" si="178"/>
        <v>12.713337000000003</v>
      </c>
      <c r="G5718" s="3">
        <f t="shared" si="179"/>
        <v>63.023337000000005</v>
      </c>
    </row>
    <row r="5719" spans="1:7" x14ac:dyDescent="0.3">
      <c r="A5719" t="s">
        <v>13039</v>
      </c>
      <c r="B5719" t="s">
        <v>11472</v>
      </c>
      <c r="C5719" t="s">
        <v>11473</v>
      </c>
      <c r="D5719" s="1" t="s">
        <v>427</v>
      </c>
      <c r="E5719" s="3">
        <v>47.16</v>
      </c>
      <c r="F5719" s="3">
        <f t="shared" si="178"/>
        <v>11.917332</v>
      </c>
      <c r="G5719" s="3">
        <f t="shared" si="179"/>
        <v>59.077331999999998</v>
      </c>
    </row>
    <row r="5720" spans="1:7" x14ac:dyDescent="0.3">
      <c r="A5720" t="s">
        <v>13039</v>
      </c>
      <c r="B5720" t="s">
        <v>11474</v>
      </c>
      <c r="C5720" t="s">
        <v>11475</v>
      </c>
      <c r="D5720" s="1" t="s">
        <v>427</v>
      </c>
      <c r="E5720" s="3">
        <v>46.94</v>
      </c>
      <c r="F5720" s="3">
        <f t="shared" si="178"/>
        <v>11.861738000000001</v>
      </c>
      <c r="G5720" s="3">
        <f t="shared" si="179"/>
        <v>58.801738</v>
      </c>
    </row>
    <row r="5721" spans="1:7" x14ac:dyDescent="0.3">
      <c r="A5721" t="s">
        <v>13039</v>
      </c>
      <c r="B5721" t="s">
        <v>11476</v>
      </c>
      <c r="C5721" t="s">
        <v>11477</v>
      </c>
      <c r="D5721" s="1" t="s">
        <v>427</v>
      </c>
      <c r="E5721" s="3">
        <v>57.57</v>
      </c>
      <c r="F5721" s="3">
        <f t="shared" si="178"/>
        <v>14.547939000000001</v>
      </c>
      <c r="G5721" s="3">
        <f t="shared" si="179"/>
        <v>72.117939000000007</v>
      </c>
    </row>
    <row r="5722" spans="1:7" x14ac:dyDescent="0.3">
      <c r="A5722" t="s">
        <v>13039</v>
      </c>
      <c r="B5722" t="s">
        <v>11478</v>
      </c>
      <c r="C5722" t="s">
        <v>11479</v>
      </c>
      <c r="D5722" s="1" t="s">
        <v>427</v>
      </c>
      <c r="E5722" s="3">
        <v>52.44</v>
      </c>
      <c r="F5722" s="3">
        <f t="shared" si="178"/>
        <v>13.251588000000002</v>
      </c>
      <c r="G5722" s="3">
        <f t="shared" si="179"/>
        <v>65.691587999999996</v>
      </c>
    </row>
    <row r="5723" spans="1:7" x14ac:dyDescent="0.3">
      <c r="A5723" t="s">
        <v>13039</v>
      </c>
      <c r="B5723" t="s">
        <v>11480</v>
      </c>
      <c r="C5723" t="s">
        <v>11481</v>
      </c>
      <c r="D5723" s="1" t="s">
        <v>427</v>
      </c>
      <c r="E5723" s="3">
        <v>51.77</v>
      </c>
      <c r="F5723" s="3">
        <f t="shared" si="178"/>
        <v>13.082279000000003</v>
      </c>
      <c r="G5723" s="3">
        <f t="shared" si="179"/>
        <v>64.85227900000001</v>
      </c>
    </row>
    <row r="5724" spans="1:7" x14ac:dyDescent="0.3">
      <c r="A5724" t="s">
        <v>13039</v>
      </c>
      <c r="B5724" t="s">
        <v>11482</v>
      </c>
      <c r="C5724" t="s">
        <v>11483</v>
      </c>
      <c r="D5724" s="1" t="s">
        <v>427</v>
      </c>
      <c r="E5724" s="3">
        <v>7.98</v>
      </c>
      <c r="F5724" s="3">
        <f t="shared" si="178"/>
        <v>2.0165460000000004</v>
      </c>
      <c r="G5724" s="3">
        <f t="shared" si="179"/>
        <v>9.9965460000000004</v>
      </c>
    </row>
    <row r="5725" spans="1:7" x14ac:dyDescent="0.3">
      <c r="A5725" t="s">
        <v>13039</v>
      </c>
      <c r="B5725" t="s">
        <v>11484</v>
      </c>
      <c r="C5725" t="s">
        <v>11485</v>
      </c>
      <c r="D5725" s="1" t="s">
        <v>427</v>
      </c>
      <c r="E5725" s="3">
        <v>22.03</v>
      </c>
      <c r="F5725" s="3">
        <f t="shared" si="178"/>
        <v>5.5669810000000011</v>
      </c>
      <c r="G5725" s="3">
        <f t="shared" si="179"/>
        <v>27.596981000000003</v>
      </c>
    </row>
    <row r="5726" spans="1:7" x14ac:dyDescent="0.3">
      <c r="A5726" t="s">
        <v>13039</v>
      </c>
      <c r="B5726" t="s">
        <v>11486</v>
      </c>
      <c r="C5726" t="s">
        <v>11487</v>
      </c>
      <c r="D5726" s="1" t="s">
        <v>427</v>
      </c>
      <c r="E5726" s="3">
        <v>20.92</v>
      </c>
      <c r="F5726" s="3">
        <f t="shared" si="178"/>
        <v>5.2864840000000015</v>
      </c>
      <c r="G5726" s="3">
        <f t="shared" si="179"/>
        <v>26.206484000000003</v>
      </c>
    </row>
    <row r="5727" spans="1:7" x14ac:dyDescent="0.3">
      <c r="A5727" t="s">
        <v>13039</v>
      </c>
      <c r="B5727" t="s">
        <v>11488</v>
      </c>
      <c r="C5727" t="s">
        <v>11489</v>
      </c>
      <c r="D5727" s="1" t="s">
        <v>427</v>
      </c>
      <c r="E5727" s="3">
        <v>20.52</v>
      </c>
      <c r="F5727" s="3">
        <f t="shared" si="178"/>
        <v>5.185404000000001</v>
      </c>
      <c r="G5727" s="3">
        <f t="shared" si="179"/>
        <v>25.705404000000001</v>
      </c>
    </row>
    <row r="5728" spans="1:7" x14ac:dyDescent="0.3">
      <c r="A5728" t="s">
        <v>13039</v>
      </c>
      <c r="B5728" t="s">
        <v>11490</v>
      </c>
      <c r="C5728" t="s">
        <v>11491</v>
      </c>
      <c r="D5728" s="1" t="s">
        <v>427</v>
      </c>
      <c r="E5728" s="3">
        <v>24.53</v>
      </c>
      <c r="F5728" s="3">
        <f t="shared" si="178"/>
        <v>6.1987310000000013</v>
      </c>
      <c r="G5728" s="3">
        <f t="shared" si="179"/>
        <v>30.728731000000003</v>
      </c>
    </row>
    <row r="5729" spans="1:7" x14ac:dyDescent="0.3">
      <c r="A5729" t="s">
        <v>13039</v>
      </c>
      <c r="B5729" t="s">
        <v>11492</v>
      </c>
      <c r="C5729" t="s">
        <v>11493</v>
      </c>
      <c r="D5729" s="1" t="s">
        <v>427</v>
      </c>
      <c r="E5729" s="3">
        <v>21.12</v>
      </c>
      <c r="F5729" s="3">
        <f t="shared" si="178"/>
        <v>5.3370240000000013</v>
      </c>
      <c r="G5729" s="3">
        <f t="shared" si="179"/>
        <v>26.457024000000004</v>
      </c>
    </row>
    <row r="5730" spans="1:7" x14ac:dyDescent="0.3">
      <c r="A5730" t="s">
        <v>13039</v>
      </c>
      <c r="B5730" t="s">
        <v>11494</v>
      </c>
      <c r="C5730" t="s">
        <v>11495</v>
      </c>
      <c r="D5730" s="1" t="s">
        <v>427</v>
      </c>
      <c r="E5730" s="3">
        <v>20.72</v>
      </c>
      <c r="F5730" s="3">
        <f t="shared" si="178"/>
        <v>5.2359440000000008</v>
      </c>
      <c r="G5730" s="3">
        <f t="shared" si="179"/>
        <v>25.955943999999999</v>
      </c>
    </row>
    <row r="5731" spans="1:7" x14ac:dyDescent="0.3">
      <c r="A5731" t="s">
        <v>13039</v>
      </c>
      <c r="B5731" t="s">
        <v>11496</v>
      </c>
      <c r="C5731" t="s">
        <v>11497</v>
      </c>
      <c r="D5731" s="1" t="s">
        <v>427</v>
      </c>
      <c r="E5731" s="3">
        <v>24.83</v>
      </c>
      <c r="F5731" s="3">
        <f t="shared" si="178"/>
        <v>6.2745410000000001</v>
      </c>
      <c r="G5731" s="3">
        <f t="shared" si="179"/>
        <v>31.104540999999998</v>
      </c>
    </row>
    <row r="5732" spans="1:7" x14ac:dyDescent="0.3">
      <c r="A5732" t="s">
        <v>13039</v>
      </c>
      <c r="B5732" t="s">
        <v>11498</v>
      </c>
      <c r="C5732" t="s">
        <v>11499</v>
      </c>
      <c r="D5732" s="1" t="s">
        <v>427</v>
      </c>
      <c r="E5732" s="3">
        <v>21.32</v>
      </c>
      <c r="F5732" s="3">
        <f t="shared" si="178"/>
        <v>5.3875640000000011</v>
      </c>
      <c r="G5732" s="3">
        <f t="shared" si="179"/>
        <v>26.707564000000001</v>
      </c>
    </row>
    <row r="5733" spans="1:7" x14ac:dyDescent="0.3">
      <c r="A5733" t="s">
        <v>13039</v>
      </c>
      <c r="B5733" t="s">
        <v>11500</v>
      </c>
      <c r="C5733" t="s">
        <v>11501</v>
      </c>
      <c r="D5733" s="1" t="s">
        <v>427</v>
      </c>
      <c r="E5733" s="3">
        <v>20.92</v>
      </c>
      <c r="F5733" s="3">
        <f t="shared" si="178"/>
        <v>5.2864840000000015</v>
      </c>
      <c r="G5733" s="3">
        <f t="shared" si="179"/>
        <v>26.206484000000003</v>
      </c>
    </row>
    <row r="5734" spans="1:7" x14ac:dyDescent="0.3">
      <c r="A5734" t="s">
        <v>13039</v>
      </c>
      <c r="B5734" t="s">
        <v>11502</v>
      </c>
      <c r="C5734" t="s">
        <v>11503</v>
      </c>
      <c r="D5734" s="1" t="s">
        <v>427</v>
      </c>
      <c r="E5734" s="3">
        <v>25.28</v>
      </c>
      <c r="F5734" s="3">
        <f t="shared" si="178"/>
        <v>6.388256000000001</v>
      </c>
      <c r="G5734" s="3">
        <f t="shared" si="179"/>
        <v>31.668256000000003</v>
      </c>
    </row>
    <row r="5735" spans="1:7" x14ac:dyDescent="0.3">
      <c r="A5735" t="s">
        <v>13039</v>
      </c>
      <c r="B5735" t="s">
        <v>11504</v>
      </c>
      <c r="C5735" t="s">
        <v>11505</v>
      </c>
      <c r="D5735" s="1" t="s">
        <v>427</v>
      </c>
      <c r="E5735" s="3">
        <v>21.62</v>
      </c>
      <c r="F5735" s="3">
        <f t="shared" si="178"/>
        <v>5.4633740000000008</v>
      </c>
      <c r="G5735" s="3">
        <f t="shared" si="179"/>
        <v>27.083374000000003</v>
      </c>
    </row>
    <row r="5736" spans="1:7" x14ac:dyDescent="0.3">
      <c r="A5736" t="s">
        <v>13039</v>
      </c>
      <c r="B5736" t="s">
        <v>11506</v>
      </c>
      <c r="C5736" t="s">
        <v>11507</v>
      </c>
      <c r="D5736" s="1" t="s">
        <v>427</v>
      </c>
      <c r="E5736" s="3">
        <v>21.12</v>
      </c>
      <c r="F5736" s="3">
        <f t="shared" si="178"/>
        <v>5.3370240000000013</v>
      </c>
      <c r="G5736" s="3">
        <f t="shared" si="179"/>
        <v>26.457024000000004</v>
      </c>
    </row>
    <row r="5737" spans="1:7" x14ac:dyDescent="0.3">
      <c r="A5737" t="s">
        <v>13039</v>
      </c>
      <c r="B5737" t="s">
        <v>11508</v>
      </c>
      <c r="C5737" t="s">
        <v>11509</v>
      </c>
      <c r="D5737" s="1" t="s">
        <v>427</v>
      </c>
      <c r="E5737" s="3">
        <v>25.59</v>
      </c>
      <c r="F5737" s="3">
        <f t="shared" si="178"/>
        <v>6.4665930000000005</v>
      </c>
      <c r="G5737" s="3">
        <f t="shared" si="179"/>
        <v>32.056592999999999</v>
      </c>
    </row>
    <row r="5738" spans="1:7" x14ac:dyDescent="0.3">
      <c r="A5738" t="s">
        <v>13039</v>
      </c>
      <c r="B5738" t="s">
        <v>11510</v>
      </c>
      <c r="C5738" t="s">
        <v>11511</v>
      </c>
      <c r="D5738" s="1" t="s">
        <v>427</v>
      </c>
      <c r="E5738" s="3">
        <v>21.83</v>
      </c>
      <c r="F5738" s="3">
        <f t="shared" si="178"/>
        <v>5.5164410000000004</v>
      </c>
      <c r="G5738" s="3">
        <f t="shared" si="179"/>
        <v>27.346440999999999</v>
      </c>
    </row>
    <row r="5739" spans="1:7" x14ac:dyDescent="0.3">
      <c r="A5739" t="s">
        <v>13039</v>
      </c>
      <c r="B5739" t="s">
        <v>11512</v>
      </c>
      <c r="C5739" t="s">
        <v>11513</v>
      </c>
      <c r="D5739" s="1" t="s">
        <v>427</v>
      </c>
      <c r="E5739" s="3">
        <v>21.22</v>
      </c>
      <c r="F5739" s="3">
        <f t="shared" si="178"/>
        <v>5.3622940000000003</v>
      </c>
      <c r="G5739" s="3">
        <f t="shared" si="179"/>
        <v>26.582293999999997</v>
      </c>
    </row>
    <row r="5740" spans="1:7" x14ac:dyDescent="0.3">
      <c r="A5740" t="s">
        <v>13039</v>
      </c>
      <c r="B5740" t="s">
        <v>11514</v>
      </c>
      <c r="C5740" t="s">
        <v>11515</v>
      </c>
      <c r="D5740" s="1" t="s">
        <v>427</v>
      </c>
      <c r="E5740" s="3">
        <v>26.19</v>
      </c>
      <c r="F5740" s="3">
        <f t="shared" si="178"/>
        <v>6.6182130000000017</v>
      </c>
      <c r="G5740" s="3">
        <f t="shared" si="179"/>
        <v>32.808213000000002</v>
      </c>
    </row>
    <row r="5741" spans="1:7" x14ac:dyDescent="0.3">
      <c r="A5741" t="s">
        <v>13039</v>
      </c>
      <c r="B5741" t="s">
        <v>11516</v>
      </c>
      <c r="C5741" t="s">
        <v>11517</v>
      </c>
      <c r="D5741" s="1" t="s">
        <v>427</v>
      </c>
      <c r="E5741" s="3">
        <v>22.23</v>
      </c>
      <c r="F5741" s="3">
        <f t="shared" si="178"/>
        <v>5.6175210000000009</v>
      </c>
      <c r="G5741" s="3">
        <f t="shared" si="179"/>
        <v>27.847521</v>
      </c>
    </row>
    <row r="5742" spans="1:7" x14ac:dyDescent="0.3">
      <c r="A5742" t="s">
        <v>13039</v>
      </c>
      <c r="B5742" t="s">
        <v>11518</v>
      </c>
      <c r="C5742" t="s">
        <v>11519</v>
      </c>
      <c r="D5742" s="1" t="s">
        <v>427</v>
      </c>
      <c r="E5742" s="3">
        <v>21.62</v>
      </c>
      <c r="F5742" s="3">
        <f t="shared" si="178"/>
        <v>5.4633740000000008</v>
      </c>
      <c r="G5742" s="3">
        <f t="shared" si="179"/>
        <v>27.083374000000003</v>
      </c>
    </row>
    <row r="5743" spans="1:7" x14ac:dyDescent="0.3">
      <c r="A5743" t="s">
        <v>13039</v>
      </c>
      <c r="B5743" t="s">
        <v>11520</v>
      </c>
      <c r="C5743" t="s">
        <v>11521</v>
      </c>
      <c r="D5743" s="1" t="s">
        <v>427</v>
      </c>
      <c r="E5743" s="3">
        <v>27.24</v>
      </c>
      <c r="F5743" s="3">
        <f t="shared" si="178"/>
        <v>6.8835480000000002</v>
      </c>
      <c r="G5743" s="3">
        <f t="shared" si="179"/>
        <v>34.123548</v>
      </c>
    </row>
    <row r="5744" spans="1:7" x14ac:dyDescent="0.3">
      <c r="A5744" t="s">
        <v>13039</v>
      </c>
      <c r="B5744" t="s">
        <v>11522</v>
      </c>
      <c r="C5744" t="s">
        <v>11523</v>
      </c>
      <c r="D5744" s="1" t="s">
        <v>427</v>
      </c>
      <c r="E5744" s="3">
        <v>24.98</v>
      </c>
      <c r="F5744" s="3">
        <f t="shared" si="178"/>
        <v>6.3124460000000013</v>
      </c>
      <c r="G5744" s="3">
        <f t="shared" si="179"/>
        <v>31.292446000000002</v>
      </c>
    </row>
    <row r="5745" spans="1:7" x14ac:dyDescent="0.3">
      <c r="A5745" t="s">
        <v>13039</v>
      </c>
      <c r="B5745" t="s">
        <v>11524</v>
      </c>
      <c r="C5745" t="s">
        <v>11525</v>
      </c>
      <c r="D5745" s="1" t="s">
        <v>427</v>
      </c>
      <c r="E5745" s="3">
        <v>22.13</v>
      </c>
      <c r="F5745" s="3">
        <f t="shared" si="178"/>
        <v>5.592251000000001</v>
      </c>
      <c r="G5745" s="3">
        <f t="shared" si="179"/>
        <v>27.722251</v>
      </c>
    </row>
    <row r="5746" spans="1:7" x14ac:dyDescent="0.3">
      <c r="A5746" t="s">
        <v>13039</v>
      </c>
      <c r="B5746" t="s">
        <v>11526</v>
      </c>
      <c r="C5746" t="s">
        <v>11527</v>
      </c>
      <c r="D5746" s="1" t="s">
        <v>427</v>
      </c>
      <c r="E5746" s="3">
        <v>20.420000000000002</v>
      </c>
      <c r="F5746" s="3">
        <f t="shared" si="178"/>
        <v>5.1601340000000011</v>
      </c>
      <c r="G5746" s="3">
        <f t="shared" si="179"/>
        <v>25.580134000000001</v>
      </c>
    </row>
    <row r="5747" spans="1:7" x14ac:dyDescent="0.3">
      <c r="A5747" t="s">
        <v>13039</v>
      </c>
      <c r="B5747" t="s">
        <v>11528</v>
      </c>
      <c r="C5747" t="s">
        <v>11529</v>
      </c>
      <c r="D5747" s="1" t="s">
        <v>427</v>
      </c>
      <c r="E5747" s="3">
        <v>19.82</v>
      </c>
      <c r="F5747" s="3">
        <f t="shared" si="178"/>
        <v>5.0085140000000008</v>
      </c>
      <c r="G5747" s="3">
        <f t="shared" si="179"/>
        <v>24.828514000000002</v>
      </c>
    </row>
    <row r="5748" spans="1:7" x14ac:dyDescent="0.3">
      <c r="A5748" t="s">
        <v>13039</v>
      </c>
      <c r="B5748" t="s">
        <v>11530</v>
      </c>
      <c r="C5748" t="s">
        <v>11531</v>
      </c>
      <c r="D5748" s="1" t="s">
        <v>427</v>
      </c>
      <c r="E5748" s="3">
        <v>19.62</v>
      </c>
      <c r="F5748" s="3">
        <f t="shared" si="178"/>
        <v>4.957974000000001</v>
      </c>
      <c r="G5748" s="3">
        <f t="shared" si="179"/>
        <v>24.577974000000001</v>
      </c>
    </row>
    <row r="5749" spans="1:7" x14ac:dyDescent="0.3">
      <c r="A5749" t="s">
        <v>13039</v>
      </c>
      <c r="B5749" t="s">
        <v>11532</v>
      </c>
      <c r="C5749" t="s">
        <v>11533</v>
      </c>
      <c r="D5749" s="1" t="s">
        <v>427</v>
      </c>
      <c r="E5749" s="3">
        <v>20.82</v>
      </c>
      <c r="F5749" s="3">
        <f t="shared" si="178"/>
        <v>5.2612140000000007</v>
      </c>
      <c r="G5749" s="3">
        <f t="shared" si="179"/>
        <v>26.081214000000003</v>
      </c>
    </row>
    <row r="5750" spans="1:7" x14ac:dyDescent="0.3">
      <c r="A5750" t="s">
        <v>13039</v>
      </c>
      <c r="B5750" t="s">
        <v>11534</v>
      </c>
      <c r="C5750" t="s">
        <v>11535</v>
      </c>
      <c r="D5750" s="1" t="s">
        <v>427</v>
      </c>
      <c r="E5750" s="3">
        <v>20.12</v>
      </c>
      <c r="F5750" s="3">
        <f t="shared" si="178"/>
        <v>5.0843240000000014</v>
      </c>
      <c r="G5750" s="3">
        <f t="shared" si="179"/>
        <v>25.204324000000003</v>
      </c>
    </row>
    <row r="5751" spans="1:7" x14ac:dyDescent="0.3">
      <c r="A5751" t="s">
        <v>13039</v>
      </c>
      <c r="B5751" t="s">
        <v>11536</v>
      </c>
      <c r="C5751" t="s">
        <v>11537</v>
      </c>
      <c r="D5751" s="1" t="s">
        <v>427</v>
      </c>
      <c r="E5751" s="3">
        <v>19.920000000000002</v>
      </c>
      <c r="F5751" s="3">
        <f t="shared" si="178"/>
        <v>5.0337840000000007</v>
      </c>
      <c r="G5751" s="3">
        <f t="shared" si="179"/>
        <v>24.953784000000002</v>
      </c>
    </row>
    <row r="5752" spans="1:7" x14ac:dyDescent="0.3">
      <c r="A5752" t="s">
        <v>13039</v>
      </c>
      <c r="B5752" t="s">
        <v>11538</v>
      </c>
      <c r="C5752" t="s">
        <v>11539</v>
      </c>
      <c r="D5752" s="1" t="s">
        <v>427</v>
      </c>
      <c r="E5752" s="3">
        <v>19.82</v>
      </c>
      <c r="F5752" s="3">
        <f t="shared" si="178"/>
        <v>5.0085140000000008</v>
      </c>
      <c r="G5752" s="3">
        <f t="shared" si="179"/>
        <v>24.828514000000002</v>
      </c>
    </row>
    <row r="5753" spans="1:7" x14ac:dyDescent="0.3">
      <c r="A5753" t="s">
        <v>13039</v>
      </c>
      <c r="B5753" t="s">
        <v>11540</v>
      </c>
      <c r="C5753" t="s">
        <v>11541</v>
      </c>
      <c r="D5753" s="1" t="s">
        <v>427</v>
      </c>
      <c r="E5753" s="3">
        <v>19.52</v>
      </c>
      <c r="F5753" s="3">
        <f t="shared" si="178"/>
        <v>4.9327040000000002</v>
      </c>
      <c r="G5753" s="3">
        <f t="shared" si="179"/>
        <v>24.452704000000001</v>
      </c>
    </row>
    <row r="5754" spans="1:7" x14ac:dyDescent="0.3">
      <c r="A5754" t="s">
        <v>13039</v>
      </c>
      <c r="B5754" t="s">
        <v>11542</v>
      </c>
      <c r="C5754" t="s">
        <v>11543</v>
      </c>
      <c r="D5754" s="1" t="s">
        <v>427</v>
      </c>
      <c r="E5754" s="3">
        <v>19.32</v>
      </c>
      <c r="F5754" s="3">
        <f t="shared" si="178"/>
        <v>4.8821640000000004</v>
      </c>
      <c r="G5754" s="3">
        <f t="shared" si="179"/>
        <v>24.202164</v>
      </c>
    </row>
    <row r="5755" spans="1:7" x14ac:dyDescent="0.3">
      <c r="A5755" t="s">
        <v>13039</v>
      </c>
      <c r="B5755" t="s">
        <v>11544</v>
      </c>
      <c r="C5755" t="s">
        <v>11545</v>
      </c>
      <c r="D5755" s="1" t="s">
        <v>427</v>
      </c>
      <c r="E5755" s="3">
        <v>21.32</v>
      </c>
      <c r="F5755" s="3">
        <f t="shared" si="178"/>
        <v>5.3875640000000011</v>
      </c>
      <c r="G5755" s="3">
        <f t="shared" si="179"/>
        <v>26.707564000000001</v>
      </c>
    </row>
    <row r="5756" spans="1:7" x14ac:dyDescent="0.3">
      <c r="A5756" t="s">
        <v>13039</v>
      </c>
      <c r="B5756" t="s">
        <v>11546</v>
      </c>
      <c r="C5756" t="s">
        <v>11547</v>
      </c>
      <c r="D5756" s="1" t="s">
        <v>427</v>
      </c>
      <c r="E5756" s="3">
        <v>20.420000000000002</v>
      </c>
      <c r="F5756" s="3">
        <f t="shared" si="178"/>
        <v>5.1601340000000011</v>
      </c>
      <c r="G5756" s="3">
        <f t="shared" si="179"/>
        <v>25.580134000000001</v>
      </c>
    </row>
    <row r="5757" spans="1:7" x14ac:dyDescent="0.3">
      <c r="A5757" t="s">
        <v>13039</v>
      </c>
      <c r="B5757" t="s">
        <v>11548</v>
      </c>
      <c r="C5757" t="s">
        <v>11549</v>
      </c>
      <c r="D5757" s="1" t="s">
        <v>427</v>
      </c>
      <c r="E5757" s="3">
        <v>20.12</v>
      </c>
      <c r="F5757" s="3">
        <f t="shared" si="178"/>
        <v>5.0843240000000014</v>
      </c>
      <c r="G5757" s="3">
        <f t="shared" si="179"/>
        <v>25.204324000000003</v>
      </c>
    </row>
    <row r="5758" spans="1:7" x14ac:dyDescent="0.3">
      <c r="A5758" t="s">
        <v>13039</v>
      </c>
      <c r="B5758" t="s">
        <v>11550</v>
      </c>
      <c r="C5758" t="s">
        <v>11551</v>
      </c>
      <c r="D5758" s="1" t="s">
        <v>427</v>
      </c>
      <c r="E5758" s="3">
        <v>21.62</v>
      </c>
      <c r="F5758" s="3">
        <f t="shared" si="178"/>
        <v>5.4633740000000008</v>
      </c>
      <c r="G5758" s="3">
        <f t="shared" si="179"/>
        <v>27.083374000000003</v>
      </c>
    </row>
    <row r="5759" spans="1:7" x14ac:dyDescent="0.3">
      <c r="A5759" t="s">
        <v>13039</v>
      </c>
      <c r="B5759" t="s">
        <v>11552</v>
      </c>
      <c r="C5759" t="s">
        <v>11553</v>
      </c>
      <c r="D5759" s="1" t="s">
        <v>427</v>
      </c>
      <c r="E5759" s="3">
        <v>20.62</v>
      </c>
      <c r="F5759" s="3">
        <f t="shared" si="178"/>
        <v>5.2106740000000009</v>
      </c>
      <c r="G5759" s="3">
        <f t="shared" si="179"/>
        <v>25.830674000000002</v>
      </c>
    </row>
    <row r="5760" spans="1:7" x14ac:dyDescent="0.3">
      <c r="A5760" t="s">
        <v>13039</v>
      </c>
      <c r="B5760" t="s">
        <v>11554</v>
      </c>
      <c r="C5760" t="s">
        <v>11555</v>
      </c>
      <c r="D5760" s="1" t="s">
        <v>427</v>
      </c>
      <c r="E5760" s="3">
        <v>20.32</v>
      </c>
      <c r="F5760" s="3">
        <f t="shared" si="178"/>
        <v>5.1348640000000012</v>
      </c>
      <c r="G5760" s="3">
        <f t="shared" si="179"/>
        <v>25.454864000000001</v>
      </c>
    </row>
    <row r="5761" spans="1:7" x14ac:dyDescent="0.3">
      <c r="A5761" t="s">
        <v>13039</v>
      </c>
      <c r="B5761" t="s">
        <v>11556</v>
      </c>
      <c r="C5761" t="s">
        <v>11557</v>
      </c>
      <c r="D5761" s="1" t="s">
        <v>427</v>
      </c>
      <c r="E5761" s="3">
        <v>27.69</v>
      </c>
      <c r="F5761" s="3">
        <f t="shared" si="178"/>
        <v>6.9972630000000011</v>
      </c>
      <c r="G5761" s="3">
        <f t="shared" si="179"/>
        <v>34.687263000000002</v>
      </c>
    </row>
    <row r="5762" spans="1:7" x14ac:dyDescent="0.3">
      <c r="A5762" t="s">
        <v>13039</v>
      </c>
      <c r="B5762" t="s">
        <v>11558</v>
      </c>
      <c r="C5762" t="s">
        <v>11559</v>
      </c>
      <c r="D5762" s="1" t="s">
        <v>427</v>
      </c>
      <c r="E5762" s="3">
        <v>25.28</v>
      </c>
      <c r="F5762" s="3">
        <f t="shared" si="178"/>
        <v>6.388256000000001</v>
      </c>
      <c r="G5762" s="3">
        <f t="shared" si="179"/>
        <v>31.668256000000003</v>
      </c>
    </row>
    <row r="5763" spans="1:7" x14ac:dyDescent="0.3">
      <c r="A5763" t="s">
        <v>13039</v>
      </c>
      <c r="B5763" t="s">
        <v>11560</v>
      </c>
      <c r="C5763" t="s">
        <v>11561</v>
      </c>
      <c r="D5763" s="1" t="s">
        <v>427</v>
      </c>
      <c r="E5763" s="3">
        <v>24.53</v>
      </c>
      <c r="F5763" s="3">
        <f t="shared" si="178"/>
        <v>6.1987310000000013</v>
      </c>
      <c r="G5763" s="3">
        <f t="shared" si="179"/>
        <v>30.728731000000003</v>
      </c>
    </row>
    <row r="5764" spans="1:7" x14ac:dyDescent="0.3">
      <c r="A5764" t="s">
        <v>13039</v>
      </c>
      <c r="B5764" t="s">
        <v>11562</v>
      </c>
      <c r="C5764" t="s">
        <v>11563</v>
      </c>
      <c r="D5764" s="1" t="s">
        <v>427</v>
      </c>
      <c r="E5764" s="3">
        <v>23.58</v>
      </c>
      <c r="F5764" s="3">
        <f t="shared" si="178"/>
        <v>5.958666</v>
      </c>
      <c r="G5764" s="3">
        <f t="shared" si="179"/>
        <v>29.538665999999999</v>
      </c>
    </row>
    <row r="5765" spans="1:7" x14ac:dyDescent="0.3">
      <c r="A5765" t="s">
        <v>13039</v>
      </c>
      <c r="B5765" t="s">
        <v>11564</v>
      </c>
      <c r="C5765" t="s">
        <v>11565</v>
      </c>
      <c r="D5765" s="1" t="s">
        <v>427</v>
      </c>
      <c r="E5765" s="3">
        <v>26.53</v>
      </c>
      <c r="F5765" s="3">
        <f t="shared" si="178"/>
        <v>6.7041310000000012</v>
      </c>
      <c r="G5765" s="3">
        <f t="shared" si="179"/>
        <v>33.234131000000005</v>
      </c>
    </row>
    <row r="5766" spans="1:7" x14ac:dyDescent="0.3">
      <c r="A5766" t="s">
        <v>13039</v>
      </c>
      <c r="B5766" t="s">
        <v>11566</v>
      </c>
      <c r="C5766" t="s">
        <v>11567</v>
      </c>
      <c r="D5766" s="1" t="s">
        <v>427</v>
      </c>
      <c r="E5766" s="3">
        <v>13.89</v>
      </c>
      <c r="F5766" s="3">
        <f t="shared" si="178"/>
        <v>3.5100030000000007</v>
      </c>
      <c r="G5766" s="3">
        <f t="shared" si="179"/>
        <v>17.400003000000002</v>
      </c>
    </row>
    <row r="5767" spans="1:7" x14ac:dyDescent="0.3">
      <c r="A5767" t="s">
        <v>13039</v>
      </c>
      <c r="B5767" t="s">
        <v>11568</v>
      </c>
      <c r="C5767" t="s">
        <v>11569</v>
      </c>
      <c r="D5767" s="1" t="s">
        <v>427</v>
      </c>
      <c r="E5767" s="3">
        <v>15.33</v>
      </c>
      <c r="F5767" s="3">
        <f t="shared" ref="F5767:F5830" si="180">+E5767*$F$4</f>
        <v>3.8738910000000004</v>
      </c>
      <c r="G5767" s="3">
        <f t="shared" ref="G5767:G5830" si="181">+E5767+F5767</f>
        <v>19.203890999999999</v>
      </c>
    </row>
    <row r="5768" spans="1:7" x14ac:dyDescent="0.3">
      <c r="A5768" t="s">
        <v>13039</v>
      </c>
      <c r="B5768" t="s">
        <v>11570</v>
      </c>
      <c r="C5768" t="s">
        <v>11571</v>
      </c>
      <c r="D5768" s="1" t="s">
        <v>427</v>
      </c>
      <c r="E5768" s="3">
        <v>11.22</v>
      </c>
      <c r="F5768" s="3">
        <f t="shared" si="180"/>
        <v>2.8352940000000006</v>
      </c>
      <c r="G5768" s="3">
        <f t="shared" si="181"/>
        <v>14.055294000000002</v>
      </c>
    </row>
    <row r="5769" spans="1:7" x14ac:dyDescent="0.3">
      <c r="A5769" t="s">
        <v>13039</v>
      </c>
      <c r="B5769" t="s">
        <v>11572</v>
      </c>
      <c r="C5769" t="s">
        <v>11573</v>
      </c>
      <c r="D5769" s="1" t="s">
        <v>427</v>
      </c>
      <c r="E5769" s="3">
        <v>3.76</v>
      </c>
      <c r="F5769" s="3">
        <f t="shared" si="180"/>
        <v>0.95015200000000011</v>
      </c>
      <c r="G5769" s="3">
        <f t="shared" si="181"/>
        <v>4.7101519999999999</v>
      </c>
    </row>
    <row r="5770" spans="1:7" x14ac:dyDescent="0.3">
      <c r="A5770" t="s">
        <v>13039</v>
      </c>
      <c r="B5770" t="s">
        <v>11574</v>
      </c>
      <c r="C5770" t="s">
        <v>11575</v>
      </c>
      <c r="D5770" s="1" t="s">
        <v>427</v>
      </c>
      <c r="E5770" s="3">
        <v>17.97</v>
      </c>
      <c r="F5770" s="3">
        <f t="shared" si="180"/>
        <v>4.5410190000000004</v>
      </c>
      <c r="G5770" s="3">
        <f t="shared" si="181"/>
        <v>22.511018999999997</v>
      </c>
    </row>
    <row r="5771" spans="1:7" x14ac:dyDescent="0.3">
      <c r="A5771" t="s">
        <v>13039</v>
      </c>
      <c r="B5771" t="s">
        <v>11576</v>
      </c>
      <c r="C5771" t="s">
        <v>11577</v>
      </c>
      <c r="D5771" s="1" t="s">
        <v>427</v>
      </c>
      <c r="E5771" s="3">
        <v>20.64</v>
      </c>
      <c r="F5771" s="3">
        <f t="shared" si="180"/>
        <v>5.2157280000000013</v>
      </c>
      <c r="G5771" s="3">
        <f t="shared" si="181"/>
        <v>25.855728000000003</v>
      </c>
    </row>
    <row r="5772" spans="1:7" x14ac:dyDescent="0.3">
      <c r="A5772" t="s">
        <v>13039</v>
      </c>
      <c r="B5772" t="s">
        <v>11578</v>
      </c>
      <c r="C5772" t="s">
        <v>11579</v>
      </c>
      <c r="D5772" s="1" t="s">
        <v>427</v>
      </c>
      <c r="E5772" s="3">
        <v>4.41</v>
      </c>
      <c r="F5772" s="3">
        <f t="shared" si="180"/>
        <v>1.1144070000000001</v>
      </c>
      <c r="G5772" s="3">
        <f t="shared" si="181"/>
        <v>5.5244070000000001</v>
      </c>
    </row>
    <row r="5773" spans="1:7" x14ac:dyDescent="0.3">
      <c r="A5773" t="s">
        <v>13039</v>
      </c>
      <c r="B5773" t="s">
        <v>11580</v>
      </c>
      <c r="C5773" t="s">
        <v>11581</v>
      </c>
      <c r="D5773" s="1" t="s">
        <v>427</v>
      </c>
      <c r="E5773" s="3">
        <v>9.19</v>
      </c>
      <c r="F5773" s="3">
        <f t="shared" si="180"/>
        <v>2.3223130000000003</v>
      </c>
      <c r="G5773" s="3">
        <f t="shared" si="181"/>
        <v>11.512312999999999</v>
      </c>
    </row>
    <row r="5774" spans="1:7" x14ac:dyDescent="0.3">
      <c r="A5774" t="s">
        <v>13039</v>
      </c>
      <c r="B5774" t="s">
        <v>11582</v>
      </c>
      <c r="C5774" t="s">
        <v>11583</v>
      </c>
      <c r="D5774" s="1" t="s">
        <v>2904</v>
      </c>
      <c r="E5774" s="3">
        <v>0.78</v>
      </c>
      <c r="F5774" s="3">
        <f t="shared" si="180"/>
        <v>0.19710600000000003</v>
      </c>
      <c r="G5774" s="3">
        <f t="shared" si="181"/>
        <v>0.97710600000000003</v>
      </c>
    </row>
    <row r="5775" spans="1:7" x14ac:dyDescent="0.3">
      <c r="A5775" t="s">
        <v>13039</v>
      </c>
      <c r="B5775" t="s">
        <v>11584</v>
      </c>
      <c r="C5775" t="s">
        <v>11585</v>
      </c>
      <c r="D5775" s="1" t="s">
        <v>3650</v>
      </c>
      <c r="E5775" s="3">
        <v>78.319999999999993</v>
      </c>
      <c r="F5775" s="3">
        <f t="shared" si="180"/>
        <v>19.791464000000001</v>
      </c>
      <c r="G5775" s="3">
        <f t="shared" si="181"/>
        <v>98.111463999999998</v>
      </c>
    </row>
    <row r="5776" spans="1:7" x14ac:dyDescent="0.3">
      <c r="A5776" t="s">
        <v>13039</v>
      </c>
      <c r="B5776" t="s">
        <v>11586</v>
      </c>
      <c r="C5776" t="s">
        <v>11587</v>
      </c>
      <c r="D5776" s="1" t="s">
        <v>2904</v>
      </c>
      <c r="E5776" s="3">
        <v>94.29</v>
      </c>
      <c r="F5776" s="3">
        <f t="shared" si="180"/>
        <v>23.827083000000005</v>
      </c>
      <c r="G5776" s="3">
        <f t="shared" si="181"/>
        <v>118.11708300000001</v>
      </c>
    </row>
    <row r="5777" spans="1:7" x14ac:dyDescent="0.3">
      <c r="A5777" t="s">
        <v>13039</v>
      </c>
      <c r="B5777" t="s">
        <v>11588</v>
      </c>
      <c r="C5777" t="s">
        <v>11589</v>
      </c>
      <c r="D5777" s="1" t="s">
        <v>3650</v>
      </c>
      <c r="E5777" s="3">
        <v>322.13</v>
      </c>
      <c r="F5777" s="3">
        <f t="shared" si="180"/>
        <v>81.402251000000007</v>
      </c>
      <c r="G5777" s="3">
        <f t="shared" si="181"/>
        <v>403.53225099999997</v>
      </c>
    </row>
    <row r="5778" spans="1:7" x14ac:dyDescent="0.3">
      <c r="A5778" t="s">
        <v>13039</v>
      </c>
      <c r="B5778" t="s">
        <v>11590</v>
      </c>
      <c r="C5778" t="s">
        <v>11591</v>
      </c>
      <c r="D5778" s="1" t="s">
        <v>195</v>
      </c>
      <c r="E5778" s="3">
        <v>106.09</v>
      </c>
      <c r="F5778" s="3">
        <f t="shared" si="180"/>
        <v>26.808943000000006</v>
      </c>
      <c r="G5778" s="3">
        <f t="shared" si="181"/>
        <v>132.898943</v>
      </c>
    </row>
    <row r="5779" spans="1:7" x14ac:dyDescent="0.3">
      <c r="A5779" t="s">
        <v>13039</v>
      </c>
      <c r="B5779" t="s">
        <v>11592</v>
      </c>
      <c r="C5779" t="s">
        <v>11593</v>
      </c>
      <c r="D5779" s="1" t="s">
        <v>195</v>
      </c>
      <c r="E5779" s="3">
        <v>100.81</v>
      </c>
      <c r="F5779" s="3">
        <f t="shared" si="180"/>
        <v>25.474687000000003</v>
      </c>
      <c r="G5779" s="3">
        <f t="shared" si="181"/>
        <v>126.28468700000001</v>
      </c>
    </row>
    <row r="5780" spans="1:7" x14ac:dyDescent="0.3">
      <c r="A5780" t="s">
        <v>13039</v>
      </c>
      <c r="B5780" t="s">
        <v>11594</v>
      </c>
      <c r="C5780" t="s">
        <v>11595</v>
      </c>
      <c r="D5780" s="1" t="s">
        <v>195</v>
      </c>
      <c r="E5780" s="3">
        <v>114.88</v>
      </c>
      <c r="F5780" s="3">
        <f t="shared" si="180"/>
        <v>29.030176000000004</v>
      </c>
      <c r="G5780" s="3">
        <f t="shared" si="181"/>
        <v>143.91017600000001</v>
      </c>
    </row>
    <row r="5781" spans="1:7" x14ac:dyDescent="0.3">
      <c r="A5781" t="s">
        <v>13039</v>
      </c>
      <c r="B5781" t="s">
        <v>11596</v>
      </c>
      <c r="C5781" t="s">
        <v>11597</v>
      </c>
      <c r="D5781" s="1" t="s">
        <v>195</v>
      </c>
      <c r="E5781" s="3">
        <v>128.08000000000001</v>
      </c>
      <c r="F5781" s="3">
        <f t="shared" si="180"/>
        <v>32.365816000000009</v>
      </c>
      <c r="G5781" s="3">
        <f t="shared" si="181"/>
        <v>160.44581600000004</v>
      </c>
    </row>
    <row r="5782" spans="1:7" x14ac:dyDescent="0.3">
      <c r="A5782" t="s">
        <v>13039</v>
      </c>
      <c r="B5782" t="s">
        <v>11598</v>
      </c>
      <c r="C5782" t="s">
        <v>11599</v>
      </c>
      <c r="D5782" s="1" t="s">
        <v>195</v>
      </c>
      <c r="E5782" s="3">
        <v>140.47999999999999</v>
      </c>
      <c r="F5782" s="3">
        <f t="shared" si="180"/>
        <v>35.499296000000001</v>
      </c>
      <c r="G5782" s="3">
        <f t="shared" si="181"/>
        <v>175.97929599999998</v>
      </c>
    </row>
    <row r="5783" spans="1:7" x14ac:dyDescent="0.3">
      <c r="A5783" t="s">
        <v>13039</v>
      </c>
      <c r="B5783" t="s">
        <v>11600</v>
      </c>
      <c r="C5783" t="s">
        <v>11601</v>
      </c>
      <c r="D5783" s="1" t="s">
        <v>195</v>
      </c>
      <c r="E5783" s="3">
        <v>54.83</v>
      </c>
      <c r="F5783" s="3">
        <f t="shared" si="180"/>
        <v>13.855541000000002</v>
      </c>
      <c r="G5783" s="3">
        <f t="shared" si="181"/>
        <v>68.685541000000001</v>
      </c>
    </row>
    <row r="5784" spans="1:7" x14ac:dyDescent="0.3">
      <c r="A5784" t="s">
        <v>13039</v>
      </c>
      <c r="B5784" t="s">
        <v>11602</v>
      </c>
      <c r="C5784" t="s">
        <v>11603</v>
      </c>
      <c r="D5784" s="1" t="s">
        <v>195</v>
      </c>
      <c r="E5784" s="3">
        <v>58.74</v>
      </c>
      <c r="F5784" s="3">
        <f t="shared" si="180"/>
        <v>14.843598000000002</v>
      </c>
      <c r="G5784" s="3">
        <f t="shared" si="181"/>
        <v>73.583598000000009</v>
      </c>
    </row>
    <row r="5785" spans="1:7" x14ac:dyDescent="0.3">
      <c r="A5785" t="s">
        <v>13039</v>
      </c>
      <c r="B5785" t="s">
        <v>11604</v>
      </c>
      <c r="C5785" t="s">
        <v>11605</v>
      </c>
      <c r="D5785" s="1" t="s">
        <v>195</v>
      </c>
      <c r="E5785" s="3">
        <v>64.61</v>
      </c>
      <c r="F5785" s="3">
        <f t="shared" si="180"/>
        <v>16.326947000000001</v>
      </c>
      <c r="G5785" s="3">
        <f t="shared" si="181"/>
        <v>80.936947000000004</v>
      </c>
    </row>
    <row r="5786" spans="1:7" x14ac:dyDescent="0.3">
      <c r="A5786" t="s">
        <v>13039</v>
      </c>
      <c r="B5786" t="s">
        <v>11606</v>
      </c>
      <c r="C5786" t="s">
        <v>11607</v>
      </c>
      <c r="D5786" s="1" t="s">
        <v>195</v>
      </c>
      <c r="E5786" s="3">
        <v>48.69</v>
      </c>
      <c r="F5786" s="3">
        <f t="shared" si="180"/>
        <v>12.303963000000001</v>
      </c>
      <c r="G5786" s="3">
        <f t="shared" si="181"/>
        <v>60.993963000000001</v>
      </c>
    </row>
    <row r="5787" spans="1:7" x14ac:dyDescent="0.3">
      <c r="A5787" t="s">
        <v>13039</v>
      </c>
      <c r="B5787" t="s">
        <v>11608</v>
      </c>
      <c r="C5787" t="s">
        <v>11609</v>
      </c>
      <c r="D5787" s="1" t="s">
        <v>195</v>
      </c>
      <c r="E5787" s="3">
        <v>78.22</v>
      </c>
      <c r="F5787" s="3">
        <f t="shared" si="180"/>
        <v>19.766194000000002</v>
      </c>
      <c r="G5787" s="3">
        <f t="shared" si="181"/>
        <v>97.986193999999998</v>
      </c>
    </row>
    <row r="5788" spans="1:7" x14ac:dyDescent="0.3">
      <c r="A5788" t="s">
        <v>13039</v>
      </c>
      <c r="B5788" t="s">
        <v>11610</v>
      </c>
      <c r="C5788" t="s">
        <v>11611</v>
      </c>
      <c r="D5788" s="1" t="s">
        <v>195</v>
      </c>
      <c r="E5788" s="3">
        <v>31.15</v>
      </c>
      <c r="F5788" s="3">
        <f t="shared" si="180"/>
        <v>7.8716050000000006</v>
      </c>
      <c r="G5788" s="3">
        <f t="shared" si="181"/>
        <v>39.021605000000001</v>
      </c>
    </row>
    <row r="5789" spans="1:7" x14ac:dyDescent="0.3">
      <c r="A5789" t="s">
        <v>13039</v>
      </c>
      <c r="B5789" t="s">
        <v>11612</v>
      </c>
      <c r="C5789" t="s">
        <v>11613</v>
      </c>
      <c r="D5789" s="1" t="s">
        <v>195</v>
      </c>
      <c r="E5789" s="3">
        <v>37.42</v>
      </c>
      <c r="F5789" s="3">
        <f t="shared" si="180"/>
        <v>9.4560340000000025</v>
      </c>
      <c r="G5789" s="3">
        <f t="shared" si="181"/>
        <v>46.876034000000004</v>
      </c>
    </row>
    <row r="5790" spans="1:7" x14ac:dyDescent="0.3">
      <c r="A5790" t="s">
        <v>13039</v>
      </c>
      <c r="B5790" t="s">
        <v>11614</v>
      </c>
      <c r="C5790" t="s">
        <v>11615</v>
      </c>
      <c r="D5790" s="1" t="s">
        <v>195</v>
      </c>
      <c r="E5790" s="3">
        <v>83.16</v>
      </c>
      <c r="F5790" s="3">
        <f t="shared" si="180"/>
        <v>21.014532000000003</v>
      </c>
      <c r="G5790" s="3">
        <f t="shared" si="181"/>
        <v>104.174532</v>
      </c>
    </row>
    <row r="5791" spans="1:7" x14ac:dyDescent="0.3">
      <c r="A5791" t="s">
        <v>13039</v>
      </c>
      <c r="B5791" t="s">
        <v>11616</v>
      </c>
      <c r="C5791" t="s">
        <v>11617</v>
      </c>
      <c r="D5791" s="1" t="s">
        <v>2904</v>
      </c>
      <c r="E5791" s="3">
        <v>47.61</v>
      </c>
      <c r="F5791" s="3">
        <f t="shared" si="180"/>
        <v>12.031047000000001</v>
      </c>
      <c r="G5791" s="3">
        <f t="shared" si="181"/>
        <v>59.641047</v>
      </c>
    </row>
    <row r="5792" spans="1:7" x14ac:dyDescent="0.3">
      <c r="A5792" t="s">
        <v>13039</v>
      </c>
      <c r="B5792" t="s">
        <v>11618</v>
      </c>
      <c r="C5792" t="s">
        <v>11619</v>
      </c>
      <c r="D5792" s="1" t="s">
        <v>38</v>
      </c>
      <c r="E5792" s="3">
        <v>876.82</v>
      </c>
      <c r="F5792" s="3">
        <f t="shared" si="180"/>
        <v>221.57241400000004</v>
      </c>
      <c r="G5792" s="3">
        <f t="shared" si="181"/>
        <v>1098.3924140000001</v>
      </c>
    </row>
    <row r="5793" spans="1:7" x14ac:dyDescent="0.3">
      <c r="A5793" t="s">
        <v>13039</v>
      </c>
      <c r="B5793" t="s">
        <v>11620</v>
      </c>
      <c r="C5793" t="s">
        <v>11621</v>
      </c>
      <c r="D5793" s="1" t="s">
        <v>38</v>
      </c>
      <c r="E5793" s="3">
        <v>1019.47</v>
      </c>
      <c r="F5793" s="3">
        <f t="shared" si="180"/>
        <v>257.62006900000006</v>
      </c>
      <c r="G5793" s="3">
        <f t="shared" si="181"/>
        <v>1277.0900690000001</v>
      </c>
    </row>
    <row r="5794" spans="1:7" x14ac:dyDescent="0.3">
      <c r="A5794" t="s">
        <v>13039</v>
      </c>
      <c r="B5794" t="s">
        <v>11622</v>
      </c>
      <c r="C5794" t="s">
        <v>11623</v>
      </c>
      <c r="D5794" s="1" t="s">
        <v>38</v>
      </c>
      <c r="E5794" s="3">
        <v>621.07000000000005</v>
      </c>
      <c r="F5794" s="3">
        <f t="shared" si="180"/>
        <v>156.94438900000003</v>
      </c>
      <c r="G5794" s="3">
        <f t="shared" si="181"/>
        <v>778.01438900000005</v>
      </c>
    </row>
    <row r="5795" spans="1:7" x14ac:dyDescent="0.3">
      <c r="A5795" t="s">
        <v>13039</v>
      </c>
      <c r="B5795" t="s">
        <v>11624</v>
      </c>
      <c r="C5795" t="s">
        <v>11625</v>
      </c>
      <c r="D5795" s="1" t="s">
        <v>38</v>
      </c>
      <c r="E5795" s="3">
        <v>738.2</v>
      </c>
      <c r="F5795" s="3">
        <f t="shared" si="180"/>
        <v>186.54314000000005</v>
      </c>
      <c r="G5795" s="3">
        <f t="shared" si="181"/>
        <v>924.74314000000004</v>
      </c>
    </row>
    <row r="5796" spans="1:7" x14ac:dyDescent="0.3">
      <c r="A5796" t="s">
        <v>13039</v>
      </c>
      <c r="B5796" t="s">
        <v>11626</v>
      </c>
      <c r="C5796" t="s">
        <v>11627</v>
      </c>
      <c r="D5796" s="1" t="s">
        <v>38</v>
      </c>
      <c r="E5796" s="3">
        <v>508.84</v>
      </c>
      <c r="F5796" s="3">
        <f t="shared" si="180"/>
        <v>128.58386800000002</v>
      </c>
      <c r="G5796" s="3">
        <f t="shared" si="181"/>
        <v>637.42386799999997</v>
      </c>
    </row>
    <row r="5797" spans="1:7" x14ac:dyDescent="0.3">
      <c r="A5797" t="s">
        <v>13039</v>
      </c>
      <c r="B5797" t="s">
        <v>11628</v>
      </c>
      <c r="C5797" t="s">
        <v>11629</v>
      </c>
      <c r="D5797" s="1" t="s">
        <v>38</v>
      </c>
      <c r="E5797" s="3">
        <v>508.84</v>
      </c>
      <c r="F5797" s="3">
        <f t="shared" si="180"/>
        <v>128.58386800000002</v>
      </c>
      <c r="G5797" s="3">
        <f t="shared" si="181"/>
        <v>637.42386799999997</v>
      </c>
    </row>
    <row r="5798" spans="1:7" x14ac:dyDescent="0.3">
      <c r="A5798" t="s">
        <v>13039</v>
      </c>
      <c r="B5798" t="s">
        <v>11630</v>
      </c>
      <c r="C5798" t="s">
        <v>11631</v>
      </c>
      <c r="D5798" s="1" t="s">
        <v>38</v>
      </c>
      <c r="E5798" s="3">
        <v>542.97</v>
      </c>
      <c r="F5798" s="3">
        <f t="shared" si="180"/>
        <v>137.20851900000002</v>
      </c>
      <c r="G5798" s="3">
        <f t="shared" si="181"/>
        <v>680.17851900000005</v>
      </c>
    </row>
    <row r="5799" spans="1:7" x14ac:dyDescent="0.3">
      <c r="A5799" t="s">
        <v>13039</v>
      </c>
      <c r="B5799" t="s">
        <v>11632</v>
      </c>
      <c r="C5799" t="s">
        <v>11633</v>
      </c>
      <c r="D5799" s="1" t="s">
        <v>38</v>
      </c>
      <c r="E5799" s="3">
        <v>658.01</v>
      </c>
      <c r="F5799" s="3">
        <f t="shared" si="180"/>
        <v>166.27912700000002</v>
      </c>
      <c r="G5799" s="3">
        <f t="shared" si="181"/>
        <v>824.28912700000001</v>
      </c>
    </row>
    <row r="5800" spans="1:7" x14ac:dyDescent="0.3">
      <c r="A5800" t="s">
        <v>13039</v>
      </c>
      <c r="B5800" t="s">
        <v>11634</v>
      </c>
      <c r="C5800" t="s">
        <v>11635</v>
      </c>
      <c r="D5800" s="1" t="s">
        <v>38</v>
      </c>
      <c r="E5800" s="3">
        <v>765.18</v>
      </c>
      <c r="F5800" s="3">
        <f t="shared" si="180"/>
        <v>193.36098600000003</v>
      </c>
      <c r="G5800" s="3">
        <f t="shared" si="181"/>
        <v>958.54098599999998</v>
      </c>
    </row>
    <row r="5801" spans="1:7" x14ac:dyDescent="0.3">
      <c r="A5801" t="s">
        <v>13039</v>
      </c>
      <c r="B5801" t="s">
        <v>11636</v>
      </c>
      <c r="C5801" t="s">
        <v>11637</v>
      </c>
      <c r="D5801" s="1" t="s">
        <v>38</v>
      </c>
      <c r="E5801" s="3">
        <v>452.61</v>
      </c>
      <c r="F5801" s="3">
        <f t="shared" si="180"/>
        <v>114.37454700000002</v>
      </c>
      <c r="G5801" s="3">
        <f t="shared" si="181"/>
        <v>566.98454700000002</v>
      </c>
    </row>
    <row r="5802" spans="1:7" x14ac:dyDescent="0.3">
      <c r="A5802" t="s">
        <v>13039</v>
      </c>
      <c r="B5802" t="s">
        <v>11638</v>
      </c>
      <c r="C5802" t="s">
        <v>11639</v>
      </c>
      <c r="D5802" s="1" t="s">
        <v>38</v>
      </c>
      <c r="E5802" s="3">
        <v>522.23</v>
      </c>
      <c r="F5802" s="3">
        <f t="shared" si="180"/>
        <v>131.96752100000003</v>
      </c>
      <c r="G5802" s="3">
        <f t="shared" si="181"/>
        <v>654.19752100000005</v>
      </c>
    </row>
    <row r="5803" spans="1:7" x14ac:dyDescent="0.3">
      <c r="A5803" t="s">
        <v>13039</v>
      </c>
      <c r="B5803" t="s">
        <v>11640</v>
      </c>
      <c r="C5803" t="s">
        <v>11641</v>
      </c>
      <c r="D5803" s="1" t="s">
        <v>38</v>
      </c>
      <c r="E5803" s="3">
        <v>547.70000000000005</v>
      </c>
      <c r="F5803" s="3">
        <f t="shared" si="180"/>
        <v>138.40379000000004</v>
      </c>
      <c r="G5803" s="3">
        <f t="shared" si="181"/>
        <v>686.10379000000012</v>
      </c>
    </row>
    <row r="5804" spans="1:7" x14ac:dyDescent="0.3">
      <c r="A5804" t="s">
        <v>13039</v>
      </c>
      <c r="B5804" t="s">
        <v>11642</v>
      </c>
      <c r="C5804" t="s">
        <v>11643</v>
      </c>
      <c r="D5804" s="1" t="s">
        <v>38</v>
      </c>
      <c r="E5804" s="3">
        <v>542.97</v>
      </c>
      <c r="F5804" s="3">
        <f t="shared" si="180"/>
        <v>137.20851900000002</v>
      </c>
      <c r="G5804" s="3">
        <f t="shared" si="181"/>
        <v>680.17851900000005</v>
      </c>
    </row>
    <row r="5805" spans="1:7" x14ac:dyDescent="0.3">
      <c r="A5805" t="s">
        <v>13039</v>
      </c>
      <c r="B5805" t="s">
        <v>11644</v>
      </c>
      <c r="C5805" t="s">
        <v>11645</v>
      </c>
      <c r="D5805" s="1" t="s">
        <v>38</v>
      </c>
      <c r="E5805" s="3">
        <v>610.1</v>
      </c>
      <c r="F5805" s="3">
        <f t="shared" si="180"/>
        <v>154.17227000000003</v>
      </c>
      <c r="G5805" s="3">
        <f t="shared" si="181"/>
        <v>764.27227000000005</v>
      </c>
    </row>
    <row r="5806" spans="1:7" x14ac:dyDescent="0.3">
      <c r="A5806" t="s">
        <v>13039</v>
      </c>
      <c r="B5806" t="s">
        <v>11646</v>
      </c>
      <c r="C5806" t="s">
        <v>11647</v>
      </c>
      <c r="D5806" s="1" t="s">
        <v>38</v>
      </c>
      <c r="E5806" s="3">
        <v>765.18</v>
      </c>
      <c r="F5806" s="3">
        <f t="shared" si="180"/>
        <v>193.36098600000003</v>
      </c>
      <c r="G5806" s="3">
        <f t="shared" si="181"/>
        <v>958.54098599999998</v>
      </c>
    </row>
    <row r="5807" spans="1:7" x14ac:dyDescent="0.3">
      <c r="A5807" t="s">
        <v>13039</v>
      </c>
      <c r="B5807" t="s">
        <v>11648</v>
      </c>
      <c r="C5807" t="s">
        <v>11649</v>
      </c>
      <c r="D5807" s="1" t="s">
        <v>38</v>
      </c>
      <c r="E5807" s="3">
        <v>997.89</v>
      </c>
      <c r="F5807" s="3">
        <f t="shared" si="180"/>
        <v>252.16680300000004</v>
      </c>
      <c r="G5807" s="3">
        <f t="shared" si="181"/>
        <v>1250.0568029999999</v>
      </c>
    </row>
    <row r="5808" spans="1:7" x14ac:dyDescent="0.3">
      <c r="A5808" t="s">
        <v>13039</v>
      </c>
      <c r="B5808" t="s">
        <v>11650</v>
      </c>
      <c r="C5808" t="s">
        <v>11651</v>
      </c>
      <c r="D5808" s="1" t="s">
        <v>38</v>
      </c>
      <c r="E5808" s="3">
        <v>1130.98</v>
      </c>
      <c r="F5808" s="3">
        <f t="shared" si="180"/>
        <v>285.79864600000002</v>
      </c>
      <c r="G5808" s="3">
        <f t="shared" si="181"/>
        <v>1416.778646</v>
      </c>
    </row>
    <row r="5809" spans="1:7" x14ac:dyDescent="0.3">
      <c r="A5809" t="s">
        <v>13039</v>
      </c>
      <c r="B5809" t="s">
        <v>11652</v>
      </c>
      <c r="C5809" t="s">
        <v>11653</v>
      </c>
      <c r="D5809" s="1" t="s">
        <v>38</v>
      </c>
      <c r="E5809" s="3">
        <v>1803.83</v>
      </c>
      <c r="F5809" s="3">
        <f t="shared" si="180"/>
        <v>455.82784100000003</v>
      </c>
      <c r="G5809" s="3">
        <f t="shared" si="181"/>
        <v>2259.6578410000002</v>
      </c>
    </row>
    <row r="5810" spans="1:7" x14ac:dyDescent="0.3">
      <c r="A5810" t="s">
        <v>13039</v>
      </c>
      <c r="B5810" t="s">
        <v>11654</v>
      </c>
      <c r="C5810" t="s">
        <v>11655</v>
      </c>
      <c r="D5810" s="1" t="s">
        <v>38</v>
      </c>
      <c r="E5810" s="3">
        <v>2755.5</v>
      </c>
      <c r="F5810" s="3">
        <f t="shared" si="180"/>
        <v>696.31485000000009</v>
      </c>
      <c r="G5810" s="3">
        <f t="shared" si="181"/>
        <v>3451.8148500000002</v>
      </c>
    </row>
    <row r="5811" spans="1:7" x14ac:dyDescent="0.3">
      <c r="A5811" t="s">
        <v>13039</v>
      </c>
      <c r="B5811" t="s">
        <v>11656</v>
      </c>
      <c r="C5811" t="s">
        <v>11657</v>
      </c>
      <c r="D5811" s="1" t="s">
        <v>195</v>
      </c>
      <c r="E5811" s="3">
        <v>144.9</v>
      </c>
      <c r="F5811" s="3">
        <f t="shared" si="180"/>
        <v>36.616230000000009</v>
      </c>
      <c r="G5811" s="3">
        <f t="shared" si="181"/>
        <v>181.51623000000001</v>
      </c>
    </row>
    <row r="5812" spans="1:7" x14ac:dyDescent="0.3">
      <c r="A5812" t="s">
        <v>13039</v>
      </c>
      <c r="B5812" t="s">
        <v>11658</v>
      </c>
      <c r="C5812" t="s">
        <v>11659</v>
      </c>
      <c r="D5812" s="1" t="s">
        <v>195</v>
      </c>
      <c r="E5812" s="3">
        <v>160.38999999999999</v>
      </c>
      <c r="F5812" s="3">
        <f t="shared" si="180"/>
        <v>40.530553000000005</v>
      </c>
      <c r="G5812" s="3">
        <f t="shared" si="181"/>
        <v>200.92055299999998</v>
      </c>
    </row>
    <row r="5813" spans="1:7" x14ac:dyDescent="0.3">
      <c r="A5813" t="s">
        <v>13039</v>
      </c>
      <c r="B5813" t="s">
        <v>11660</v>
      </c>
      <c r="C5813" t="s">
        <v>11661</v>
      </c>
      <c r="D5813" s="1" t="s">
        <v>195</v>
      </c>
      <c r="E5813" s="3">
        <v>174.01</v>
      </c>
      <c r="F5813" s="3">
        <f t="shared" si="180"/>
        <v>43.972327000000007</v>
      </c>
      <c r="G5813" s="3">
        <f t="shared" si="181"/>
        <v>217.982327</v>
      </c>
    </row>
    <row r="5814" spans="1:7" x14ac:dyDescent="0.3">
      <c r="A5814" t="s">
        <v>13039</v>
      </c>
      <c r="B5814" t="s">
        <v>11662</v>
      </c>
      <c r="C5814" t="s">
        <v>11663</v>
      </c>
      <c r="D5814" s="1" t="s">
        <v>195</v>
      </c>
      <c r="E5814" s="3">
        <v>182.98</v>
      </c>
      <c r="F5814" s="3">
        <f t="shared" si="180"/>
        <v>46.239046000000002</v>
      </c>
      <c r="G5814" s="3">
        <f t="shared" si="181"/>
        <v>229.21904599999999</v>
      </c>
    </row>
    <row r="5815" spans="1:7" x14ac:dyDescent="0.3">
      <c r="A5815" t="s">
        <v>13039</v>
      </c>
      <c r="B5815" t="s">
        <v>11664</v>
      </c>
      <c r="C5815" t="s">
        <v>11665</v>
      </c>
      <c r="D5815" s="1" t="s">
        <v>195</v>
      </c>
      <c r="E5815" s="3">
        <v>265.60000000000002</v>
      </c>
      <c r="F5815" s="3">
        <f t="shared" si="180"/>
        <v>67.117120000000014</v>
      </c>
      <c r="G5815" s="3">
        <f t="shared" si="181"/>
        <v>332.71712000000002</v>
      </c>
    </row>
    <row r="5816" spans="1:7" x14ac:dyDescent="0.3">
      <c r="A5816" t="s">
        <v>13039</v>
      </c>
      <c r="B5816" t="s">
        <v>11666</v>
      </c>
      <c r="C5816" t="s">
        <v>11667</v>
      </c>
      <c r="D5816" s="1" t="s">
        <v>195</v>
      </c>
      <c r="E5816" s="3">
        <v>338</v>
      </c>
      <c r="F5816" s="3">
        <f t="shared" si="180"/>
        <v>85.412600000000012</v>
      </c>
      <c r="G5816" s="3">
        <f t="shared" si="181"/>
        <v>423.4126</v>
      </c>
    </row>
    <row r="5817" spans="1:7" x14ac:dyDescent="0.3">
      <c r="A5817" t="s">
        <v>13039</v>
      </c>
      <c r="B5817" t="s">
        <v>11668</v>
      </c>
      <c r="C5817" t="s">
        <v>11669</v>
      </c>
      <c r="D5817" s="1" t="s">
        <v>195</v>
      </c>
      <c r="E5817" s="3">
        <v>246.86</v>
      </c>
      <c r="F5817" s="3">
        <f t="shared" si="180"/>
        <v>62.381522000000011</v>
      </c>
      <c r="G5817" s="3">
        <f t="shared" si="181"/>
        <v>309.24152200000003</v>
      </c>
    </row>
    <row r="5818" spans="1:7" x14ac:dyDescent="0.3">
      <c r="A5818" t="s">
        <v>13039</v>
      </c>
      <c r="B5818" t="s">
        <v>11670</v>
      </c>
      <c r="C5818" t="s">
        <v>11671</v>
      </c>
      <c r="D5818" s="1" t="s">
        <v>195</v>
      </c>
      <c r="E5818" s="3">
        <v>283.74</v>
      </c>
      <c r="F5818" s="3">
        <f t="shared" si="180"/>
        <v>71.701098000000016</v>
      </c>
      <c r="G5818" s="3">
        <f t="shared" si="181"/>
        <v>355.44109800000001</v>
      </c>
    </row>
    <row r="5819" spans="1:7" x14ac:dyDescent="0.3">
      <c r="A5819" t="s">
        <v>13039</v>
      </c>
      <c r="B5819" t="s">
        <v>11672</v>
      </c>
      <c r="C5819" t="s">
        <v>11673</v>
      </c>
      <c r="D5819" s="1" t="s">
        <v>195</v>
      </c>
      <c r="E5819" s="3">
        <v>345.46</v>
      </c>
      <c r="F5819" s="3">
        <f t="shared" si="180"/>
        <v>87.297742000000014</v>
      </c>
      <c r="G5819" s="3">
        <f t="shared" si="181"/>
        <v>432.75774200000001</v>
      </c>
    </row>
    <row r="5820" spans="1:7" x14ac:dyDescent="0.3">
      <c r="A5820" t="s">
        <v>13039</v>
      </c>
      <c r="B5820" t="s">
        <v>11674</v>
      </c>
      <c r="C5820" t="s">
        <v>11675</v>
      </c>
      <c r="D5820" s="1" t="s">
        <v>195</v>
      </c>
      <c r="E5820" s="3">
        <v>454.69</v>
      </c>
      <c r="F5820" s="3">
        <f t="shared" si="180"/>
        <v>114.90016300000002</v>
      </c>
      <c r="G5820" s="3">
        <f t="shared" si="181"/>
        <v>569.59016300000008</v>
      </c>
    </row>
    <row r="5821" spans="1:7" x14ac:dyDescent="0.3">
      <c r="A5821" t="s">
        <v>13039</v>
      </c>
      <c r="B5821" t="s">
        <v>11676</v>
      </c>
      <c r="C5821" t="s">
        <v>11677</v>
      </c>
      <c r="D5821" s="1" t="s">
        <v>195</v>
      </c>
      <c r="E5821" s="3">
        <v>526.66999999999996</v>
      </c>
      <c r="F5821" s="3">
        <f t="shared" si="180"/>
        <v>133.08950900000002</v>
      </c>
      <c r="G5821" s="3">
        <f t="shared" si="181"/>
        <v>659.75950899999998</v>
      </c>
    </row>
    <row r="5822" spans="1:7" x14ac:dyDescent="0.3">
      <c r="A5822" t="s">
        <v>13039</v>
      </c>
      <c r="B5822" t="s">
        <v>11678</v>
      </c>
      <c r="C5822" t="s">
        <v>11679</v>
      </c>
      <c r="D5822" s="1" t="s">
        <v>195</v>
      </c>
      <c r="E5822" s="3">
        <v>210.01</v>
      </c>
      <c r="F5822" s="3">
        <f t="shared" si="180"/>
        <v>53.069527000000008</v>
      </c>
      <c r="G5822" s="3">
        <f t="shared" si="181"/>
        <v>263.07952699999998</v>
      </c>
    </row>
    <row r="5823" spans="1:7" x14ac:dyDescent="0.3">
      <c r="A5823" t="s">
        <v>13039</v>
      </c>
      <c r="B5823" t="s">
        <v>11680</v>
      </c>
      <c r="C5823" t="s">
        <v>11681</v>
      </c>
      <c r="D5823" s="1" t="s">
        <v>195</v>
      </c>
      <c r="E5823" s="3">
        <v>227.84</v>
      </c>
      <c r="F5823" s="3">
        <f t="shared" si="180"/>
        <v>57.575168000000012</v>
      </c>
      <c r="G5823" s="3">
        <f t="shared" si="181"/>
        <v>285.41516799999999</v>
      </c>
    </row>
    <row r="5824" spans="1:7" x14ac:dyDescent="0.3">
      <c r="A5824" t="s">
        <v>13039</v>
      </c>
      <c r="B5824" t="s">
        <v>11682</v>
      </c>
      <c r="C5824" t="s">
        <v>11683</v>
      </c>
      <c r="D5824" s="1" t="s">
        <v>195</v>
      </c>
      <c r="E5824" s="3">
        <v>169.8</v>
      </c>
      <c r="F5824" s="3">
        <f t="shared" si="180"/>
        <v>42.908460000000012</v>
      </c>
      <c r="G5824" s="3">
        <f t="shared" si="181"/>
        <v>212.70846000000003</v>
      </c>
    </row>
    <row r="5825" spans="1:7" x14ac:dyDescent="0.3">
      <c r="A5825" t="s">
        <v>13039</v>
      </c>
      <c r="B5825" t="s">
        <v>11684</v>
      </c>
      <c r="C5825" t="s">
        <v>11685</v>
      </c>
      <c r="D5825" s="1" t="s">
        <v>195</v>
      </c>
      <c r="E5825" s="3">
        <v>187.63</v>
      </c>
      <c r="F5825" s="3">
        <f t="shared" si="180"/>
        <v>47.414101000000002</v>
      </c>
      <c r="G5825" s="3">
        <f t="shared" si="181"/>
        <v>235.04410100000001</v>
      </c>
    </row>
    <row r="5826" spans="1:7" x14ac:dyDescent="0.3">
      <c r="A5826" t="s">
        <v>13039</v>
      </c>
      <c r="B5826" t="s">
        <v>11686</v>
      </c>
      <c r="C5826" t="s">
        <v>11687</v>
      </c>
      <c r="D5826" s="1" t="s">
        <v>195</v>
      </c>
      <c r="E5826" s="3">
        <v>174.15</v>
      </c>
      <c r="F5826" s="3">
        <f t="shared" si="180"/>
        <v>44.007705000000009</v>
      </c>
      <c r="G5826" s="3">
        <f t="shared" si="181"/>
        <v>218.15770500000002</v>
      </c>
    </row>
    <row r="5827" spans="1:7" x14ac:dyDescent="0.3">
      <c r="A5827" t="s">
        <v>13039</v>
      </c>
      <c r="B5827" t="s">
        <v>11688</v>
      </c>
      <c r="C5827" t="s">
        <v>11689</v>
      </c>
      <c r="D5827" s="1" t="s">
        <v>195</v>
      </c>
      <c r="E5827" s="3">
        <v>241.19</v>
      </c>
      <c r="F5827" s="3">
        <f t="shared" si="180"/>
        <v>60.948713000000005</v>
      </c>
      <c r="G5827" s="3">
        <f t="shared" si="181"/>
        <v>302.138713</v>
      </c>
    </row>
    <row r="5828" spans="1:7" x14ac:dyDescent="0.3">
      <c r="A5828" t="s">
        <v>13039</v>
      </c>
      <c r="B5828" t="s">
        <v>11690</v>
      </c>
      <c r="C5828" t="s">
        <v>11691</v>
      </c>
      <c r="D5828" s="1" t="s">
        <v>195</v>
      </c>
      <c r="E5828" s="3">
        <v>374.1</v>
      </c>
      <c r="F5828" s="3">
        <f t="shared" si="180"/>
        <v>94.535070000000019</v>
      </c>
      <c r="G5828" s="3">
        <f t="shared" si="181"/>
        <v>468.63507000000004</v>
      </c>
    </row>
    <row r="5829" spans="1:7" x14ac:dyDescent="0.3">
      <c r="A5829" t="s">
        <v>13039</v>
      </c>
      <c r="B5829" t="s">
        <v>11692</v>
      </c>
      <c r="C5829" t="s">
        <v>11693</v>
      </c>
      <c r="D5829" s="1" t="s">
        <v>195</v>
      </c>
      <c r="E5829" s="3">
        <v>276.11</v>
      </c>
      <c r="F5829" s="3">
        <f t="shared" si="180"/>
        <v>69.772997000000018</v>
      </c>
      <c r="G5829" s="3">
        <f t="shared" si="181"/>
        <v>345.88299700000005</v>
      </c>
    </row>
    <row r="5830" spans="1:7" x14ac:dyDescent="0.3">
      <c r="A5830" t="s">
        <v>13039</v>
      </c>
      <c r="B5830" t="s">
        <v>11694</v>
      </c>
      <c r="C5830" t="s">
        <v>11695</v>
      </c>
      <c r="D5830" s="1" t="s">
        <v>195</v>
      </c>
      <c r="E5830" s="3">
        <v>341.89</v>
      </c>
      <c r="F5830" s="3">
        <f t="shared" si="180"/>
        <v>86.395603000000008</v>
      </c>
      <c r="G5830" s="3">
        <f t="shared" si="181"/>
        <v>428.28560299999998</v>
      </c>
    </row>
    <row r="5831" spans="1:7" x14ac:dyDescent="0.3">
      <c r="A5831" t="s">
        <v>13039</v>
      </c>
      <c r="B5831" t="s">
        <v>11696</v>
      </c>
      <c r="C5831" t="s">
        <v>11697</v>
      </c>
      <c r="D5831" s="1" t="s">
        <v>195</v>
      </c>
      <c r="E5831" s="3">
        <v>420.04</v>
      </c>
      <c r="F5831" s="3">
        <f t="shared" ref="F5831:F5894" si="182">+E5831*$F$4</f>
        <v>106.14410800000002</v>
      </c>
      <c r="G5831" s="3">
        <f t="shared" ref="G5831:G5894" si="183">+E5831+F5831</f>
        <v>526.18410800000004</v>
      </c>
    </row>
    <row r="5832" spans="1:7" x14ac:dyDescent="0.3">
      <c r="A5832" t="s">
        <v>13039</v>
      </c>
      <c r="B5832" t="s">
        <v>11698</v>
      </c>
      <c r="C5832" t="s">
        <v>11699</v>
      </c>
      <c r="D5832" s="1" t="s">
        <v>195</v>
      </c>
      <c r="E5832" s="3">
        <v>464.12</v>
      </c>
      <c r="F5832" s="3">
        <f t="shared" si="182"/>
        <v>117.28312400000002</v>
      </c>
      <c r="G5832" s="3">
        <f t="shared" si="183"/>
        <v>581.40312400000005</v>
      </c>
    </row>
    <row r="5833" spans="1:7" x14ac:dyDescent="0.3">
      <c r="A5833" t="s">
        <v>13039</v>
      </c>
      <c r="B5833" t="s">
        <v>11700</v>
      </c>
      <c r="C5833" t="s">
        <v>11701</v>
      </c>
      <c r="D5833" s="1" t="s">
        <v>195</v>
      </c>
      <c r="E5833" s="3">
        <v>541.22</v>
      </c>
      <c r="F5833" s="3">
        <f t="shared" si="182"/>
        <v>136.76629400000002</v>
      </c>
      <c r="G5833" s="3">
        <f t="shared" si="183"/>
        <v>677.98629400000004</v>
      </c>
    </row>
    <row r="5834" spans="1:7" x14ac:dyDescent="0.3">
      <c r="A5834" t="s">
        <v>13039</v>
      </c>
      <c r="B5834" t="s">
        <v>11702</v>
      </c>
      <c r="C5834" t="s">
        <v>11703</v>
      </c>
      <c r="D5834" s="1" t="s">
        <v>195</v>
      </c>
      <c r="E5834" s="3">
        <v>662.88</v>
      </c>
      <c r="F5834" s="3">
        <f t="shared" si="182"/>
        <v>167.50977600000002</v>
      </c>
      <c r="G5834" s="3">
        <f t="shared" si="183"/>
        <v>830.38977599999998</v>
      </c>
    </row>
    <row r="5835" spans="1:7" x14ac:dyDescent="0.3">
      <c r="A5835" t="s">
        <v>13039</v>
      </c>
      <c r="B5835" t="s">
        <v>11704</v>
      </c>
      <c r="C5835" t="s">
        <v>11705</v>
      </c>
      <c r="D5835" s="1" t="s">
        <v>195</v>
      </c>
      <c r="E5835" s="3">
        <v>804.21</v>
      </c>
      <c r="F5835" s="3">
        <f t="shared" si="182"/>
        <v>203.22386700000004</v>
      </c>
      <c r="G5835" s="3">
        <f t="shared" si="183"/>
        <v>1007.4338670000001</v>
      </c>
    </row>
    <row r="5836" spans="1:7" x14ac:dyDescent="0.3">
      <c r="A5836" t="s">
        <v>13039</v>
      </c>
      <c r="B5836" t="s">
        <v>11706</v>
      </c>
      <c r="C5836" t="s">
        <v>11707</v>
      </c>
      <c r="D5836" s="1" t="s">
        <v>8767</v>
      </c>
      <c r="E5836" s="3">
        <v>26.9</v>
      </c>
      <c r="F5836" s="3">
        <f t="shared" si="182"/>
        <v>6.7976300000000007</v>
      </c>
      <c r="G5836" s="3">
        <f t="shared" si="183"/>
        <v>33.697629999999997</v>
      </c>
    </row>
    <row r="5837" spans="1:7" x14ac:dyDescent="0.3">
      <c r="A5837" t="s">
        <v>13039</v>
      </c>
      <c r="B5837" t="s">
        <v>11708</v>
      </c>
      <c r="C5837" t="s">
        <v>11709</v>
      </c>
      <c r="D5837" s="1" t="s">
        <v>8767</v>
      </c>
      <c r="E5837" s="3">
        <v>5.88</v>
      </c>
      <c r="F5837" s="3">
        <f t="shared" si="182"/>
        <v>1.4858760000000002</v>
      </c>
      <c r="G5837" s="3">
        <f t="shared" si="183"/>
        <v>7.3658760000000001</v>
      </c>
    </row>
    <row r="5838" spans="1:7" x14ac:dyDescent="0.3">
      <c r="A5838" t="s">
        <v>13039</v>
      </c>
      <c r="B5838" t="s">
        <v>11710</v>
      </c>
      <c r="C5838" t="s">
        <v>11711</v>
      </c>
      <c r="D5838" s="1" t="s">
        <v>8767</v>
      </c>
      <c r="E5838" s="3">
        <v>6.04</v>
      </c>
      <c r="F5838" s="3">
        <f t="shared" si="182"/>
        <v>1.5263080000000002</v>
      </c>
      <c r="G5838" s="3">
        <f t="shared" si="183"/>
        <v>7.5663080000000003</v>
      </c>
    </row>
    <row r="5839" spans="1:7" x14ac:dyDescent="0.3">
      <c r="A5839" t="s">
        <v>13039</v>
      </c>
      <c r="B5839" t="s">
        <v>11712</v>
      </c>
      <c r="C5839" t="s">
        <v>11713</v>
      </c>
      <c r="D5839" s="1" t="s">
        <v>8767</v>
      </c>
      <c r="E5839" s="3">
        <v>11.33</v>
      </c>
      <c r="F5839" s="3">
        <f t="shared" si="182"/>
        <v>2.8630910000000003</v>
      </c>
      <c r="G5839" s="3">
        <f t="shared" si="183"/>
        <v>14.193091000000001</v>
      </c>
    </row>
    <row r="5840" spans="1:7" x14ac:dyDescent="0.3">
      <c r="A5840" t="s">
        <v>13039</v>
      </c>
      <c r="B5840" t="s">
        <v>11714</v>
      </c>
      <c r="C5840" t="s">
        <v>11715</v>
      </c>
      <c r="D5840" s="1" t="s">
        <v>8767</v>
      </c>
      <c r="E5840" s="3">
        <v>10.15</v>
      </c>
      <c r="F5840" s="3">
        <f t="shared" si="182"/>
        <v>2.5649050000000004</v>
      </c>
      <c r="G5840" s="3">
        <f t="shared" si="183"/>
        <v>12.714905000000002</v>
      </c>
    </row>
    <row r="5841" spans="1:7" x14ac:dyDescent="0.3">
      <c r="A5841" t="s">
        <v>13039</v>
      </c>
      <c r="B5841" t="s">
        <v>11716</v>
      </c>
      <c r="C5841" t="s">
        <v>11717</v>
      </c>
      <c r="D5841" s="1" t="s">
        <v>8767</v>
      </c>
      <c r="E5841" s="3">
        <v>10.28</v>
      </c>
      <c r="F5841" s="3">
        <f t="shared" si="182"/>
        <v>2.5977560000000004</v>
      </c>
      <c r="G5841" s="3">
        <f t="shared" si="183"/>
        <v>12.877756</v>
      </c>
    </row>
    <row r="5842" spans="1:7" x14ac:dyDescent="0.3">
      <c r="A5842" t="s">
        <v>13039</v>
      </c>
      <c r="B5842" t="s">
        <v>11718</v>
      </c>
      <c r="C5842" t="s">
        <v>11719</v>
      </c>
      <c r="D5842" s="1" t="s">
        <v>38</v>
      </c>
      <c r="E5842" s="3">
        <v>7092.21</v>
      </c>
      <c r="F5842" s="3">
        <f t="shared" si="182"/>
        <v>1792.2014670000003</v>
      </c>
      <c r="G5842" s="3">
        <f t="shared" si="183"/>
        <v>8884.4114669999999</v>
      </c>
    </row>
    <row r="5843" spans="1:7" x14ac:dyDescent="0.3">
      <c r="A5843" t="s">
        <v>13039</v>
      </c>
      <c r="B5843" t="s">
        <v>11720</v>
      </c>
      <c r="C5843" t="s">
        <v>11721</v>
      </c>
      <c r="D5843" s="1" t="s">
        <v>38</v>
      </c>
      <c r="E5843" s="3">
        <v>6281.03</v>
      </c>
      <c r="F5843" s="3">
        <f t="shared" si="182"/>
        <v>1587.2162810000002</v>
      </c>
      <c r="G5843" s="3">
        <f t="shared" si="183"/>
        <v>7868.2462809999997</v>
      </c>
    </row>
    <row r="5844" spans="1:7" x14ac:dyDescent="0.3">
      <c r="A5844" t="s">
        <v>13039</v>
      </c>
      <c r="B5844" t="s">
        <v>11722</v>
      </c>
      <c r="C5844" t="s">
        <v>11723</v>
      </c>
      <c r="D5844" s="1" t="s">
        <v>38</v>
      </c>
      <c r="E5844" s="3">
        <v>3776.13</v>
      </c>
      <c r="F5844" s="3">
        <f t="shared" si="182"/>
        <v>954.22805100000016</v>
      </c>
      <c r="G5844" s="3">
        <f t="shared" si="183"/>
        <v>4730.3580510000002</v>
      </c>
    </row>
    <row r="5845" spans="1:7" x14ac:dyDescent="0.3">
      <c r="A5845" t="s">
        <v>13039</v>
      </c>
      <c r="B5845" t="s">
        <v>11724</v>
      </c>
      <c r="C5845" t="s">
        <v>11725</v>
      </c>
      <c r="D5845" s="1" t="s">
        <v>38</v>
      </c>
      <c r="E5845" s="3">
        <v>3293.9</v>
      </c>
      <c r="F5845" s="3">
        <f t="shared" si="182"/>
        <v>832.36853000000019</v>
      </c>
      <c r="G5845" s="3">
        <f t="shared" si="183"/>
        <v>4126.2685300000003</v>
      </c>
    </row>
    <row r="5846" spans="1:7" x14ac:dyDescent="0.3">
      <c r="A5846" t="s">
        <v>13039</v>
      </c>
      <c r="B5846" t="s">
        <v>11726</v>
      </c>
      <c r="C5846" t="s">
        <v>11727</v>
      </c>
      <c r="D5846" s="1" t="s">
        <v>8767</v>
      </c>
      <c r="E5846" s="3">
        <v>2.61</v>
      </c>
      <c r="F5846" s="3">
        <f t="shared" si="182"/>
        <v>0.65954700000000011</v>
      </c>
      <c r="G5846" s="3">
        <f t="shared" si="183"/>
        <v>3.2695470000000002</v>
      </c>
    </row>
    <row r="5847" spans="1:7" x14ac:dyDescent="0.3">
      <c r="A5847" t="s">
        <v>13039</v>
      </c>
      <c r="B5847" t="s">
        <v>11728</v>
      </c>
      <c r="C5847" t="s">
        <v>11729</v>
      </c>
      <c r="D5847" s="1" t="s">
        <v>8767</v>
      </c>
      <c r="E5847" s="3">
        <v>7.9</v>
      </c>
      <c r="F5847" s="3">
        <f t="shared" si="182"/>
        <v>1.9963300000000004</v>
      </c>
      <c r="G5847" s="3">
        <f t="shared" si="183"/>
        <v>9.8963300000000007</v>
      </c>
    </row>
    <row r="5848" spans="1:7" x14ac:dyDescent="0.3">
      <c r="A5848" t="s">
        <v>13039</v>
      </c>
      <c r="B5848" t="s">
        <v>11730</v>
      </c>
      <c r="C5848" t="s">
        <v>11731</v>
      </c>
      <c r="D5848" s="1" t="s">
        <v>8767</v>
      </c>
      <c r="E5848" s="3">
        <v>1.82</v>
      </c>
      <c r="F5848" s="3">
        <f t="shared" si="182"/>
        <v>0.4599140000000001</v>
      </c>
      <c r="G5848" s="3">
        <f t="shared" si="183"/>
        <v>2.2799140000000002</v>
      </c>
    </row>
    <row r="5849" spans="1:7" x14ac:dyDescent="0.3">
      <c r="A5849" t="s">
        <v>13039</v>
      </c>
      <c r="B5849" t="s">
        <v>11732</v>
      </c>
      <c r="C5849" t="s">
        <v>11733</v>
      </c>
      <c r="D5849" s="1" t="s">
        <v>8767</v>
      </c>
      <c r="E5849" s="3">
        <v>3.79</v>
      </c>
      <c r="F5849" s="3">
        <f t="shared" si="182"/>
        <v>0.95773300000000017</v>
      </c>
      <c r="G5849" s="3">
        <f t="shared" si="183"/>
        <v>4.7477330000000002</v>
      </c>
    </row>
    <row r="5850" spans="1:7" x14ac:dyDescent="0.3">
      <c r="A5850" t="s">
        <v>13039</v>
      </c>
      <c r="B5850" t="s">
        <v>11734</v>
      </c>
      <c r="C5850" t="s">
        <v>11735</v>
      </c>
      <c r="D5850" s="1" t="s">
        <v>8767</v>
      </c>
      <c r="E5850" s="3">
        <v>9.07</v>
      </c>
      <c r="F5850" s="3">
        <f t="shared" si="182"/>
        <v>2.2919890000000005</v>
      </c>
      <c r="G5850" s="3">
        <f t="shared" si="183"/>
        <v>11.361989000000001</v>
      </c>
    </row>
    <row r="5851" spans="1:7" x14ac:dyDescent="0.3">
      <c r="A5851" t="s">
        <v>13039</v>
      </c>
      <c r="B5851" t="s">
        <v>11736</v>
      </c>
      <c r="C5851" t="s">
        <v>11737</v>
      </c>
      <c r="D5851" s="1" t="s">
        <v>8767</v>
      </c>
      <c r="E5851" s="3">
        <v>2.99</v>
      </c>
      <c r="F5851" s="3">
        <f t="shared" si="182"/>
        <v>0.75557300000000016</v>
      </c>
      <c r="G5851" s="3">
        <f t="shared" si="183"/>
        <v>3.7455730000000003</v>
      </c>
    </row>
    <row r="5852" spans="1:7" x14ac:dyDescent="0.3">
      <c r="A5852" t="s">
        <v>13039</v>
      </c>
      <c r="B5852" t="s">
        <v>11738</v>
      </c>
      <c r="C5852" t="s">
        <v>11739</v>
      </c>
      <c r="D5852" s="1" t="s">
        <v>8767</v>
      </c>
      <c r="E5852" s="3">
        <v>1.9</v>
      </c>
      <c r="F5852" s="3">
        <f t="shared" si="182"/>
        <v>0.48013000000000006</v>
      </c>
      <c r="G5852" s="3">
        <f t="shared" si="183"/>
        <v>2.3801299999999999</v>
      </c>
    </row>
    <row r="5853" spans="1:7" x14ac:dyDescent="0.3">
      <c r="A5853" t="s">
        <v>13039</v>
      </c>
      <c r="B5853" t="s">
        <v>11740</v>
      </c>
      <c r="C5853" t="s">
        <v>11741</v>
      </c>
      <c r="D5853" s="1" t="s">
        <v>8767</v>
      </c>
      <c r="E5853" s="3">
        <v>9.64</v>
      </c>
      <c r="F5853" s="3">
        <f t="shared" si="182"/>
        <v>2.4360280000000003</v>
      </c>
      <c r="G5853" s="3">
        <f t="shared" si="183"/>
        <v>12.076028000000001</v>
      </c>
    </row>
    <row r="5854" spans="1:7" x14ac:dyDescent="0.3">
      <c r="A5854" t="s">
        <v>13039</v>
      </c>
      <c r="B5854" t="s">
        <v>11742</v>
      </c>
      <c r="C5854" t="s">
        <v>11743</v>
      </c>
      <c r="D5854" s="1" t="s">
        <v>8767</v>
      </c>
      <c r="E5854" s="3">
        <v>3.49</v>
      </c>
      <c r="F5854" s="3">
        <f t="shared" si="182"/>
        <v>0.88192300000000012</v>
      </c>
      <c r="G5854" s="3">
        <f t="shared" si="183"/>
        <v>4.3719230000000007</v>
      </c>
    </row>
    <row r="5855" spans="1:7" x14ac:dyDescent="0.3">
      <c r="A5855" t="s">
        <v>13039</v>
      </c>
      <c r="B5855" t="s">
        <v>11744</v>
      </c>
      <c r="C5855" t="s">
        <v>11745</v>
      </c>
      <c r="D5855" s="1" t="s">
        <v>8767</v>
      </c>
      <c r="E5855" s="3">
        <v>5.52</v>
      </c>
      <c r="F5855" s="3">
        <f t="shared" si="182"/>
        <v>1.3949040000000001</v>
      </c>
      <c r="G5855" s="3">
        <f t="shared" si="183"/>
        <v>6.9149039999999999</v>
      </c>
    </row>
    <row r="5856" spans="1:7" x14ac:dyDescent="0.3">
      <c r="A5856" t="s">
        <v>13039</v>
      </c>
      <c r="B5856" t="s">
        <v>11746</v>
      </c>
      <c r="C5856" t="s">
        <v>11747</v>
      </c>
      <c r="D5856" s="1" t="s">
        <v>8767</v>
      </c>
      <c r="E5856" s="3">
        <v>2.89</v>
      </c>
      <c r="F5856" s="3">
        <f t="shared" si="182"/>
        <v>0.73030300000000015</v>
      </c>
      <c r="G5856" s="3">
        <f t="shared" si="183"/>
        <v>3.6203030000000003</v>
      </c>
    </row>
    <row r="5857" spans="1:7" x14ac:dyDescent="0.3">
      <c r="A5857" t="s">
        <v>13039</v>
      </c>
      <c r="B5857" t="s">
        <v>11748</v>
      </c>
      <c r="C5857" t="s">
        <v>11749</v>
      </c>
      <c r="D5857" s="1" t="s">
        <v>8767</v>
      </c>
      <c r="E5857" s="3">
        <v>2.93</v>
      </c>
      <c r="F5857" s="3">
        <f t="shared" si="182"/>
        <v>0.74041100000000015</v>
      </c>
      <c r="G5857" s="3">
        <f t="shared" si="183"/>
        <v>3.6704110000000005</v>
      </c>
    </row>
    <row r="5858" spans="1:7" x14ac:dyDescent="0.3">
      <c r="A5858" t="s">
        <v>13039</v>
      </c>
      <c r="B5858" t="s">
        <v>11750</v>
      </c>
      <c r="C5858" t="s">
        <v>11751</v>
      </c>
      <c r="D5858" s="1" t="s">
        <v>8767</v>
      </c>
      <c r="E5858" s="3">
        <v>3.08</v>
      </c>
      <c r="F5858" s="3">
        <f t="shared" si="182"/>
        <v>0.77831600000000012</v>
      </c>
      <c r="G5858" s="3">
        <f t="shared" si="183"/>
        <v>3.8583160000000003</v>
      </c>
    </row>
    <row r="5859" spans="1:7" x14ac:dyDescent="0.3">
      <c r="A5859" t="s">
        <v>13039</v>
      </c>
      <c r="B5859" t="s">
        <v>11752</v>
      </c>
      <c r="C5859" t="s">
        <v>11753</v>
      </c>
      <c r="D5859" s="1" t="s">
        <v>8767</v>
      </c>
      <c r="E5859" s="3">
        <v>5.98</v>
      </c>
      <c r="F5859" s="3">
        <f t="shared" si="182"/>
        <v>1.5111460000000003</v>
      </c>
      <c r="G5859" s="3">
        <f t="shared" si="183"/>
        <v>7.4911460000000005</v>
      </c>
    </row>
    <row r="5860" spans="1:7" x14ac:dyDescent="0.3">
      <c r="A5860" t="s">
        <v>13039</v>
      </c>
      <c r="B5860" t="s">
        <v>11754</v>
      </c>
      <c r="C5860" t="s">
        <v>11755</v>
      </c>
      <c r="D5860" s="1" t="s">
        <v>8767</v>
      </c>
      <c r="E5860" s="3">
        <v>2.14</v>
      </c>
      <c r="F5860" s="3">
        <f t="shared" si="182"/>
        <v>0.54077800000000009</v>
      </c>
      <c r="G5860" s="3">
        <f t="shared" si="183"/>
        <v>2.6807780000000001</v>
      </c>
    </row>
    <row r="5861" spans="1:7" x14ac:dyDescent="0.3">
      <c r="A5861" t="s">
        <v>13039</v>
      </c>
      <c r="B5861" t="s">
        <v>11756</v>
      </c>
      <c r="C5861" t="s">
        <v>11757</v>
      </c>
      <c r="D5861" s="1" t="s">
        <v>8767</v>
      </c>
      <c r="E5861" s="3">
        <v>4.0199999999999996</v>
      </c>
      <c r="F5861" s="3">
        <f t="shared" si="182"/>
        <v>1.015854</v>
      </c>
      <c r="G5861" s="3">
        <f t="shared" si="183"/>
        <v>5.0358539999999996</v>
      </c>
    </row>
    <row r="5862" spans="1:7" x14ac:dyDescent="0.3">
      <c r="A5862" t="s">
        <v>13039</v>
      </c>
      <c r="B5862" t="s">
        <v>11758</v>
      </c>
      <c r="C5862" t="s">
        <v>11759</v>
      </c>
      <c r="D5862" s="1" t="s">
        <v>8767</v>
      </c>
      <c r="E5862" s="3">
        <v>6.92</v>
      </c>
      <c r="F5862" s="3">
        <f t="shared" si="182"/>
        <v>1.7486840000000001</v>
      </c>
      <c r="G5862" s="3">
        <f t="shared" si="183"/>
        <v>8.6686840000000007</v>
      </c>
    </row>
    <row r="5863" spans="1:7" x14ac:dyDescent="0.3">
      <c r="A5863" t="s">
        <v>13039</v>
      </c>
      <c r="B5863" t="s">
        <v>11760</v>
      </c>
      <c r="C5863" t="s">
        <v>11761</v>
      </c>
      <c r="D5863" s="1" t="s">
        <v>8767</v>
      </c>
      <c r="E5863" s="3">
        <v>3.08</v>
      </c>
      <c r="F5863" s="3">
        <f t="shared" si="182"/>
        <v>0.77831600000000012</v>
      </c>
      <c r="G5863" s="3">
        <f t="shared" si="183"/>
        <v>3.8583160000000003</v>
      </c>
    </row>
    <row r="5864" spans="1:7" x14ac:dyDescent="0.3">
      <c r="A5864" t="s">
        <v>13039</v>
      </c>
      <c r="B5864" t="s">
        <v>11762</v>
      </c>
      <c r="C5864" t="s">
        <v>11763</v>
      </c>
      <c r="D5864" s="1" t="s">
        <v>8767</v>
      </c>
      <c r="E5864" s="3">
        <v>1.61</v>
      </c>
      <c r="F5864" s="3">
        <f t="shared" si="182"/>
        <v>0.40684700000000007</v>
      </c>
      <c r="G5864" s="3">
        <f t="shared" si="183"/>
        <v>2.0168470000000003</v>
      </c>
    </row>
    <row r="5865" spans="1:7" x14ac:dyDescent="0.3">
      <c r="A5865" t="s">
        <v>13039</v>
      </c>
      <c r="B5865" t="s">
        <v>11764</v>
      </c>
      <c r="C5865" t="s">
        <v>11765</v>
      </c>
      <c r="D5865" s="1" t="s">
        <v>8767</v>
      </c>
      <c r="E5865" s="3">
        <v>2.41</v>
      </c>
      <c r="F5865" s="3">
        <f t="shared" si="182"/>
        <v>0.60900700000000008</v>
      </c>
      <c r="G5865" s="3">
        <f t="shared" si="183"/>
        <v>3.0190070000000002</v>
      </c>
    </row>
    <row r="5866" spans="1:7" x14ac:dyDescent="0.3">
      <c r="A5866" t="s">
        <v>13039</v>
      </c>
      <c r="B5866" t="s">
        <v>11766</v>
      </c>
      <c r="C5866" t="s">
        <v>11767</v>
      </c>
      <c r="D5866" s="1" t="s">
        <v>8767</v>
      </c>
      <c r="E5866" s="3">
        <v>8.09</v>
      </c>
      <c r="F5866" s="3">
        <f t="shared" si="182"/>
        <v>2.0443430000000005</v>
      </c>
      <c r="G5866" s="3">
        <f t="shared" si="183"/>
        <v>10.134343000000001</v>
      </c>
    </row>
    <row r="5867" spans="1:7" x14ac:dyDescent="0.3">
      <c r="A5867" t="s">
        <v>13039</v>
      </c>
      <c r="B5867" t="s">
        <v>11768</v>
      </c>
      <c r="C5867" t="s">
        <v>11769</v>
      </c>
      <c r="D5867" s="1" t="s">
        <v>8767</v>
      </c>
      <c r="E5867" s="3">
        <v>30.07</v>
      </c>
      <c r="F5867" s="3">
        <f t="shared" si="182"/>
        <v>7.5986890000000011</v>
      </c>
      <c r="G5867" s="3">
        <f t="shared" si="183"/>
        <v>37.668689000000001</v>
      </c>
    </row>
    <row r="5868" spans="1:7" x14ac:dyDescent="0.3">
      <c r="A5868" t="s">
        <v>13039</v>
      </c>
      <c r="B5868" t="s">
        <v>11770</v>
      </c>
      <c r="C5868" t="s">
        <v>11771</v>
      </c>
      <c r="D5868" s="1" t="s">
        <v>8767</v>
      </c>
      <c r="E5868" s="3">
        <v>15.09</v>
      </c>
      <c r="F5868" s="3">
        <f t="shared" si="182"/>
        <v>3.8132430000000004</v>
      </c>
      <c r="G5868" s="3">
        <f t="shared" si="183"/>
        <v>18.903243</v>
      </c>
    </row>
    <row r="5869" spans="1:7" x14ac:dyDescent="0.3">
      <c r="A5869" t="s">
        <v>13039</v>
      </c>
      <c r="B5869" t="s">
        <v>11772</v>
      </c>
      <c r="C5869" t="s">
        <v>11773</v>
      </c>
      <c r="D5869" s="1" t="s">
        <v>8767</v>
      </c>
      <c r="E5869" s="3">
        <v>15.64</v>
      </c>
      <c r="F5869" s="3">
        <f t="shared" si="182"/>
        <v>3.9522280000000007</v>
      </c>
      <c r="G5869" s="3">
        <f t="shared" si="183"/>
        <v>19.592228000000002</v>
      </c>
    </row>
    <row r="5870" spans="1:7" x14ac:dyDescent="0.3">
      <c r="A5870" t="s">
        <v>13039</v>
      </c>
      <c r="B5870" t="s">
        <v>11774</v>
      </c>
      <c r="C5870" t="s">
        <v>11775</v>
      </c>
      <c r="D5870" s="1" t="s">
        <v>8767</v>
      </c>
      <c r="E5870" s="3">
        <v>8.7899999999999991</v>
      </c>
      <c r="F5870" s="3">
        <f t="shared" si="182"/>
        <v>2.2212330000000002</v>
      </c>
      <c r="G5870" s="3">
        <f t="shared" si="183"/>
        <v>11.011232999999999</v>
      </c>
    </row>
    <row r="5871" spans="1:7" x14ac:dyDescent="0.3">
      <c r="A5871" t="s">
        <v>13039</v>
      </c>
      <c r="B5871" t="s">
        <v>11776</v>
      </c>
      <c r="C5871" t="s">
        <v>11777</v>
      </c>
      <c r="D5871" s="1" t="s">
        <v>38</v>
      </c>
      <c r="E5871" s="3">
        <v>42.61</v>
      </c>
      <c r="F5871" s="3">
        <f t="shared" si="182"/>
        <v>10.767547000000002</v>
      </c>
      <c r="G5871" s="3">
        <f t="shared" si="183"/>
        <v>53.377547</v>
      </c>
    </row>
    <row r="5872" spans="1:7" x14ac:dyDescent="0.3">
      <c r="A5872" t="s">
        <v>13039</v>
      </c>
      <c r="B5872" t="s">
        <v>11778</v>
      </c>
      <c r="C5872" t="s">
        <v>11779</v>
      </c>
      <c r="D5872" s="1" t="s">
        <v>38</v>
      </c>
      <c r="E5872" s="3">
        <v>40.75</v>
      </c>
      <c r="F5872" s="3">
        <f t="shared" si="182"/>
        <v>10.297525000000002</v>
      </c>
      <c r="G5872" s="3">
        <f t="shared" si="183"/>
        <v>51.047525</v>
      </c>
    </row>
    <row r="5873" spans="1:7" x14ac:dyDescent="0.3">
      <c r="A5873" t="s">
        <v>13039</v>
      </c>
      <c r="B5873" t="s">
        <v>11780</v>
      </c>
      <c r="C5873" t="s">
        <v>11781</v>
      </c>
      <c r="D5873" s="1" t="s">
        <v>8767</v>
      </c>
      <c r="E5873" s="3">
        <v>3.67</v>
      </c>
      <c r="F5873" s="3">
        <f t="shared" si="182"/>
        <v>0.92740900000000015</v>
      </c>
      <c r="G5873" s="3">
        <f t="shared" si="183"/>
        <v>4.5974089999999999</v>
      </c>
    </row>
    <row r="5874" spans="1:7" x14ac:dyDescent="0.3">
      <c r="A5874" t="s">
        <v>13039</v>
      </c>
      <c r="B5874" t="s">
        <v>11782</v>
      </c>
      <c r="C5874" t="s">
        <v>11783</v>
      </c>
      <c r="D5874" s="1" t="s">
        <v>8767</v>
      </c>
      <c r="E5874" s="3">
        <v>5.61</v>
      </c>
      <c r="F5874" s="3">
        <f t="shared" si="182"/>
        <v>1.4176470000000003</v>
      </c>
      <c r="G5874" s="3">
        <f t="shared" si="183"/>
        <v>7.0276470000000009</v>
      </c>
    </row>
    <row r="5875" spans="1:7" x14ac:dyDescent="0.3">
      <c r="A5875" t="s">
        <v>13039</v>
      </c>
      <c r="B5875" t="s">
        <v>11784</v>
      </c>
      <c r="C5875" t="s">
        <v>11785</v>
      </c>
      <c r="D5875" s="1" t="s">
        <v>8767</v>
      </c>
      <c r="E5875" s="3">
        <v>18.690000000000001</v>
      </c>
      <c r="F5875" s="3">
        <f t="shared" si="182"/>
        <v>4.7229630000000009</v>
      </c>
      <c r="G5875" s="3">
        <f t="shared" si="183"/>
        <v>23.412963000000001</v>
      </c>
    </row>
    <row r="5876" spans="1:7" x14ac:dyDescent="0.3">
      <c r="A5876" t="s">
        <v>13039</v>
      </c>
      <c r="B5876" t="s">
        <v>11786</v>
      </c>
      <c r="C5876" t="s">
        <v>11787</v>
      </c>
      <c r="D5876" s="1" t="s">
        <v>8767</v>
      </c>
      <c r="E5876" s="3">
        <v>19.16</v>
      </c>
      <c r="F5876" s="3">
        <f t="shared" si="182"/>
        <v>4.8417320000000004</v>
      </c>
      <c r="G5876" s="3">
        <f t="shared" si="183"/>
        <v>24.001732000000001</v>
      </c>
    </row>
    <row r="5877" spans="1:7" x14ac:dyDescent="0.3">
      <c r="A5877" t="s">
        <v>13039</v>
      </c>
      <c r="B5877" t="s">
        <v>11788</v>
      </c>
      <c r="C5877" t="s">
        <v>11789</v>
      </c>
      <c r="D5877" s="1" t="s">
        <v>8767</v>
      </c>
      <c r="E5877" s="3">
        <v>8.9700000000000006</v>
      </c>
      <c r="F5877" s="3">
        <f t="shared" si="182"/>
        <v>2.2667190000000006</v>
      </c>
      <c r="G5877" s="3">
        <f t="shared" si="183"/>
        <v>11.236719000000001</v>
      </c>
    </row>
    <row r="5878" spans="1:7" x14ac:dyDescent="0.3">
      <c r="A5878" t="s">
        <v>13039</v>
      </c>
      <c r="B5878" t="s">
        <v>11790</v>
      </c>
      <c r="C5878" t="s">
        <v>11791</v>
      </c>
      <c r="D5878" s="1" t="s">
        <v>8767</v>
      </c>
      <c r="E5878" s="3">
        <v>24.01</v>
      </c>
      <c r="F5878" s="3">
        <f t="shared" si="182"/>
        <v>6.0673270000000015</v>
      </c>
      <c r="G5878" s="3">
        <f t="shared" si="183"/>
        <v>30.077327000000004</v>
      </c>
    </row>
    <row r="5879" spans="1:7" x14ac:dyDescent="0.3">
      <c r="A5879" t="s">
        <v>13039</v>
      </c>
      <c r="B5879" t="s">
        <v>11792</v>
      </c>
      <c r="C5879" t="s">
        <v>11793</v>
      </c>
      <c r="D5879" s="1" t="s">
        <v>8767</v>
      </c>
      <c r="E5879" s="3">
        <v>80.069999999999993</v>
      </c>
      <c r="F5879" s="3">
        <f t="shared" si="182"/>
        <v>20.233689000000002</v>
      </c>
      <c r="G5879" s="3">
        <f t="shared" si="183"/>
        <v>100.30368899999999</v>
      </c>
    </row>
    <row r="5880" spans="1:7" x14ac:dyDescent="0.3">
      <c r="A5880" t="s">
        <v>13039</v>
      </c>
      <c r="B5880" t="s">
        <v>11794</v>
      </c>
      <c r="C5880" t="s">
        <v>11795</v>
      </c>
      <c r="D5880" s="1" t="s">
        <v>8767</v>
      </c>
      <c r="E5880" s="3">
        <v>73.12</v>
      </c>
      <c r="F5880" s="3">
        <f t="shared" si="182"/>
        <v>18.477424000000003</v>
      </c>
      <c r="G5880" s="3">
        <f t="shared" si="183"/>
        <v>91.597424000000004</v>
      </c>
    </row>
    <row r="5881" spans="1:7" x14ac:dyDescent="0.3">
      <c r="A5881" t="s">
        <v>13039</v>
      </c>
      <c r="B5881" t="s">
        <v>11796</v>
      </c>
      <c r="C5881" t="s">
        <v>11797</v>
      </c>
      <c r="D5881" s="1" t="s">
        <v>8767</v>
      </c>
      <c r="E5881" s="3">
        <v>22.16</v>
      </c>
      <c r="F5881" s="3">
        <f t="shared" si="182"/>
        <v>5.599832000000001</v>
      </c>
      <c r="G5881" s="3">
        <f t="shared" si="183"/>
        <v>27.759832000000003</v>
      </c>
    </row>
    <row r="5882" spans="1:7" x14ac:dyDescent="0.3">
      <c r="A5882" t="s">
        <v>13039</v>
      </c>
      <c r="B5882" t="s">
        <v>11798</v>
      </c>
      <c r="C5882" t="s">
        <v>11799</v>
      </c>
      <c r="D5882" s="1" t="s">
        <v>8767</v>
      </c>
      <c r="E5882" s="3">
        <v>18.739999999999998</v>
      </c>
      <c r="F5882" s="3">
        <f t="shared" si="182"/>
        <v>4.7355980000000004</v>
      </c>
      <c r="G5882" s="3">
        <f t="shared" si="183"/>
        <v>23.475597999999998</v>
      </c>
    </row>
    <row r="5883" spans="1:7" x14ac:dyDescent="0.3">
      <c r="A5883" t="s">
        <v>13039</v>
      </c>
      <c r="B5883" t="s">
        <v>11800</v>
      </c>
      <c r="C5883" t="s">
        <v>11801</v>
      </c>
      <c r="D5883" s="1" t="s">
        <v>8767</v>
      </c>
      <c r="E5883" s="3">
        <v>3.06</v>
      </c>
      <c r="F5883" s="3">
        <f t="shared" si="182"/>
        <v>0.77326200000000012</v>
      </c>
      <c r="G5883" s="3">
        <f t="shared" si="183"/>
        <v>3.8332620000000004</v>
      </c>
    </row>
    <row r="5884" spans="1:7" x14ac:dyDescent="0.3">
      <c r="A5884" t="s">
        <v>13039</v>
      </c>
      <c r="B5884" t="s">
        <v>11802</v>
      </c>
      <c r="C5884" t="s">
        <v>11803</v>
      </c>
      <c r="D5884" s="1" t="s">
        <v>8767</v>
      </c>
      <c r="E5884" s="3">
        <v>22.66</v>
      </c>
      <c r="F5884" s="3">
        <f t="shared" si="182"/>
        <v>5.7261820000000005</v>
      </c>
      <c r="G5884" s="3">
        <f t="shared" si="183"/>
        <v>28.386182000000002</v>
      </c>
    </row>
    <row r="5885" spans="1:7" x14ac:dyDescent="0.3">
      <c r="A5885" t="s">
        <v>13039</v>
      </c>
      <c r="B5885" t="s">
        <v>11804</v>
      </c>
      <c r="C5885" t="s">
        <v>11805</v>
      </c>
      <c r="D5885" s="1" t="s">
        <v>8767</v>
      </c>
      <c r="E5885" s="3">
        <v>20.3</v>
      </c>
      <c r="F5885" s="3">
        <f t="shared" si="182"/>
        <v>5.1298100000000009</v>
      </c>
      <c r="G5885" s="3">
        <f t="shared" si="183"/>
        <v>25.429810000000003</v>
      </c>
    </row>
    <row r="5886" spans="1:7" x14ac:dyDescent="0.3">
      <c r="A5886" t="s">
        <v>13039</v>
      </c>
      <c r="B5886" t="s">
        <v>11806</v>
      </c>
      <c r="C5886" t="s">
        <v>11807</v>
      </c>
      <c r="D5886" s="1" t="s">
        <v>8767</v>
      </c>
      <c r="E5886" s="3">
        <v>20.56</v>
      </c>
      <c r="F5886" s="3">
        <f t="shared" si="182"/>
        <v>5.1955120000000008</v>
      </c>
      <c r="G5886" s="3">
        <f t="shared" si="183"/>
        <v>25.755512</v>
      </c>
    </row>
    <row r="5887" spans="1:7" x14ac:dyDescent="0.3">
      <c r="A5887" t="s">
        <v>13039</v>
      </c>
      <c r="B5887" t="s">
        <v>11808</v>
      </c>
      <c r="C5887" t="s">
        <v>11809</v>
      </c>
      <c r="D5887" s="1" t="s">
        <v>8767</v>
      </c>
      <c r="E5887" s="3">
        <v>30.28</v>
      </c>
      <c r="F5887" s="3">
        <f t="shared" si="182"/>
        <v>7.6517560000000016</v>
      </c>
      <c r="G5887" s="3">
        <f t="shared" si="183"/>
        <v>37.931756</v>
      </c>
    </row>
    <row r="5888" spans="1:7" x14ac:dyDescent="0.3">
      <c r="A5888" t="s">
        <v>13039</v>
      </c>
      <c r="B5888" t="s">
        <v>11810</v>
      </c>
      <c r="C5888" t="s">
        <v>11811</v>
      </c>
      <c r="D5888" s="1" t="s">
        <v>8767</v>
      </c>
      <c r="E5888" s="3">
        <v>25.79</v>
      </c>
      <c r="F5888" s="3">
        <f t="shared" si="182"/>
        <v>6.5171330000000003</v>
      </c>
      <c r="G5888" s="3">
        <f t="shared" si="183"/>
        <v>32.307133</v>
      </c>
    </row>
    <row r="5889" spans="1:7" x14ac:dyDescent="0.3">
      <c r="A5889" t="s">
        <v>13039</v>
      </c>
      <c r="B5889" t="s">
        <v>11812</v>
      </c>
      <c r="C5889" t="s">
        <v>11813</v>
      </c>
      <c r="D5889" s="1" t="s">
        <v>8767</v>
      </c>
      <c r="E5889" s="3">
        <v>14.31</v>
      </c>
      <c r="F5889" s="3">
        <f t="shared" si="182"/>
        <v>3.6161370000000006</v>
      </c>
      <c r="G5889" s="3">
        <f t="shared" si="183"/>
        <v>17.926137000000001</v>
      </c>
    </row>
    <row r="5890" spans="1:7" x14ac:dyDescent="0.3">
      <c r="A5890" t="s">
        <v>13039</v>
      </c>
      <c r="B5890" t="s">
        <v>11814</v>
      </c>
      <c r="C5890" t="s">
        <v>11815</v>
      </c>
      <c r="D5890" s="1" t="s">
        <v>8767</v>
      </c>
      <c r="E5890" s="3">
        <v>17.670000000000002</v>
      </c>
      <c r="F5890" s="3">
        <f t="shared" si="182"/>
        <v>4.4652090000000006</v>
      </c>
      <c r="G5890" s="3">
        <f t="shared" si="183"/>
        <v>22.135209000000003</v>
      </c>
    </row>
    <row r="5891" spans="1:7" x14ac:dyDescent="0.3">
      <c r="A5891" t="s">
        <v>13039</v>
      </c>
      <c r="B5891" t="s">
        <v>11816</v>
      </c>
      <c r="C5891" t="s">
        <v>11817</v>
      </c>
      <c r="D5891" s="1" t="s">
        <v>8767</v>
      </c>
      <c r="E5891" s="3">
        <v>36.36</v>
      </c>
      <c r="F5891" s="3">
        <f t="shared" si="182"/>
        <v>9.1881720000000016</v>
      </c>
      <c r="G5891" s="3">
        <f t="shared" si="183"/>
        <v>45.548172000000001</v>
      </c>
    </row>
    <row r="5892" spans="1:7" x14ac:dyDescent="0.3">
      <c r="A5892" t="s">
        <v>13039</v>
      </c>
      <c r="B5892" t="s">
        <v>11818</v>
      </c>
      <c r="C5892" t="s">
        <v>11819</v>
      </c>
      <c r="D5892" s="1" t="s">
        <v>8767</v>
      </c>
      <c r="E5892" s="3">
        <v>57.31</v>
      </c>
      <c r="F5892" s="3">
        <f t="shared" si="182"/>
        <v>14.482237000000003</v>
      </c>
      <c r="G5892" s="3">
        <f t="shared" si="183"/>
        <v>71.792237</v>
      </c>
    </row>
    <row r="5893" spans="1:7" x14ac:dyDescent="0.3">
      <c r="A5893" t="s">
        <v>13039</v>
      </c>
      <c r="B5893" t="s">
        <v>11820</v>
      </c>
      <c r="C5893" t="s">
        <v>11821</v>
      </c>
      <c r="D5893" s="1" t="s">
        <v>8767</v>
      </c>
      <c r="E5893" s="3">
        <v>68.37</v>
      </c>
      <c r="F5893" s="3">
        <f t="shared" si="182"/>
        <v>17.277099000000003</v>
      </c>
      <c r="G5893" s="3">
        <f t="shared" si="183"/>
        <v>85.647099000000011</v>
      </c>
    </row>
    <row r="5894" spans="1:7" x14ac:dyDescent="0.3">
      <c r="A5894" t="s">
        <v>13039</v>
      </c>
      <c r="B5894" t="s">
        <v>11822</v>
      </c>
      <c r="C5894" t="s">
        <v>11823</v>
      </c>
      <c r="D5894" s="1" t="s">
        <v>8767</v>
      </c>
      <c r="E5894" s="3">
        <v>48.1</v>
      </c>
      <c r="F5894" s="3">
        <f t="shared" si="182"/>
        <v>12.154870000000003</v>
      </c>
      <c r="G5894" s="3">
        <f t="shared" si="183"/>
        <v>60.254870000000004</v>
      </c>
    </row>
    <row r="5895" spans="1:7" x14ac:dyDescent="0.3">
      <c r="A5895" t="s">
        <v>13039</v>
      </c>
      <c r="B5895" t="s">
        <v>11824</v>
      </c>
      <c r="C5895" t="s">
        <v>11825</v>
      </c>
      <c r="D5895" s="1" t="s">
        <v>8767</v>
      </c>
      <c r="E5895" s="3">
        <v>21.18</v>
      </c>
      <c r="F5895" s="3">
        <f t="shared" ref="F5895:F5958" si="184">+E5895*$F$4</f>
        <v>5.3521860000000006</v>
      </c>
      <c r="G5895" s="3">
        <f t="shared" ref="G5895:G5958" si="185">+E5895+F5895</f>
        <v>26.532185999999999</v>
      </c>
    </row>
    <row r="5896" spans="1:7" x14ac:dyDescent="0.3">
      <c r="A5896" t="s">
        <v>13039</v>
      </c>
      <c r="B5896" t="s">
        <v>11826</v>
      </c>
      <c r="C5896" t="s">
        <v>11827</v>
      </c>
      <c r="D5896" s="1" t="s">
        <v>8767</v>
      </c>
      <c r="E5896" s="3">
        <v>18.850000000000001</v>
      </c>
      <c r="F5896" s="3">
        <f t="shared" si="184"/>
        <v>4.7633950000000009</v>
      </c>
      <c r="G5896" s="3">
        <f t="shared" si="185"/>
        <v>23.613395000000004</v>
      </c>
    </row>
    <row r="5897" spans="1:7" x14ac:dyDescent="0.3">
      <c r="A5897" t="s">
        <v>13039</v>
      </c>
      <c r="B5897" t="s">
        <v>11828</v>
      </c>
      <c r="C5897" t="s">
        <v>11829</v>
      </c>
      <c r="D5897" s="1" t="s">
        <v>8767</v>
      </c>
      <c r="E5897" s="3">
        <v>34.24</v>
      </c>
      <c r="F5897" s="3">
        <f t="shared" si="184"/>
        <v>8.6524480000000015</v>
      </c>
      <c r="G5897" s="3">
        <f t="shared" si="185"/>
        <v>42.892448000000002</v>
      </c>
    </row>
    <row r="5898" spans="1:7" x14ac:dyDescent="0.3">
      <c r="A5898" t="s">
        <v>13039</v>
      </c>
      <c r="B5898" t="s">
        <v>11830</v>
      </c>
      <c r="C5898" t="s">
        <v>11831</v>
      </c>
      <c r="D5898" s="1" t="s">
        <v>8767</v>
      </c>
      <c r="E5898" s="3">
        <v>33.33</v>
      </c>
      <c r="F5898" s="3">
        <f t="shared" si="184"/>
        <v>8.4224910000000008</v>
      </c>
      <c r="G5898" s="3">
        <f t="shared" si="185"/>
        <v>41.752490999999999</v>
      </c>
    </row>
    <row r="5899" spans="1:7" x14ac:dyDescent="0.3">
      <c r="A5899" t="s">
        <v>13039</v>
      </c>
      <c r="B5899" t="s">
        <v>11832</v>
      </c>
      <c r="C5899" t="s">
        <v>11833</v>
      </c>
      <c r="D5899" s="1" t="s">
        <v>8767</v>
      </c>
      <c r="E5899" s="3">
        <v>33.409999999999997</v>
      </c>
      <c r="F5899" s="3">
        <f t="shared" si="184"/>
        <v>8.4427070000000004</v>
      </c>
      <c r="G5899" s="3">
        <f t="shared" si="185"/>
        <v>41.852706999999995</v>
      </c>
    </row>
    <row r="5900" spans="1:7" x14ac:dyDescent="0.3">
      <c r="A5900" t="s">
        <v>13039</v>
      </c>
      <c r="B5900" t="s">
        <v>11834</v>
      </c>
      <c r="C5900" t="s">
        <v>11835</v>
      </c>
      <c r="D5900" s="1" t="s">
        <v>8767</v>
      </c>
      <c r="E5900" s="3">
        <v>26.88</v>
      </c>
      <c r="F5900" s="3">
        <f t="shared" si="184"/>
        <v>6.7925760000000004</v>
      </c>
      <c r="G5900" s="3">
        <f t="shared" si="185"/>
        <v>33.672575999999999</v>
      </c>
    </row>
    <row r="5901" spans="1:7" x14ac:dyDescent="0.3">
      <c r="A5901" t="s">
        <v>13039</v>
      </c>
      <c r="B5901" t="s">
        <v>11836</v>
      </c>
      <c r="C5901" t="s">
        <v>11837</v>
      </c>
      <c r="D5901" s="1" t="s">
        <v>8767</v>
      </c>
      <c r="E5901" s="3">
        <v>25.33</v>
      </c>
      <c r="F5901" s="3">
        <f t="shared" si="184"/>
        <v>6.4008910000000006</v>
      </c>
      <c r="G5901" s="3">
        <f t="shared" si="185"/>
        <v>31.730891</v>
      </c>
    </row>
    <row r="5902" spans="1:7" x14ac:dyDescent="0.3">
      <c r="A5902" t="s">
        <v>13039</v>
      </c>
      <c r="B5902" t="s">
        <v>11838</v>
      </c>
      <c r="C5902" t="s">
        <v>11839</v>
      </c>
      <c r="D5902" s="1" t="s">
        <v>8767</v>
      </c>
      <c r="E5902" s="3">
        <v>25.77</v>
      </c>
      <c r="F5902" s="3">
        <f t="shared" si="184"/>
        <v>6.5120790000000008</v>
      </c>
      <c r="G5902" s="3">
        <f t="shared" si="185"/>
        <v>32.282079000000003</v>
      </c>
    </row>
    <row r="5903" spans="1:7" x14ac:dyDescent="0.3">
      <c r="A5903" t="s">
        <v>13039</v>
      </c>
      <c r="B5903" t="s">
        <v>11840</v>
      </c>
      <c r="C5903" t="s">
        <v>11841</v>
      </c>
      <c r="D5903" s="1" t="s">
        <v>8767</v>
      </c>
      <c r="E5903" s="3">
        <v>33.1</v>
      </c>
      <c r="F5903" s="3">
        <f t="shared" si="184"/>
        <v>8.364370000000001</v>
      </c>
      <c r="G5903" s="3">
        <f t="shared" si="185"/>
        <v>41.464370000000002</v>
      </c>
    </row>
    <row r="5904" spans="1:7" x14ac:dyDescent="0.3">
      <c r="A5904" t="s">
        <v>13039</v>
      </c>
      <c r="B5904" t="s">
        <v>11842</v>
      </c>
      <c r="C5904" t="s">
        <v>11843</v>
      </c>
      <c r="D5904" s="1" t="s">
        <v>8767</v>
      </c>
      <c r="E5904" s="3">
        <v>14.6</v>
      </c>
      <c r="F5904" s="3">
        <f t="shared" si="184"/>
        <v>3.6894200000000006</v>
      </c>
      <c r="G5904" s="3">
        <f t="shared" si="185"/>
        <v>18.28942</v>
      </c>
    </row>
    <row r="5905" spans="1:7" x14ac:dyDescent="0.3">
      <c r="A5905" t="s">
        <v>13039</v>
      </c>
      <c r="B5905" t="s">
        <v>11844</v>
      </c>
      <c r="C5905" t="s">
        <v>11845</v>
      </c>
      <c r="D5905" s="1" t="s">
        <v>8767</v>
      </c>
      <c r="E5905" s="3">
        <v>37.6</v>
      </c>
      <c r="F5905" s="3">
        <f t="shared" si="184"/>
        <v>9.5015200000000011</v>
      </c>
      <c r="G5905" s="3">
        <f t="shared" si="185"/>
        <v>47.101520000000001</v>
      </c>
    </row>
    <row r="5906" spans="1:7" x14ac:dyDescent="0.3">
      <c r="A5906" t="s">
        <v>13039</v>
      </c>
      <c r="B5906" t="s">
        <v>11846</v>
      </c>
      <c r="C5906" t="s">
        <v>11847</v>
      </c>
      <c r="D5906" s="1" t="s">
        <v>8767</v>
      </c>
      <c r="E5906" s="3">
        <v>16.79</v>
      </c>
      <c r="F5906" s="3">
        <f t="shared" si="184"/>
        <v>4.2428330000000001</v>
      </c>
      <c r="G5906" s="3">
        <f t="shared" si="185"/>
        <v>21.032833</v>
      </c>
    </row>
    <row r="5907" spans="1:7" x14ac:dyDescent="0.3">
      <c r="A5907" t="s">
        <v>13039</v>
      </c>
      <c r="B5907" t="s">
        <v>11848</v>
      </c>
      <c r="C5907" t="s">
        <v>11849</v>
      </c>
      <c r="D5907" s="1" t="s">
        <v>8767</v>
      </c>
      <c r="E5907" s="3">
        <v>28.68</v>
      </c>
      <c r="F5907" s="3">
        <f t="shared" si="184"/>
        <v>7.2474360000000013</v>
      </c>
      <c r="G5907" s="3">
        <f t="shared" si="185"/>
        <v>35.927436</v>
      </c>
    </row>
    <row r="5908" spans="1:7" x14ac:dyDescent="0.3">
      <c r="A5908" t="s">
        <v>13039</v>
      </c>
      <c r="B5908" t="s">
        <v>11850</v>
      </c>
      <c r="C5908" t="s">
        <v>11851</v>
      </c>
      <c r="D5908" s="1" t="s">
        <v>8767</v>
      </c>
      <c r="E5908" s="3">
        <v>12.65</v>
      </c>
      <c r="F5908" s="3">
        <f t="shared" si="184"/>
        <v>3.1966550000000007</v>
      </c>
      <c r="G5908" s="3">
        <f t="shared" si="185"/>
        <v>15.846655000000002</v>
      </c>
    </row>
    <row r="5909" spans="1:7" x14ac:dyDescent="0.3">
      <c r="A5909" t="s">
        <v>13039</v>
      </c>
      <c r="B5909" t="s">
        <v>11852</v>
      </c>
      <c r="C5909" t="s">
        <v>11853</v>
      </c>
      <c r="D5909" s="1" t="s">
        <v>8767</v>
      </c>
      <c r="E5909" s="3">
        <v>3.25</v>
      </c>
      <c r="F5909" s="3">
        <f t="shared" si="184"/>
        <v>0.82127500000000009</v>
      </c>
      <c r="G5909" s="3">
        <f t="shared" si="185"/>
        <v>4.071275</v>
      </c>
    </row>
    <row r="5910" spans="1:7" x14ac:dyDescent="0.3">
      <c r="A5910" t="s">
        <v>13039</v>
      </c>
      <c r="B5910" t="s">
        <v>11854</v>
      </c>
      <c r="C5910" t="s">
        <v>11855</v>
      </c>
      <c r="D5910" s="1" t="s">
        <v>8767</v>
      </c>
      <c r="E5910" s="3">
        <v>36.36</v>
      </c>
      <c r="F5910" s="3">
        <f t="shared" si="184"/>
        <v>9.1881720000000016</v>
      </c>
      <c r="G5910" s="3">
        <f t="shared" si="185"/>
        <v>45.548172000000001</v>
      </c>
    </row>
    <row r="5911" spans="1:7" x14ac:dyDescent="0.3">
      <c r="A5911" t="s">
        <v>13039</v>
      </c>
      <c r="B5911" t="s">
        <v>11856</v>
      </c>
      <c r="C5911" t="s">
        <v>11857</v>
      </c>
      <c r="D5911" s="1" t="s">
        <v>8767</v>
      </c>
      <c r="E5911" s="3">
        <v>3.67</v>
      </c>
      <c r="F5911" s="3">
        <f t="shared" si="184"/>
        <v>0.92740900000000015</v>
      </c>
      <c r="G5911" s="3">
        <f t="shared" si="185"/>
        <v>4.5974089999999999</v>
      </c>
    </row>
    <row r="5912" spans="1:7" x14ac:dyDescent="0.3">
      <c r="A5912" t="s">
        <v>13039</v>
      </c>
      <c r="B5912" t="s">
        <v>11858</v>
      </c>
      <c r="C5912" t="s">
        <v>11859</v>
      </c>
      <c r="D5912" s="1" t="s">
        <v>8767</v>
      </c>
      <c r="E5912" s="3">
        <v>3.61</v>
      </c>
      <c r="F5912" s="3">
        <f t="shared" si="184"/>
        <v>0.91224700000000014</v>
      </c>
      <c r="G5912" s="3">
        <f t="shared" si="185"/>
        <v>4.5222470000000001</v>
      </c>
    </row>
    <row r="5913" spans="1:7" x14ac:dyDescent="0.3">
      <c r="A5913" t="s">
        <v>13039</v>
      </c>
      <c r="B5913" t="s">
        <v>11860</v>
      </c>
      <c r="C5913" t="s">
        <v>11861</v>
      </c>
      <c r="D5913" s="1" t="s">
        <v>8767</v>
      </c>
      <c r="E5913" s="3">
        <v>3.22</v>
      </c>
      <c r="F5913" s="3">
        <f t="shared" si="184"/>
        <v>0.81369400000000014</v>
      </c>
      <c r="G5913" s="3">
        <f t="shared" si="185"/>
        <v>4.0336940000000006</v>
      </c>
    </row>
    <row r="5914" spans="1:7" x14ac:dyDescent="0.3">
      <c r="A5914" t="s">
        <v>13039</v>
      </c>
      <c r="B5914" t="s">
        <v>11862</v>
      </c>
      <c r="C5914" t="s">
        <v>11863</v>
      </c>
      <c r="D5914" s="1" t="s">
        <v>8767</v>
      </c>
      <c r="E5914" s="3">
        <v>3</v>
      </c>
      <c r="F5914" s="3">
        <f t="shared" si="184"/>
        <v>0.75810000000000011</v>
      </c>
      <c r="G5914" s="3">
        <f t="shared" si="185"/>
        <v>3.7581000000000002</v>
      </c>
    </row>
    <row r="5915" spans="1:7" x14ac:dyDescent="0.3">
      <c r="A5915" t="s">
        <v>13039</v>
      </c>
      <c r="B5915" t="s">
        <v>11864</v>
      </c>
      <c r="C5915" t="s">
        <v>11865</v>
      </c>
      <c r="D5915" s="1" t="s">
        <v>8767</v>
      </c>
      <c r="E5915" s="3">
        <v>2.84</v>
      </c>
      <c r="F5915" s="3">
        <f t="shared" si="184"/>
        <v>0.71766800000000008</v>
      </c>
      <c r="G5915" s="3">
        <f t="shared" si="185"/>
        <v>3.5576680000000001</v>
      </c>
    </row>
    <row r="5916" spans="1:7" x14ac:dyDescent="0.3">
      <c r="A5916" t="s">
        <v>13039</v>
      </c>
      <c r="B5916" t="s">
        <v>11866</v>
      </c>
      <c r="C5916" t="s">
        <v>11867</v>
      </c>
      <c r="D5916" s="1" t="s">
        <v>8767</v>
      </c>
      <c r="E5916" s="3">
        <v>2.75</v>
      </c>
      <c r="F5916" s="3">
        <f t="shared" si="184"/>
        <v>0.69492500000000013</v>
      </c>
      <c r="G5916" s="3">
        <f t="shared" si="185"/>
        <v>3.444925</v>
      </c>
    </row>
    <row r="5917" spans="1:7" x14ac:dyDescent="0.3">
      <c r="A5917" t="s">
        <v>13039</v>
      </c>
      <c r="B5917" t="s">
        <v>11868</v>
      </c>
      <c r="C5917" t="s">
        <v>11869</v>
      </c>
      <c r="D5917" s="1" t="s">
        <v>8767</v>
      </c>
      <c r="E5917" s="3">
        <v>6.08</v>
      </c>
      <c r="F5917" s="3">
        <f t="shared" si="184"/>
        <v>1.5364160000000002</v>
      </c>
      <c r="G5917" s="3">
        <f t="shared" si="185"/>
        <v>7.6164160000000001</v>
      </c>
    </row>
    <row r="5918" spans="1:7" x14ac:dyDescent="0.3">
      <c r="A5918" t="s">
        <v>13039</v>
      </c>
      <c r="B5918" t="s">
        <v>11870</v>
      </c>
      <c r="C5918" t="s">
        <v>11871</v>
      </c>
      <c r="D5918" s="1" t="s">
        <v>8767</v>
      </c>
      <c r="E5918" s="3">
        <v>5.08</v>
      </c>
      <c r="F5918" s="3">
        <f t="shared" si="184"/>
        <v>1.2837160000000003</v>
      </c>
      <c r="G5918" s="3">
        <f t="shared" si="185"/>
        <v>6.3637160000000002</v>
      </c>
    </row>
    <row r="5919" spans="1:7" x14ac:dyDescent="0.3">
      <c r="A5919" t="s">
        <v>13039</v>
      </c>
      <c r="B5919" t="s">
        <v>11872</v>
      </c>
      <c r="C5919" t="s">
        <v>11873</v>
      </c>
      <c r="D5919" s="1" t="s">
        <v>8767</v>
      </c>
      <c r="E5919" s="3">
        <v>4.5199999999999996</v>
      </c>
      <c r="F5919" s="3">
        <f t="shared" si="184"/>
        <v>1.142204</v>
      </c>
      <c r="G5919" s="3">
        <f t="shared" si="185"/>
        <v>5.6622039999999991</v>
      </c>
    </row>
    <row r="5920" spans="1:7" x14ac:dyDescent="0.3">
      <c r="A5920" t="s">
        <v>13039</v>
      </c>
      <c r="B5920" t="s">
        <v>11874</v>
      </c>
      <c r="C5920" t="s">
        <v>11875</v>
      </c>
      <c r="D5920" s="1" t="s">
        <v>8767</v>
      </c>
      <c r="E5920" s="3">
        <v>4.16</v>
      </c>
      <c r="F5920" s="3">
        <f t="shared" si="184"/>
        <v>1.0512320000000002</v>
      </c>
      <c r="G5920" s="3">
        <f t="shared" si="185"/>
        <v>5.2112320000000008</v>
      </c>
    </row>
    <row r="5921" spans="1:7" x14ac:dyDescent="0.3">
      <c r="A5921" t="s">
        <v>13039</v>
      </c>
      <c r="B5921" t="s">
        <v>11876</v>
      </c>
      <c r="C5921" t="s">
        <v>11877</v>
      </c>
      <c r="D5921" s="1" t="s">
        <v>8767</v>
      </c>
      <c r="E5921" s="3">
        <v>3.93</v>
      </c>
      <c r="F5921" s="3">
        <f t="shared" si="184"/>
        <v>0.99311100000000019</v>
      </c>
      <c r="G5921" s="3">
        <f t="shared" si="185"/>
        <v>4.9231110000000005</v>
      </c>
    </row>
    <row r="5922" spans="1:7" x14ac:dyDescent="0.3">
      <c r="A5922" t="s">
        <v>13039</v>
      </c>
      <c r="B5922" t="s">
        <v>11878</v>
      </c>
      <c r="C5922" t="s">
        <v>11879</v>
      </c>
      <c r="D5922" s="1" t="s">
        <v>8767</v>
      </c>
      <c r="E5922" s="3">
        <v>3.77</v>
      </c>
      <c r="F5922" s="3">
        <f t="shared" si="184"/>
        <v>0.95267900000000016</v>
      </c>
      <c r="G5922" s="3">
        <f t="shared" si="185"/>
        <v>4.7226790000000003</v>
      </c>
    </row>
    <row r="5923" spans="1:7" x14ac:dyDescent="0.3">
      <c r="A5923" t="s">
        <v>13039</v>
      </c>
      <c r="B5923" t="s">
        <v>11880</v>
      </c>
      <c r="C5923" t="s">
        <v>11881</v>
      </c>
      <c r="D5923" s="1" t="s">
        <v>8767</v>
      </c>
      <c r="E5923" s="3">
        <v>10.16</v>
      </c>
      <c r="F5923" s="3">
        <f t="shared" si="184"/>
        <v>2.5674320000000006</v>
      </c>
      <c r="G5923" s="3">
        <f t="shared" si="185"/>
        <v>12.727432</v>
      </c>
    </row>
    <row r="5924" spans="1:7" x14ac:dyDescent="0.3">
      <c r="A5924" t="s">
        <v>13039</v>
      </c>
      <c r="B5924" t="s">
        <v>11882</v>
      </c>
      <c r="C5924" t="s">
        <v>11883</v>
      </c>
      <c r="D5924" s="1" t="s">
        <v>8767</v>
      </c>
      <c r="E5924" s="3">
        <v>11.56</v>
      </c>
      <c r="F5924" s="3">
        <f t="shared" si="184"/>
        <v>2.9212120000000006</v>
      </c>
      <c r="G5924" s="3">
        <f t="shared" si="185"/>
        <v>14.481212000000001</v>
      </c>
    </row>
    <row r="5925" spans="1:7" x14ac:dyDescent="0.3">
      <c r="A5925" t="s">
        <v>13039</v>
      </c>
      <c r="B5925" t="s">
        <v>11884</v>
      </c>
      <c r="C5925" t="s">
        <v>11885</v>
      </c>
      <c r="D5925" s="1" t="s">
        <v>8767</v>
      </c>
      <c r="E5925" s="3">
        <v>9.58</v>
      </c>
      <c r="F5925" s="3">
        <f t="shared" si="184"/>
        <v>2.4208660000000002</v>
      </c>
      <c r="G5925" s="3">
        <f t="shared" si="185"/>
        <v>12.000866</v>
      </c>
    </row>
    <row r="5926" spans="1:7" x14ac:dyDescent="0.3">
      <c r="A5926" t="s">
        <v>13039</v>
      </c>
      <c r="B5926" t="s">
        <v>11886</v>
      </c>
      <c r="C5926" t="s">
        <v>11887</v>
      </c>
      <c r="D5926" s="1" t="s">
        <v>8767</v>
      </c>
      <c r="E5926" s="3">
        <v>27.28</v>
      </c>
      <c r="F5926" s="3">
        <f t="shared" si="184"/>
        <v>6.8936560000000009</v>
      </c>
      <c r="G5926" s="3">
        <f t="shared" si="185"/>
        <v>34.173656000000001</v>
      </c>
    </row>
    <row r="5927" spans="1:7" x14ac:dyDescent="0.3">
      <c r="A5927" t="s">
        <v>13039</v>
      </c>
      <c r="B5927" t="s">
        <v>11888</v>
      </c>
      <c r="C5927" t="s">
        <v>11889</v>
      </c>
      <c r="D5927" s="1" t="s">
        <v>8767</v>
      </c>
      <c r="E5927" s="3">
        <v>8.02</v>
      </c>
      <c r="F5927" s="3">
        <f t="shared" si="184"/>
        <v>2.0266540000000002</v>
      </c>
      <c r="G5927" s="3">
        <f t="shared" si="185"/>
        <v>10.046654</v>
      </c>
    </row>
    <row r="5928" spans="1:7" x14ac:dyDescent="0.3">
      <c r="A5928" t="s">
        <v>13039</v>
      </c>
      <c r="B5928" t="s">
        <v>11890</v>
      </c>
      <c r="C5928" t="s">
        <v>11891</v>
      </c>
      <c r="D5928" s="1" t="s">
        <v>8767</v>
      </c>
      <c r="E5928" s="3">
        <v>5.77</v>
      </c>
      <c r="F5928" s="3">
        <f t="shared" si="184"/>
        <v>1.4580790000000001</v>
      </c>
      <c r="G5928" s="3">
        <f t="shared" si="185"/>
        <v>7.2280789999999993</v>
      </c>
    </row>
    <row r="5929" spans="1:7" x14ac:dyDescent="0.3">
      <c r="A5929" t="s">
        <v>13039</v>
      </c>
      <c r="B5929" t="s">
        <v>11892</v>
      </c>
      <c r="C5929" t="s">
        <v>11893</v>
      </c>
      <c r="D5929" s="1" t="s">
        <v>8767</v>
      </c>
      <c r="E5929" s="3">
        <v>28.13</v>
      </c>
      <c r="F5929" s="3">
        <f t="shared" si="184"/>
        <v>7.1084510000000005</v>
      </c>
      <c r="G5929" s="3">
        <f t="shared" si="185"/>
        <v>35.238450999999998</v>
      </c>
    </row>
    <row r="5930" spans="1:7" x14ac:dyDescent="0.3">
      <c r="A5930" t="s">
        <v>13039</v>
      </c>
      <c r="B5930" t="s">
        <v>11894</v>
      </c>
      <c r="C5930" t="s">
        <v>11895</v>
      </c>
      <c r="D5930" s="1" t="s">
        <v>8767</v>
      </c>
      <c r="E5930" s="3">
        <v>28.41</v>
      </c>
      <c r="F5930" s="3">
        <f t="shared" si="184"/>
        <v>7.1792070000000008</v>
      </c>
      <c r="G5930" s="3">
        <f t="shared" si="185"/>
        <v>35.589207000000002</v>
      </c>
    </row>
    <row r="5931" spans="1:7" x14ac:dyDescent="0.3">
      <c r="A5931" t="s">
        <v>13039</v>
      </c>
      <c r="B5931" t="s">
        <v>11896</v>
      </c>
      <c r="C5931" t="s">
        <v>11897</v>
      </c>
      <c r="D5931" s="1" t="s">
        <v>8767</v>
      </c>
      <c r="E5931" s="3">
        <v>5.78</v>
      </c>
      <c r="F5931" s="3">
        <f t="shared" si="184"/>
        <v>1.4606060000000003</v>
      </c>
      <c r="G5931" s="3">
        <f t="shared" si="185"/>
        <v>7.2406060000000005</v>
      </c>
    </row>
    <row r="5932" spans="1:7" x14ac:dyDescent="0.3">
      <c r="A5932" t="s">
        <v>13039</v>
      </c>
      <c r="B5932" t="s">
        <v>11898</v>
      </c>
      <c r="C5932" t="s">
        <v>11899</v>
      </c>
      <c r="D5932" s="1" t="s">
        <v>38</v>
      </c>
      <c r="E5932" s="3">
        <v>40.11</v>
      </c>
      <c r="F5932" s="3">
        <f t="shared" si="184"/>
        <v>10.135797000000002</v>
      </c>
      <c r="G5932" s="3">
        <f t="shared" si="185"/>
        <v>50.245797000000003</v>
      </c>
    </row>
    <row r="5933" spans="1:7" x14ac:dyDescent="0.3">
      <c r="A5933" t="s">
        <v>13039</v>
      </c>
      <c r="B5933" t="s">
        <v>11900</v>
      </c>
      <c r="C5933" t="s">
        <v>11901</v>
      </c>
      <c r="D5933" s="1" t="s">
        <v>8767</v>
      </c>
      <c r="E5933" s="3">
        <v>41.62</v>
      </c>
      <c r="F5933" s="3">
        <f t="shared" si="184"/>
        <v>10.517374</v>
      </c>
      <c r="G5933" s="3">
        <f t="shared" si="185"/>
        <v>52.137373999999994</v>
      </c>
    </row>
    <row r="5934" spans="1:7" x14ac:dyDescent="0.3">
      <c r="A5934" t="s">
        <v>13039</v>
      </c>
      <c r="B5934" t="s">
        <v>11902</v>
      </c>
      <c r="C5934" t="s">
        <v>11903</v>
      </c>
      <c r="D5934" s="1" t="s">
        <v>8767</v>
      </c>
      <c r="E5934" s="3">
        <v>42.07</v>
      </c>
      <c r="F5934" s="3">
        <f t="shared" si="184"/>
        <v>10.631089000000001</v>
      </c>
      <c r="G5934" s="3">
        <f t="shared" si="185"/>
        <v>52.701089000000003</v>
      </c>
    </row>
    <row r="5935" spans="1:7" x14ac:dyDescent="0.3">
      <c r="A5935" t="s">
        <v>13039</v>
      </c>
      <c r="B5935" t="s">
        <v>11904</v>
      </c>
      <c r="C5935" t="s">
        <v>11905</v>
      </c>
      <c r="D5935" s="1" t="s">
        <v>8767</v>
      </c>
      <c r="E5935" s="3">
        <v>45.87</v>
      </c>
      <c r="F5935" s="3">
        <f t="shared" si="184"/>
        <v>11.591349000000001</v>
      </c>
      <c r="G5935" s="3">
        <f t="shared" si="185"/>
        <v>57.461348999999998</v>
      </c>
    </row>
    <row r="5936" spans="1:7" x14ac:dyDescent="0.3">
      <c r="A5936" t="s">
        <v>13039</v>
      </c>
      <c r="B5936" t="s">
        <v>11906</v>
      </c>
      <c r="C5936" t="s">
        <v>11907</v>
      </c>
      <c r="D5936" s="1" t="s">
        <v>8767</v>
      </c>
      <c r="E5936" s="3">
        <v>45.79</v>
      </c>
      <c r="F5936" s="3">
        <f t="shared" si="184"/>
        <v>11.571133000000001</v>
      </c>
      <c r="G5936" s="3">
        <f t="shared" si="185"/>
        <v>57.361133000000002</v>
      </c>
    </row>
    <row r="5937" spans="1:7" x14ac:dyDescent="0.3">
      <c r="A5937" t="s">
        <v>13039</v>
      </c>
      <c r="B5937" t="s">
        <v>11908</v>
      </c>
      <c r="C5937" t="s">
        <v>11909</v>
      </c>
      <c r="D5937" s="1" t="s">
        <v>8767</v>
      </c>
      <c r="E5937" s="3">
        <v>32.659999999999997</v>
      </c>
      <c r="F5937" s="3">
        <f t="shared" si="184"/>
        <v>8.2531820000000007</v>
      </c>
      <c r="G5937" s="3">
        <f t="shared" si="185"/>
        <v>40.913181999999999</v>
      </c>
    </row>
    <row r="5938" spans="1:7" x14ac:dyDescent="0.3">
      <c r="A5938" t="s">
        <v>13039</v>
      </c>
      <c r="B5938" t="s">
        <v>11910</v>
      </c>
      <c r="C5938" t="s">
        <v>11911</v>
      </c>
      <c r="D5938" s="1" t="s">
        <v>8767</v>
      </c>
      <c r="E5938" s="3">
        <v>33.01</v>
      </c>
      <c r="F5938" s="3">
        <f t="shared" si="184"/>
        <v>8.3416270000000008</v>
      </c>
      <c r="G5938" s="3">
        <f t="shared" si="185"/>
        <v>41.351627000000001</v>
      </c>
    </row>
    <row r="5939" spans="1:7" x14ac:dyDescent="0.3">
      <c r="A5939" t="s">
        <v>13039</v>
      </c>
      <c r="B5939" t="s">
        <v>11912</v>
      </c>
      <c r="C5939" t="s">
        <v>11913</v>
      </c>
      <c r="D5939" s="1" t="s">
        <v>8767</v>
      </c>
      <c r="E5939" s="3">
        <v>36</v>
      </c>
      <c r="F5939" s="3">
        <f t="shared" si="184"/>
        <v>9.0972000000000008</v>
      </c>
      <c r="G5939" s="3">
        <f t="shared" si="185"/>
        <v>45.097200000000001</v>
      </c>
    </row>
    <row r="5940" spans="1:7" x14ac:dyDescent="0.3">
      <c r="A5940" t="s">
        <v>13039</v>
      </c>
      <c r="B5940" t="s">
        <v>11914</v>
      </c>
      <c r="C5940" t="s">
        <v>11915</v>
      </c>
      <c r="D5940" s="1" t="s">
        <v>8767</v>
      </c>
      <c r="E5940" s="3">
        <v>35.93</v>
      </c>
      <c r="F5940" s="3">
        <f t="shared" si="184"/>
        <v>9.0795110000000019</v>
      </c>
      <c r="G5940" s="3">
        <f t="shared" si="185"/>
        <v>45.009511000000003</v>
      </c>
    </row>
    <row r="5941" spans="1:7" x14ac:dyDescent="0.3">
      <c r="A5941" t="s">
        <v>13039</v>
      </c>
      <c r="B5941" t="s">
        <v>11916</v>
      </c>
      <c r="C5941" t="s">
        <v>11917</v>
      </c>
      <c r="D5941" s="1" t="s">
        <v>8767</v>
      </c>
      <c r="E5941" s="3">
        <v>27.57</v>
      </c>
      <c r="F5941" s="3">
        <f t="shared" si="184"/>
        <v>6.9669390000000009</v>
      </c>
      <c r="G5941" s="3">
        <f t="shared" si="185"/>
        <v>34.536939000000004</v>
      </c>
    </row>
    <row r="5942" spans="1:7" x14ac:dyDescent="0.3">
      <c r="A5942" t="s">
        <v>13039</v>
      </c>
      <c r="B5942" t="s">
        <v>11918</v>
      </c>
      <c r="C5942" t="s">
        <v>11919</v>
      </c>
      <c r="D5942" s="1" t="s">
        <v>8767</v>
      </c>
      <c r="E5942" s="3">
        <v>27.87</v>
      </c>
      <c r="F5942" s="3">
        <f t="shared" si="184"/>
        <v>7.0427490000000015</v>
      </c>
      <c r="G5942" s="3">
        <f t="shared" si="185"/>
        <v>34.912749000000005</v>
      </c>
    </row>
    <row r="5943" spans="1:7" x14ac:dyDescent="0.3">
      <c r="A5943" t="s">
        <v>13039</v>
      </c>
      <c r="B5943" t="s">
        <v>11920</v>
      </c>
      <c r="C5943" t="s">
        <v>11921</v>
      </c>
      <c r="D5943" s="1" t="s">
        <v>8767</v>
      </c>
      <c r="E5943" s="3">
        <v>30.38</v>
      </c>
      <c r="F5943" s="3">
        <f t="shared" si="184"/>
        <v>7.6770260000000006</v>
      </c>
      <c r="G5943" s="3">
        <f t="shared" si="185"/>
        <v>38.057026</v>
      </c>
    </row>
    <row r="5944" spans="1:7" x14ac:dyDescent="0.3">
      <c r="A5944" t="s">
        <v>13039</v>
      </c>
      <c r="B5944" t="s">
        <v>11922</v>
      </c>
      <c r="C5944" t="s">
        <v>11923</v>
      </c>
      <c r="D5944" s="1" t="s">
        <v>8767</v>
      </c>
      <c r="E5944" s="3">
        <v>30.33</v>
      </c>
      <c r="F5944" s="3">
        <f t="shared" si="184"/>
        <v>7.6643910000000011</v>
      </c>
      <c r="G5944" s="3">
        <f t="shared" si="185"/>
        <v>37.994391</v>
      </c>
    </row>
    <row r="5945" spans="1:7" x14ac:dyDescent="0.3">
      <c r="A5945" t="s">
        <v>13039</v>
      </c>
      <c r="B5945" t="s">
        <v>11924</v>
      </c>
      <c r="C5945" t="s">
        <v>11925</v>
      </c>
      <c r="D5945" s="1" t="s">
        <v>8767</v>
      </c>
      <c r="E5945" s="3">
        <v>30.86</v>
      </c>
      <c r="F5945" s="3">
        <f t="shared" si="184"/>
        <v>7.7983220000000006</v>
      </c>
      <c r="G5945" s="3">
        <f t="shared" si="185"/>
        <v>38.658321999999998</v>
      </c>
    </row>
    <row r="5946" spans="1:7" x14ac:dyDescent="0.3">
      <c r="A5946" t="s">
        <v>13039</v>
      </c>
      <c r="B5946" t="s">
        <v>11926</v>
      </c>
      <c r="C5946" t="s">
        <v>11927</v>
      </c>
      <c r="D5946" s="1" t="s">
        <v>8767</v>
      </c>
      <c r="E5946" s="3">
        <v>31.2</v>
      </c>
      <c r="F5946" s="3">
        <f t="shared" si="184"/>
        <v>7.884240000000001</v>
      </c>
      <c r="G5946" s="3">
        <f t="shared" si="185"/>
        <v>39.084240000000001</v>
      </c>
    </row>
    <row r="5947" spans="1:7" x14ac:dyDescent="0.3">
      <c r="A5947" t="s">
        <v>13039</v>
      </c>
      <c r="B5947" t="s">
        <v>11928</v>
      </c>
      <c r="C5947" t="s">
        <v>11929</v>
      </c>
      <c r="D5947" s="1" t="s">
        <v>8767</v>
      </c>
      <c r="E5947" s="3">
        <v>34.020000000000003</v>
      </c>
      <c r="F5947" s="3">
        <f t="shared" si="184"/>
        <v>8.5968540000000022</v>
      </c>
      <c r="G5947" s="3">
        <f t="shared" si="185"/>
        <v>42.616854000000004</v>
      </c>
    </row>
    <row r="5948" spans="1:7" x14ac:dyDescent="0.3">
      <c r="A5948" t="s">
        <v>13039</v>
      </c>
      <c r="B5948" t="s">
        <v>11930</v>
      </c>
      <c r="C5948" t="s">
        <v>11931</v>
      </c>
      <c r="D5948" s="1" t="s">
        <v>8767</v>
      </c>
      <c r="E5948" s="3">
        <v>33.950000000000003</v>
      </c>
      <c r="F5948" s="3">
        <f t="shared" si="184"/>
        <v>8.5791650000000015</v>
      </c>
      <c r="G5948" s="3">
        <f t="shared" si="185"/>
        <v>42.529165000000006</v>
      </c>
    </row>
    <row r="5949" spans="1:7" x14ac:dyDescent="0.3">
      <c r="A5949" t="s">
        <v>13039</v>
      </c>
      <c r="B5949" t="s">
        <v>11932</v>
      </c>
      <c r="C5949" t="s">
        <v>11933</v>
      </c>
      <c r="D5949" s="1" t="s">
        <v>8767</v>
      </c>
      <c r="E5949" s="3">
        <v>107.64</v>
      </c>
      <c r="F5949" s="3">
        <f t="shared" si="184"/>
        <v>27.200628000000005</v>
      </c>
      <c r="G5949" s="3">
        <f t="shared" si="185"/>
        <v>134.84062800000001</v>
      </c>
    </row>
    <row r="5950" spans="1:7" x14ac:dyDescent="0.3">
      <c r="A5950" t="s">
        <v>13039</v>
      </c>
      <c r="B5950" t="s">
        <v>11934</v>
      </c>
      <c r="C5950" t="s">
        <v>11935</v>
      </c>
      <c r="D5950" s="1" t="s">
        <v>11936</v>
      </c>
      <c r="E5950" s="3">
        <v>0.94</v>
      </c>
      <c r="F5950" s="3">
        <f t="shared" si="184"/>
        <v>0.23753800000000003</v>
      </c>
      <c r="G5950" s="3">
        <f t="shared" si="185"/>
        <v>1.177538</v>
      </c>
    </row>
    <row r="5951" spans="1:7" x14ac:dyDescent="0.3">
      <c r="A5951" t="s">
        <v>13039</v>
      </c>
      <c r="B5951" t="s">
        <v>11937</v>
      </c>
      <c r="C5951" t="s">
        <v>11938</v>
      </c>
      <c r="D5951" s="1" t="s">
        <v>11936</v>
      </c>
      <c r="E5951" s="3">
        <v>0.75</v>
      </c>
      <c r="F5951" s="3">
        <f t="shared" si="184"/>
        <v>0.18952500000000003</v>
      </c>
      <c r="G5951" s="3">
        <f t="shared" si="185"/>
        <v>0.93952500000000005</v>
      </c>
    </row>
    <row r="5952" spans="1:7" x14ac:dyDescent="0.3">
      <c r="A5952" t="s">
        <v>13039</v>
      </c>
      <c r="B5952" t="s">
        <v>11939</v>
      </c>
      <c r="C5952" t="s">
        <v>11940</v>
      </c>
      <c r="D5952" s="1" t="s">
        <v>11936</v>
      </c>
      <c r="E5952" s="3">
        <v>0.68</v>
      </c>
      <c r="F5952" s="3">
        <f t="shared" si="184"/>
        <v>0.17183600000000004</v>
      </c>
      <c r="G5952" s="3">
        <f t="shared" si="185"/>
        <v>0.85183600000000004</v>
      </c>
    </row>
    <row r="5953" spans="1:7" x14ac:dyDescent="0.3">
      <c r="A5953" t="s">
        <v>13039</v>
      </c>
      <c r="B5953" t="s">
        <v>11941</v>
      </c>
      <c r="C5953" t="s">
        <v>11942</v>
      </c>
      <c r="D5953" s="1" t="s">
        <v>11936</v>
      </c>
      <c r="E5953" s="3">
        <v>1.26</v>
      </c>
      <c r="F5953" s="3">
        <f t="shared" si="184"/>
        <v>0.31840200000000007</v>
      </c>
      <c r="G5953" s="3">
        <f t="shared" si="185"/>
        <v>1.5784020000000001</v>
      </c>
    </row>
    <row r="5954" spans="1:7" x14ac:dyDescent="0.3">
      <c r="A5954" t="s">
        <v>13039</v>
      </c>
      <c r="B5954" t="s">
        <v>11943</v>
      </c>
      <c r="C5954" t="s">
        <v>11944</v>
      </c>
      <c r="D5954" s="1" t="s">
        <v>11936</v>
      </c>
      <c r="E5954" s="3">
        <v>1.01</v>
      </c>
      <c r="F5954" s="3">
        <f t="shared" si="184"/>
        <v>0.25522700000000004</v>
      </c>
      <c r="G5954" s="3">
        <f t="shared" si="185"/>
        <v>1.2652270000000001</v>
      </c>
    </row>
    <row r="5955" spans="1:7" x14ac:dyDescent="0.3">
      <c r="A5955" t="s">
        <v>13039</v>
      </c>
      <c r="B5955" t="s">
        <v>11945</v>
      </c>
      <c r="C5955" t="s">
        <v>11946</v>
      </c>
      <c r="D5955" s="1" t="s">
        <v>11936</v>
      </c>
      <c r="E5955" s="3">
        <v>0.82</v>
      </c>
      <c r="F5955" s="3">
        <f t="shared" si="184"/>
        <v>0.20721400000000001</v>
      </c>
      <c r="G5955" s="3">
        <f t="shared" si="185"/>
        <v>1.0272139999999998</v>
      </c>
    </row>
    <row r="5956" spans="1:7" x14ac:dyDescent="0.3">
      <c r="A5956" t="s">
        <v>13039</v>
      </c>
      <c r="B5956" t="s">
        <v>11947</v>
      </c>
      <c r="C5956" t="s">
        <v>11948</v>
      </c>
      <c r="D5956" s="1" t="s">
        <v>11936</v>
      </c>
      <c r="E5956" s="3">
        <v>0.93</v>
      </c>
      <c r="F5956" s="3">
        <f t="shared" si="184"/>
        <v>0.23501100000000005</v>
      </c>
      <c r="G5956" s="3">
        <f t="shared" si="185"/>
        <v>1.165011</v>
      </c>
    </row>
    <row r="5957" spans="1:7" x14ac:dyDescent="0.3">
      <c r="A5957" t="s">
        <v>13039</v>
      </c>
      <c r="B5957" t="s">
        <v>11949</v>
      </c>
      <c r="C5957" t="s">
        <v>11950</v>
      </c>
      <c r="D5957" s="1" t="s">
        <v>11936</v>
      </c>
      <c r="E5957" s="3">
        <v>0.75</v>
      </c>
      <c r="F5957" s="3">
        <f t="shared" si="184"/>
        <v>0.18952500000000003</v>
      </c>
      <c r="G5957" s="3">
        <f t="shared" si="185"/>
        <v>0.93952500000000005</v>
      </c>
    </row>
    <row r="5958" spans="1:7" x14ac:dyDescent="0.3">
      <c r="A5958" t="s">
        <v>13039</v>
      </c>
      <c r="B5958" t="s">
        <v>11951</v>
      </c>
      <c r="C5958" t="s">
        <v>11952</v>
      </c>
      <c r="D5958" s="1" t="s">
        <v>11936</v>
      </c>
      <c r="E5958" s="3">
        <v>0.68</v>
      </c>
      <c r="F5958" s="3">
        <f t="shared" si="184"/>
        <v>0.17183600000000004</v>
      </c>
      <c r="G5958" s="3">
        <f t="shared" si="185"/>
        <v>0.85183600000000004</v>
      </c>
    </row>
    <row r="5959" spans="1:7" x14ac:dyDescent="0.3">
      <c r="A5959" t="s">
        <v>13039</v>
      </c>
      <c r="B5959" t="s">
        <v>11953</v>
      </c>
      <c r="C5959" t="s">
        <v>11954</v>
      </c>
      <c r="D5959" s="1" t="s">
        <v>11936</v>
      </c>
      <c r="E5959" s="3">
        <v>1.36</v>
      </c>
      <c r="F5959" s="3">
        <f t="shared" ref="F5959:F6022" si="186">+E5959*$F$4</f>
        <v>0.34367200000000009</v>
      </c>
      <c r="G5959" s="3">
        <f t="shared" ref="G5959:G6022" si="187">+E5959+F5959</f>
        <v>1.7036720000000001</v>
      </c>
    </row>
    <row r="5960" spans="1:7" x14ac:dyDescent="0.3">
      <c r="A5960" t="s">
        <v>13039</v>
      </c>
      <c r="B5960" t="s">
        <v>11955</v>
      </c>
      <c r="C5960" t="s">
        <v>11956</v>
      </c>
      <c r="D5960" s="1" t="s">
        <v>11936</v>
      </c>
      <c r="E5960" s="3">
        <v>1.0900000000000001</v>
      </c>
      <c r="F5960" s="3">
        <f t="shared" si="186"/>
        <v>0.27544300000000005</v>
      </c>
      <c r="G5960" s="3">
        <f t="shared" si="187"/>
        <v>1.3654430000000002</v>
      </c>
    </row>
    <row r="5961" spans="1:7" x14ac:dyDescent="0.3">
      <c r="A5961" t="s">
        <v>13039</v>
      </c>
      <c r="B5961" t="s">
        <v>11957</v>
      </c>
      <c r="C5961" t="s">
        <v>11958</v>
      </c>
      <c r="D5961" s="1" t="s">
        <v>11936</v>
      </c>
      <c r="E5961" s="3">
        <v>0.89</v>
      </c>
      <c r="F5961" s="3">
        <f t="shared" si="186"/>
        <v>0.22490300000000005</v>
      </c>
      <c r="G5961" s="3">
        <f t="shared" si="187"/>
        <v>1.114903</v>
      </c>
    </row>
    <row r="5962" spans="1:7" x14ac:dyDescent="0.3">
      <c r="A5962" t="s">
        <v>13039</v>
      </c>
      <c r="B5962" t="s">
        <v>11959</v>
      </c>
      <c r="C5962" t="s">
        <v>11960</v>
      </c>
      <c r="D5962" s="1" t="s">
        <v>11936</v>
      </c>
      <c r="E5962" s="3">
        <v>1.23</v>
      </c>
      <c r="F5962" s="3">
        <f t="shared" si="186"/>
        <v>0.31082100000000001</v>
      </c>
      <c r="G5962" s="3">
        <f t="shared" si="187"/>
        <v>1.540821</v>
      </c>
    </row>
    <row r="5963" spans="1:7" x14ac:dyDescent="0.3">
      <c r="A5963" t="s">
        <v>13039</v>
      </c>
      <c r="B5963" t="s">
        <v>11961</v>
      </c>
      <c r="C5963" t="s">
        <v>11962</v>
      </c>
      <c r="D5963" s="1" t="s">
        <v>11936</v>
      </c>
      <c r="E5963" s="3">
        <v>0.98</v>
      </c>
      <c r="F5963" s="3">
        <f t="shared" si="186"/>
        <v>0.24764600000000003</v>
      </c>
      <c r="G5963" s="3">
        <f t="shared" si="187"/>
        <v>1.227646</v>
      </c>
    </row>
    <row r="5964" spans="1:7" x14ac:dyDescent="0.3">
      <c r="A5964" t="s">
        <v>13039</v>
      </c>
      <c r="B5964" t="s">
        <v>11963</v>
      </c>
      <c r="C5964" t="s">
        <v>11964</v>
      </c>
      <c r="D5964" s="1" t="s">
        <v>11936</v>
      </c>
      <c r="E5964" s="3">
        <v>0.8</v>
      </c>
      <c r="F5964" s="3">
        <f t="shared" si="186"/>
        <v>0.20216000000000003</v>
      </c>
      <c r="G5964" s="3">
        <f t="shared" si="187"/>
        <v>1.0021600000000002</v>
      </c>
    </row>
    <row r="5965" spans="1:7" x14ac:dyDescent="0.3">
      <c r="A5965" t="s">
        <v>13039</v>
      </c>
      <c r="B5965" t="s">
        <v>11965</v>
      </c>
      <c r="C5965" t="s">
        <v>11966</v>
      </c>
      <c r="D5965" s="1" t="s">
        <v>11936</v>
      </c>
      <c r="E5965" s="3">
        <v>2.0499999999999998</v>
      </c>
      <c r="F5965" s="3">
        <f t="shared" si="186"/>
        <v>0.51803500000000002</v>
      </c>
      <c r="G5965" s="3">
        <f t="shared" si="187"/>
        <v>2.5680350000000001</v>
      </c>
    </row>
    <row r="5966" spans="1:7" x14ac:dyDescent="0.3">
      <c r="A5966" t="s">
        <v>13039</v>
      </c>
      <c r="B5966" t="s">
        <v>11967</v>
      </c>
      <c r="C5966" t="s">
        <v>11968</v>
      </c>
      <c r="D5966" s="1" t="s">
        <v>11936</v>
      </c>
      <c r="E5966" s="3">
        <v>1.64</v>
      </c>
      <c r="F5966" s="3">
        <f t="shared" si="186"/>
        <v>0.41442800000000002</v>
      </c>
      <c r="G5966" s="3">
        <f t="shared" si="187"/>
        <v>2.0544279999999997</v>
      </c>
    </row>
    <row r="5967" spans="1:7" x14ac:dyDescent="0.3">
      <c r="A5967" t="s">
        <v>13039</v>
      </c>
      <c r="B5967" t="s">
        <v>11969</v>
      </c>
      <c r="C5967" t="s">
        <v>11970</v>
      </c>
      <c r="D5967" s="1" t="s">
        <v>11936</v>
      </c>
      <c r="E5967" s="3">
        <v>1.34</v>
      </c>
      <c r="F5967" s="3">
        <f t="shared" si="186"/>
        <v>0.33861800000000009</v>
      </c>
      <c r="G5967" s="3">
        <f t="shared" si="187"/>
        <v>1.6786180000000002</v>
      </c>
    </row>
    <row r="5968" spans="1:7" x14ac:dyDescent="0.3">
      <c r="A5968" t="s">
        <v>13039</v>
      </c>
      <c r="B5968" t="s">
        <v>11971</v>
      </c>
      <c r="C5968" t="s">
        <v>11972</v>
      </c>
      <c r="D5968" s="1" t="s">
        <v>11936</v>
      </c>
      <c r="E5968" s="3">
        <v>2.82</v>
      </c>
      <c r="F5968" s="3">
        <f t="shared" si="186"/>
        <v>0.71261400000000008</v>
      </c>
      <c r="G5968" s="3">
        <f t="shared" si="187"/>
        <v>3.5326139999999997</v>
      </c>
    </row>
    <row r="5969" spans="1:7" x14ac:dyDescent="0.3">
      <c r="A5969" t="s">
        <v>13039</v>
      </c>
      <c r="B5969" t="s">
        <v>11973</v>
      </c>
      <c r="C5969" t="s">
        <v>11974</v>
      </c>
      <c r="D5969" s="1" t="s">
        <v>11936</v>
      </c>
      <c r="E5969" s="3">
        <v>2.2599999999999998</v>
      </c>
      <c r="F5969" s="3">
        <f t="shared" si="186"/>
        <v>0.571102</v>
      </c>
      <c r="G5969" s="3">
        <f t="shared" si="187"/>
        <v>2.8311019999999996</v>
      </c>
    </row>
    <row r="5970" spans="1:7" x14ac:dyDescent="0.3">
      <c r="A5970" t="s">
        <v>13039</v>
      </c>
      <c r="B5970" t="s">
        <v>11975</v>
      </c>
      <c r="C5970" t="s">
        <v>11976</v>
      </c>
      <c r="D5970" s="1" t="s">
        <v>11936</v>
      </c>
      <c r="E5970" s="3">
        <v>1.85</v>
      </c>
      <c r="F5970" s="3">
        <f t="shared" si="186"/>
        <v>0.4674950000000001</v>
      </c>
      <c r="G5970" s="3">
        <f t="shared" si="187"/>
        <v>2.3174950000000001</v>
      </c>
    </row>
    <row r="5971" spans="1:7" x14ac:dyDescent="0.3">
      <c r="A5971" t="s">
        <v>13039</v>
      </c>
      <c r="B5971" t="s">
        <v>11977</v>
      </c>
      <c r="C5971" t="s">
        <v>11978</v>
      </c>
      <c r="D5971" s="1" t="s">
        <v>11936</v>
      </c>
      <c r="E5971" s="3">
        <v>2.09</v>
      </c>
      <c r="F5971" s="3">
        <f t="shared" si="186"/>
        <v>0.52814300000000003</v>
      </c>
      <c r="G5971" s="3">
        <f t="shared" si="187"/>
        <v>2.6181429999999999</v>
      </c>
    </row>
    <row r="5972" spans="1:7" x14ac:dyDescent="0.3">
      <c r="A5972" t="s">
        <v>13039</v>
      </c>
      <c r="B5972" t="s">
        <v>11979</v>
      </c>
      <c r="C5972" t="s">
        <v>11980</v>
      </c>
      <c r="D5972" s="1" t="s">
        <v>11936</v>
      </c>
      <c r="E5972" s="3">
        <v>1.67</v>
      </c>
      <c r="F5972" s="3">
        <f t="shared" si="186"/>
        <v>0.42200900000000002</v>
      </c>
      <c r="G5972" s="3">
        <f t="shared" si="187"/>
        <v>2.092009</v>
      </c>
    </row>
    <row r="5973" spans="1:7" x14ac:dyDescent="0.3">
      <c r="A5973" t="s">
        <v>13039</v>
      </c>
      <c r="B5973" t="s">
        <v>11981</v>
      </c>
      <c r="C5973" t="s">
        <v>11982</v>
      </c>
      <c r="D5973" s="1" t="s">
        <v>11936</v>
      </c>
      <c r="E5973" s="3">
        <v>1.36</v>
      </c>
      <c r="F5973" s="3">
        <f t="shared" si="186"/>
        <v>0.34367200000000009</v>
      </c>
      <c r="G5973" s="3">
        <f t="shared" si="187"/>
        <v>1.7036720000000001</v>
      </c>
    </row>
    <row r="5974" spans="1:7" x14ac:dyDescent="0.3">
      <c r="A5974" t="s">
        <v>13039</v>
      </c>
      <c r="B5974" t="s">
        <v>11983</v>
      </c>
      <c r="C5974" t="s">
        <v>11984</v>
      </c>
      <c r="D5974" s="1" t="s">
        <v>11936</v>
      </c>
      <c r="E5974" s="3">
        <v>1.1100000000000001</v>
      </c>
      <c r="F5974" s="3">
        <f t="shared" si="186"/>
        <v>0.28049700000000005</v>
      </c>
      <c r="G5974" s="3">
        <f t="shared" si="187"/>
        <v>1.3904970000000001</v>
      </c>
    </row>
    <row r="5975" spans="1:7" x14ac:dyDescent="0.3">
      <c r="A5975" t="s">
        <v>13039</v>
      </c>
      <c r="B5975" t="s">
        <v>11985</v>
      </c>
      <c r="C5975" t="s">
        <v>11986</v>
      </c>
      <c r="D5975" s="1" t="s">
        <v>11936</v>
      </c>
      <c r="E5975" s="3">
        <v>0.89</v>
      </c>
      <c r="F5975" s="3">
        <f t="shared" si="186"/>
        <v>0.22490300000000005</v>
      </c>
      <c r="G5975" s="3">
        <f t="shared" si="187"/>
        <v>1.114903</v>
      </c>
    </row>
    <row r="5976" spans="1:7" x14ac:dyDescent="0.3">
      <c r="A5976" t="s">
        <v>13039</v>
      </c>
      <c r="B5976" t="s">
        <v>11987</v>
      </c>
      <c r="C5976" t="s">
        <v>11988</v>
      </c>
      <c r="D5976" s="1" t="s">
        <v>11936</v>
      </c>
      <c r="E5976" s="3">
        <v>0.72</v>
      </c>
      <c r="F5976" s="3">
        <f t="shared" si="186"/>
        <v>0.18194400000000002</v>
      </c>
      <c r="G5976" s="3">
        <f t="shared" si="187"/>
        <v>0.90194399999999997</v>
      </c>
    </row>
    <row r="5977" spans="1:7" x14ac:dyDescent="0.3">
      <c r="A5977" t="s">
        <v>13039</v>
      </c>
      <c r="B5977" t="s">
        <v>11989</v>
      </c>
      <c r="C5977" t="s">
        <v>11990</v>
      </c>
      <c r="D5977" s="1" t="s">
        <v>11936</v>
      </c>
      <c r="E5977" s="3">
        <v>2.11</v>
      </c>
      <c r="F5977" s="3">
        <f t="shared" si="186"/>
        <v>0.53319700000000003</v>
      </c>
      <c r="G5977" s="3">
        <f t="shared" si="187"/>
        <v>2.6431969999999998</v>
      </c>
    </row>
    <row r="5978" spans="1:7" x14ac:dyDescent="0.3">
      <c r="A5978" t="s">
        <v>13039</v>
      </c>
      <c r="B5978" t="s">
        <v>11991</v>
      </c>
      <c r="C5978" t="s">
        <v>11992</v>
      </c>
      <c r="D5978" s="1" t="s">
        <v>11936</v>
      </c>
      <c r="E5978" s="3">
        <v>1.69</v>
      </c>
      <c r="F5978" s="3">
        <f t="shared" si="186"/>
        <v>0.42706300000000003</v>
      </c>
      <c r="G5978" s="3">
        <f t="shared" si="187"/>
        <v>2.1170629999999999</v>
      </c>
    </row>
    <row r="5979" spans="1:7" x14ac:dyDescent="0.3">
      <c r="A5979" t="s">
        <v>13039</v>
      </c>
      <c r="B5979" t="s">
        <v>11993</v>
      </c>
      <c r="C5979" t="s">
        <v>11994</v>
      </c>
      <c r="D5979" s="1" t="s">
        <v>11936</v>
      </c>
      <c r="E5979" s="3">
        <v>1.38</v>
      </c>
      <c r="F5979" s="3">
        <f t="shared" si="186"/>
        <v>0.34872600000000004</v>
      </c>
      <c r="G5979" s="3">
        <f t="shared" si="187"/>
        <v>1.728726</v>
      </c>
    </row>
    <row r="5980" spans="1:7" x14ac:dyDescent="0.3">
      <c r="A5980" t="s">
        <v>13039</v>
      </c>
      <c r="B5980" t="s">
        <v>11995</v>
      </c>
      <c r="C5980" t="s">
        <v>11996</v>
      </c>
      <c r="D5980" s="1" t="s">
        <v>11936</v>
      </c>
      <c r="E5980" s="3">
        <v>1.28</v>
      </c>
      <c r="F5980" s="3">
        <f t="shared" si="186"/>
        <v>0.32345600000000008</v>
      </c>
      <c r="G5980" s="3">
        <f t="shared" si="187"/>
        <v>1.603456</v>
      </c>
    </row>
    <row r="5981" spans="1:7" x14ac:dyDescent="0.3">
      <c r="A5981" t="s">
        <v>13039</v>
      </c>
      <c r="B5981" t="s">
        <v>11997</v>
      </c>
      <c r="C5981" t="s">
        <v>11998</v>
      </c>
      <c r="D5981" s="1" t="s">
        <v>11936</v>
      </c>
      <c r="E5981" s="3">
        <v>1.02</v>
      </c>
      <c r="F5981" s="3">
        <f t="shared" si="186"/>
        <v>0.25775400000000004</v>
      </c>
      <c r="G5981" s="3">
        <f t="shared" si="187"/>
        <v>1.2777540000000001</v>
      </c>
    </row>
    <row r="5982" spans="1:7" x14ac:dyDescent="0.3">
      <c r="A5982" t="s">
        <v>13039</v>
      </c>
      <c r="B5982" t="s">
        <v>11999</v>
      </c>
      <c r="C5982" t="s">
        <v>12000</v>
      </c>
      <c r="D5982" s="1" t="s">
        <v>11936</v>
      </c>
      <c r="E5982" s="3">
        <v>0.84</v>
      </c>
      <c r="F5982" s="3">
        <f t="shared" si="186"/>
        <v>0.21226800000000001</v>
      </c>
      <c r="G5982" s="3">
        <f t="shared" si="187"/>
        <v>1.052268</v>
      </c>
    </row>
    <row r="5983" spans="1:7" x14ac:dyDescent="0.3">
      <c r="A5983" t="s">
        <v>13039</v>
      </c>
      <c r="B5983" t="s">
        <v>12001</v>
      </c>
      <c r="C5983" t="s">
        <v>12002</v>
      </c>
      <c r="D5983" s="1" t="s">
        <v>11936</v>
      </c>
      <c r="E5983" s="3">
        <v>1.28</v>
      </c>
      <c r="F5983" s="3">
        <f t="shared" si="186"/>
        <v>0.32345600000000008</v>
      </c>
      <c r="G5983" s="3">
        <f t="shared" si="187"/>
        <v>1.603456</v>
      </c>
    </row>
    <row r="5984" spans="1:7" x14ac:dyDescent="0.3">
      <c r="A5984" t="s">
        <v>13039</v>
      </c>
      <c r="B5984" t="s">
        <v>12003</v>
      </c>
      <c r="C5984" t="s">
        <v>12004</v>
      </c>
      <c r="D5984" s="1" t="s">
        <v>11936</v>
      </c>
      <c r="E5984" s="3">
        <v>1.03</v>
      </c>
      <c r="F5984" s="3">
        <f t="shared" si="186"/>
        <v>0.26028100000000004</v>
      </c>
      <c r="G5984" s="3">
        <f t="shared" si="187"/>
        <v>1.290281</v>
      </c>
    </row>
    <row r="5985" spans="1:7" x14ac:dyDescent="0.3">
      <c r="A5985" t="s">
        <v>13039</v>
      </c>
      <c r="B5985" t="s">
        <v>12005</v>
      </c>
      <c r="C5985" t="s">
        <v>12006</v>
      </c>
      <c r="D5985" s="1" t="s">
        <v>11936</v>
      </c>
      <c r="E5985" s="3">
        <v>0.84</v>
      </c>
      <c r="F5985" s="3">
        <f t="shared" si="186"/>
        <v>0.21226800000000001</v>
      </c>
      <c r="G5985" s="3">
        <f t="shared" si="187"/>
        <v>1.052268</v>
      </c>
    </row>
    <row r="5986" spans="1:7" x14ac:dyDescent="0.3">
      <c r="A5986" t="s">
        <v>13039</v>
      </c>
      <c r="B5986" t="s">
        <v>12007</v>
      </c>
      <c r="C5986" t="s">
        <v>12008</v>
      </c>
      <c r="D5986" s="1" t="s">
        <v>11936</v>
      </c>
      <c r="E5986" s="3">
        <v>0.9</v>
      </c>
      <c r="F5986" s="3">
        <f t="shared" si="186"/>
        <v>0.22743000000000005</v>
      </c>
      <c r="G5986" s="3">
        <f t="shared" si="187"/>
        <v>1.1274300000000002</v>
      </c>
    </row>
    <row r="5987" spans="1:7" x14ac:dyDescent="0.3">
      <c r="A5987" t="s">
        <v>13039</v>
      </c>
      <c r="B5987" t="s">
        <v>12009</v>
      </c>
      <c r="C5987" t="s">
        <v>12010</v>
      </c>
      <c r="D5987" s="1" t="s">
        <v>11936</v>
      </c>
      <c r="E5987" s="3">
        <v>0.72</v>
      </c>
      <c r="F5987" s="3">
        <f t="shared" si="186"/>
        <v>0.18194400000000002</v>
      </c>
      <c r="G5987" s="3">
        <f t="shared" si="187"/>
        <v>0.90194399999999997</v>
      </c>
    </row>
    <row r="5988" spans="1:7" x14ac:dyDescent="0.3">
      <c r="A5988" t="s">
        <v>13039</v>
      </c>
      <c r="B5988" t="s">
        <v>12011</v>
      </c>
      <c r="C5988" t="s">
        <v>12012</v>
      </c>
      <c r="D5988" s="1" t="s">
        <v>11936</v>
      </c>
      <c r="E5988" s="3">
        <v>0.59</v>
      </c>
      <c r="F5988" s="3">
        <f t="shared" si="186"/>
        <v>0.149093</v>
      </c>
      <c r="G5988" s="3">
        <f t="shared" si="187"/>
        <v>0.739093</v>
      </c>
    </row>
    <row r="5989" spans="1:7" x14ac:dyDescent="0.3">
      <c r="A5989" t="s">
        <v>13039</v>
      </c>
      <c r="B5989" t="s">
        <v>12013</v>
      </c>
      <c r="C5989" t="s">
        <v>12014</v>
      </c>
      <c r="D5989" s="1" t="s">
        <v>11936</v>
      </c>
      <c r="E5989" s="3">
        <v>2.2000000000000002</v>
      </c>
      <c r="F5989" s="3">
        <f t="shared" si="186"/>
        <v>0.5559400000000001</v>
      </c>
      <c r="G5989" s="3">
        <f t="shared" si="187"/>
        <v>2.7559400000000003</v>
      </c>
    </row>
    <row r="5990" spans="1:7" x14ac:dyDescent="0.3">
      <c r="A5990" t="s">
        <v>13039</v>
      </c>
      <c r="B5990" t="s">
        <v>12015</v>
      </c>
      <c r="C5990" t="s">
        <v>12016</v>
      </c>
      <c r="D5990" s="1" t="s">
        <v>11936</v>
      </c>
      <c r="E5990" s="3">
        <v>1.76</v>
      </c>
      <c r="F5990" s="3">
        <f t="shared" si="186"/>
        <v>0.44475200000000009</v>
      </c>
      <c r="G5990" s="3">
        <f t="shared" si="187"/>
        <v>2.204752</v>
      </c>
    </row>
    <row r="5991" spans="1:7" x14ac:dyDescent="0.3">
      <c r="A5991" t="s">
        <v>13039</v>
      </c>
      <c r="B5991" t="s">
        <v>12017</v>
      </c>
      <c r="C5991" t="s">
        <v>12018</v>
      </c>
      <c r="D5991" s="1" t="s">
        <v>11936</v>
      </c>
      <c r="E5991" s="3">
        <v>1.44</v>
      </c>
      <c r="F5991" s="3">
        <f t="shared" si="186"/>
        <v>0.36388800000000004</v>
      </c>
      <c r="G5991" s="3">
        <f t="shared" si="187"/>
        <v>1.8038879999999999</v>
      </c>
    </row>
    <row r="5992" spans="1:7" x14ac:dyDescent="0.3">
      <c r="A5992" t="s">
        <v>13039</v>
      </c>
      <c r="B5992" t="s">
        <v>12019</v>
      </c>
      <c r="C5992" t="s">
        <v>12020</v>
      </c>
      <c r="D5992" s="1" t="s">
        <v>11936</v>
      </c>
      <c r="E5992" s="3">
        <v>1.7</v>
      </c>
      <c r="F5992" s="3">
        <f t="shared" si="186"/>
        <v>0.42959000000000003</v>
      </c>
      <c r="G5992" s="3">
        <f t="shared" si="187"/>
        <v>2.1295899999999999</v>
      </c>
    </row>
    <row r="5993" spans="1:7" x14ac:dyDescent="0.3">
      <c r="A5993" t="s">
        <v>13039</v>
      </c>
      <c r="B5993" t="s">
        <v>12021</v>
      </c>
      <c r="C5993" t="s">
        <v>12022</v>
      </c>
      <c r="D5993" s="1" t="s">
        <v>11936</v>
      </c>
      <c r="E5993" s="3">
        <v>1.36</v>
      </c>
      <c r="F5993" s="3">
        <f t="shared" si="186"/>
        <v>0.34367200000000009</v>
      </c>
      <c r="G5993" s="3">
        <f t="shared" si="187"/>
        <v>1.7036720000000001</v>
      </c>
    </row>
    <row r="5994" spans="1:7" x14ac:dyDescent="0.3">
      <c r="A5994" t="s">
        <v>13039</v>
      </c>
      <c r="B5994" t="s">
        <v>12023</v>
      </c>
      <c r="C5994" t="s">
        <v>12024</v>
      </c>
      <c r="D5994" s="1" t="s">
        <v>11936</v>
      </c>
      <c r="E5994" s="3">
        <v>1.1100000000000001</v>
      </c>
      <c r="F5994" s="3">
        <f t="shared" si="186"/>
        <v>0.28049700000000005</v>
      </c>
      <c r="G5994" s="3">
        <f t="shared" si="187"/>
        <v>1.3904970000000001</v>
      </c>
    </row>
    <row r="5995" spans="1:7" x14ac:dyDescent="0.3">
      <c r="A5995" t="s">
        <v>13039</v>
      </c>
      <c r="B5995" t="s">
        <v>12025</v>
      </c>
      <c r="C5995" t="s">
        <v>12026</v>
      </c>
      <c r="D5995" s="1" t="s">
        <v>11936</v>
      </c>
      <c r="E5995" s="3">
        <v>2.84</v>
      </c>
      <c r="F5995" s="3">
        <f t="shared" si="186"/>
        <v>0.71766800000000008</v>
      </c>
      <c r="G5995" s="3">
        <f t="shared" si="187"/>
        <v>3.5576680000000001</v>
      </c>
    </row>
    <row r="5996" spans="1:7" x14ac:dyDescent="0.3">
      <c r="A5996" t="s">
        <v>13039</v>
      </c>
      <c r="B5996" t="s">
        <v>12027</v>
      </c>
      <c r="C5996" t="s">
        <v>12028</v>
      </c>
      <c r="D5996" s="1" t="s">
        <v>11936</v>
      </c>
      <c r="E5996" s="3">
        <v>2.27</v>
      </c>
      <c r="F5996" s="3">
        <f t="shared" si="186"/>
        <v>0.57362900000000006</v>
      </c>
      <c r="G5996" s="3">
        <f t="shared" si="187"/>
        <v>2.843629</v>
      </c>
    </row>
    <row r="5997" spans="1:7" x14ac:dyDescent="0.3">
      <c r="A5997" t="s">
        <v>13039</v>
      </c>
      <c r="B5997" t="s">
        <v>12029</v>
      </c>
      <c r="C5997" t="s">
        <v>12030</v>
      </c>
      <c r="D5997" s="1" t="s">
        <v>11936</v>
      </c>
      <c r="E5997" s="3">
        <v>1.85</v>
      </c>
      <c r="F5997" s="3">
        <f t="shared" si="186"/>
        <v>0.4674950000000001</v>
      </c>
      <c r="G5997" s="3">
        <f t="shared" si="187"/>
        <v>2.3174950000000001</v>
      </c>
    </row>
    <row r="5998" spans="1:7" x14ac:dyDescent="0.3">
      <c r="A5998" t="s">
        <v>13039</v>
      </c>
      <c r="B5998" t="s">
        <v>12031</v>
      </c>
      <c r="C5998" t="s">
        <v>12032</v>
      </c>
      <c r="D5998" s="1" t="s">
        <v>11936</v>
      </c>
      <c r="E5998" s="3">
        <v>2.17</v>
      </c>
      <c r="F5998" s="3">
        <f t="shared" si="186"/>
        <v>0.54835900000000004</v>
      </c>
      <c r="G5998" s="3">
        <f t="shared" si="187"/>
        <v>2.718359</v>
      </c>
    </row>
    <row r="5999" spans="1:7" x14ac:dyDescent="0.3">
      <c r="A5999" t="s">
        <v>13039</v>
      </c>
      <c r="B5999" t="s">
        <v>12033</v>
      </c>
      <c r="C5999" t="s">
        <v>12034</v>
      </c>
      <c r="D5999" s="1" t="s">
        <v>11936</v>
      </c>
      <c r="E5999" s="3">
        <v>1.73</v>
      </c>
      <c r="F5999" s="3">
        <f t="shared" si="186"/>
        <v>0.43717100000000003</v>
      </c>
      <c r="G5999" s="3">
        <f t="shared" si="187"/>
        <v>2.1671710000000002</v>
      </c>
    </row>
    <row r="6000" spans="1:7" x14ac:dyDescent="0.3">
      <c r="A6000" t="s">
        <v>13039</v>
      </c>
      <c r="B6000" t="s">
        <v>12035</v>
      </c>
      <c r="C6000" t="s">
        <v>12036</v>
      </c>
      <c r="D6000" s="1" t="s">
        <v>11936</v>
      </c>
      <c r="E6000" s="3">
        <v>1.42</v>
      </c>
      <c r="F6000" s="3">
        <f t="shared" si="186"/>
        <v>0.35883400000000004</v>
      </c>
      <c r="G6000" s="3">
        <f t="shared" si="187"/>
        <v>1.778834</v>
      </c>
    </row>
    <row r="6001" spans="1:7" x14ac:dyDescent="0.3">
      <c r="A6001" t="s">
        <v>13039</v>
      </c>
      <c r="B6001" t="s">
        <v>12037</v>
      </c>
      <c r="C6001" t="s">
        <v>12038</v>
      </c>
      <c r="D6001" s="1" t="s">
        <v>12039</v>
      </c>
      <c r="E6001" s="3">
        <v>2.21</v>
      </c>
      <c r="F6001" s="3">
        <f t="shared" si="186"/>
        <v>0.55846700000000005</v>
      </c>
      <c r="G6001" s="3">
        <f t="shared" si="187"/>
        <v>2.7684670000000002</v>
      </c>
    </row>
    <row r="6002" spans="1:7" x14ac:dyDescent="0.3">
      <c r="A6002" t="s">
        <v>13039</v>
      </c>
      <c r="B6002" t="s">
        <v>12040</v>
      </c>
      <c r="C6002" t="s">
        <v>12041</v>
      </c>
      <c r="D6002" s="1" t="s">
        <v>12039</v>
      </c>
      <c r="E6002" s="3">
        <v>0.56000000000000005</v>
      </c>
      <c r="F6002" s="3">
        <f t="shared" si="186"/>
        <v>0.14151200000000003</v>
      </c>
      <c r="G6002" s="3">
        <f t="shared" si="187"/>
        <v>0.70151200000000014</v>
      </c>
    </row>
    <row r="6003" spans="1:7" x14ac:dyDescent="0.3">
      <c r="A6003" t="s">
        <v>13039</v>
      </c>
      <c r="B6003" t="s">
        <v>12042</v>
      </c>
      <c r="C6003" t="s">
        <v>12043</v>
      </c>
      <c r="D6003" s="1" t="s">
        <v>12039</v>
      </c>
      <c r="E6003" s="3">
        <v>0.53</v>
      </c>
      <c r="F6003" s="3">
        <f t="shared" si="186"/>
        <v>0.13393100000000002</v>
      </c>
      <c r="G6003" s="3">
        <f t="shared" si="187"/>
        <v>0.66393100000000005</v>
      </c>
    </row>
    <row r="6004" spans="1:7" x14ac:dyDescent="0.3">
      <c r="A6004" t="s">
        <v>13039</v>
      </c>
      <c r="B6004" t="s">
        <v>12044</v>
      </c>
      <c r="C6004" t="s">
        <v>12045</v>
      </c>
      <c r="D6004" s="1" t="s">
        <v>12039</v>
      </c>
      <c r="E6004" s="3">
        <v>1.3</v>
      </c>
      <c r="F6004" s="3">
        <f t="shared" si="186"/>
        <v>0.32851000000000008</v>
      </c>
      <c r="G6004" s="3">
        <f t="shared" si="187"/>
        <v>1.6285100000000001</v>
      </c>
    </row>
    <row r="6005" spans="1:7" x14ac:dyDescent="0.3">
      <c r="A6005" t="s">
        <v>13039</v>
      </c>
      <c r="B6005" t="s">
        <v>12046</v>
      </c>
      <c r="C6005" t="s">
        <v>12047</v>
      </c>
      <c r="D6005" s="1" t="s">
        <v>12039</v>
      </c>
      <c r="E6005" s="3">
        <v>0.51</v>
      </c>
      <c r="F6005" s="3">
        <f t="shared" si="186"/>
        <v>0.12887700000000002</v>
      </c>
      <c r="G6005" s="3">
        <f t="shared" si="187"/>
        <v>0.63887700000000003</v>
      </c>
    </row>
    <row r="6006" spans="1:7" x14ac:dyDescent="0.3">
      <c r="A6006" t="s">
        <v>13039</v>
      </c>
      <c r="B6006" t="s">
        <v>12048</v>
      </c>
      <c r="C6006" t="s">
        <v>12049</v>
      </c>
      <c r="D6006" s="1" t="s">
        <v>12039</v>
      </c>
      <c r="E6006" s="3">
        <v>1.02</v>
      </c>
      <c r="F6006" s="3">
        <f t="shared" si="186"/>
        <v>0.25775400000000004</v>
      </c>
      <c r="G6006" s="3">
        <f t="shared" si="187"/>
        <v>1.2777540000000001</v>
      </c>
    </row>
    <row r="6007" spans="1:7" x14ac:dyDescent="0.3">
      <c r="A6007" t="s">
        <v>13039</v>
      </c>
      <c r="B6007" t="s">
        <v>12050</v>
      </c>
      <c r="C6007" t="s">
        <v>12051</v>
      </c>
      <c r="D6007" s="1" t="s">
        <v>12039</v>
      </c>
      <c r="E6007" s="3">
        <v>0.88</v>
      </c>
      <c r="F6007" s="3">
        <f t="shared" si="186"/>
        <v>0.22237600000000005</v>
      </c>
      <c r="G6007" s="3">
        <f t="shared" si="187"/>
        <v>1.102376</v>
      </c>
    </row>
    <row r="6008" spans="1:7" x14ac:dyDescent="0.3">
      <c r="A6008" t="s">
        <v>13039</v>
      </c>
      <c r="B6008" t="s">
        <v>12052</v>
      </c>
      <c r="C6008" t="s">
        <v>12053</v>
      </c>
      <c r="D6008" s="1" t="s">
        <v>12039</v>
      </c>
      <c r="E6008" s="3">
        <v>0.77</v>
      </c>
      <c r="F6008" s="3">
        <f t="shared" si="186"/>
        <v>0.19457900000000003</v>
      </c>
      <c r="G6008" s="3">
        <f t="shared" si="187"/>
        <v>0.96457900000000008</v>
      </c>
    </row>
    <row r="6009" spans="1:7" x14ac:dyDescent="0.3">
      <c r="A6009" t="s">
        <v>13039</v>
      </c>
      <c r="B6009" t="s">
        <v>12054</v>
      </c>
      <c r="C6009" t="s">
        <v>12055</v>
      </c>
      <c r="D6009" s="1" t="s">
        <v>12039</v>
      </c>
      <c r="E6009" s="3">
        <v>3.23</v>
      </c>
      <c r="F6009" s="3">
        <f t="shared" si="186"/>
        <v>0.81622100000000009</v>
      </c>
      <c r="G6009" s="3">
        <f t="shared" si="187"/>
        <v>4.0462210000000001</v>
      </c>
    </row>
    <row r="6010" spans="1:7" x14ac:dyDescent="0.3">
      <c r="A6010" t="s">
        <v>13039</v>
      </c>
      <c r="B6010" t="s">
        <v>12056</v>
      </c>
      <c r="C6010" t="s">
        <v>12057</v>
      </c>
      <c r="D6010" s="1" t="s">
        <v>12039</v>
      </c>
      <c r="E6010" s="3">
        <v>2.16</v>
      </c>
      <c r="F6010" s="3">
        <f t="shared" si="186"/>
        <v>0.54583200000000009</v>
      </c>
      <c r="G6010" s="3">
        <f t="shared" si="187"/>
        <v>2.705832</v>
      </c>
    </row>
    <row r="6011" spans="1:7" x14ac:dyDescent="0.3">
      <c r="A6011" t="s">
        <v>13039</v>
      </c>
      <c r="B6011" t="s">
        <v>12058</v>
      </c>
      <c r="C6011" t="s">
        <v>12059</v>
      </c>
      <c r="D6011" s="1" t="s">
        <v>12039</v>
      </c>
      <c r="E6011" s="3">
        <v>0.55000000000000004</v>
      </c>
      <c r="F6011" s="3">
        <f t="shared" si="186"/>
        <v>0.13898500000000003</v>
      </c>
      <c r="G6011" s="3">
        <f t="shared" si="187"/>
        <v>0.68898500000000007</v>
      </c>
    </row>
    <row r="6012" spans="1:7" x14ac:dyDescent="0.3">
      <c r="A6012" t="s">
        <v>13039</v>
      </c>
      <c r="B6012" t="s">
        <v>12060</v>
      </c>
      <c r="C6012" t="s">
        <v>12061</v>
      </c>
      <c r="D6012" s="1" t="s">
        <v>12039</v>
      </c>
      <c r="E6012" s="3">
        <v>0.51</v>
      </c>
      <c r="F6012" s="3">
        <f t="shared" si="186"/>
        <v>0.12887700000000002</v>
      </c>
      <c r="G6012" s="3">
        <f t="shared" si="187"/>
        <v>0.63887700000000003</v>
      </c>
    </row>
    <row r="6013" spans="1:7" x14ac:dyDescent="0.3">
      <c r="A6013" t="s">
        <v>13039</v>
      </c>
      <c r="B6013" t="s">
        <v>12062</v>
      </c>
      <c r="C6013" t="s">
        <v>12063</v>
      </c>
      <c r="D6013" s="1" t="s">
        <v>12039</v>
      </c>
      <c r="E6013" s="3">
        <v>1.27</v>
      </c>
      <c r="F6013" s="3">
        <f t="shared" si="186"/>
        <v>0.32092900000000008</v>
      </c>
      <c r="G6013" s="3">
        <f t="shared" si="187"/>
        <v>1.590929</v>
      </c>
    </row>
    <row r="6014" spans="1:7" x14ac:dyDescent="0.3">
      <c r="A6014" t="s">
        <v>13039</v>
      </c>
      <c r="B6014" t="s">
        <v>12064</v>
      </c>
      <c r="C6014" t="s">
        <v>12065</v>
      </c>
      <c r="D6014" s="1" t="s">
        <v>12039</v>
      </c>
      <c r="E6014" s="3">
        <v>0.5</v>
      </c>
      <c r="F6014" s="3">
        <f t="shared" si="186"/>
        <v>0.12635000000000002</v>
      </c>
      <c r="G6014" s="3">
        <f t="shared" si="187"/>
        <v>0.62634999999999996</v>
      </c>
    </row>
    <row r="6015" spans="1:7" x14ac:dyDescent="0.3">
      <c r="A6015" t="s">
        <v>13039</v>
      </c>
      <c r="B6015" t="s">
        <v>12066</v>
      </c>
      <c r="C6015" t="s">
        <v>12067</v>
      </c>
      <c r="D6015" s="1" t="s">
        <v>12039</v>
      </c>
      <c r="E6015" s="3">
        <v>0.99</v>
      </c>
      <c r="F6015" s="3">
        <f t="shared" si="186"/>
        <v>0.25017300000000003</v>
      </c>
      <c r="G6015" s="3">
        <f t="shared" si="187"/>
        <v>1.240173</v>
      </c>
    </row>
    <row r="6016" spans="1:7" x14ac:dyDescent="0.3">
      <c r="A6016" t="s">
        <v>13039</v>
      </c>
      <c r="B6016" t="s">
        <v>12068</v>
      </c>
      <c r="C6016" t="s">
        <v>12069</v>
      </c>
      <c r="D6016" s="1" t="s">
        <v>12039</v>
      </c>
      <c r="E6016" s="3">
        <v>0.86</v>
      </c>
      <c r="F6016" s="3">
        <f t="shared" si="186"/>
        <v>0.21732200000000002</v>
      </c>
      <c r="G6016" s="3">
        <f t="shared" si="187"/>
        <v>1.0773220000000001</v>
      </c>
    </row>
    <row r="6017" spans="1:7" x14ac:dyDescent="0.3">
      <c r="A6017" t="s">
        <v>13039</v>
      </c>
      <c r="B6017" t="s">
        <v>12070</v>
      </c>
      <c r="C6017" t="s">
        <v>12071</v>
      </c>
      <c r="D6017" s="1" t="s">
        <v>12039</v>
      </c>
      <c r="E6017" s="3">
        <v>0.75</v>
      </c>
      <c r="F6017" s="3">
        <f t="shared" si="186"/>
        <v>0.18952500000000003</v>
      </c>
      <c r="G6017" s="3">
        <f t="shared" si="187"/>
        <v>0.93952500000000005</v>
      </c>
    </row>
    <row r="6018" spans="1:7" x14ac:dyDescent="0.3">
      <c r="A6018" t="s">
        <v>13039</v>
      </c>
      <c r="B6018" t="s">
        <v>12072</v>
      </c>
      <c r="C6018" t="s">
        <v>12073</v>
      </c>
      <c r="D6018" s="1" t="s">
        <v>12039</v>
      </c>
      <c r="E6018" s="3">
        <v>3.14</v>
      </c>
      <c r="F6018" s="3">
        <f t="shared" si="186"/>
        <v>0.79347800000000013</v>
      </c>
      <c r="G6018" s="3">
        <f t="shared" si="187"/>
        <v>3.933478</v>
      </c>
    </row>
    <row r="6019" spans="1:7" x14ac:dyDescent="0.3">
      <c r="A6019" t="s">
        <v>13039</v>
      </c>
      <c r="B6019" t="s">
        <v>12074</v>
      </c>
      <c r="C6019" t="s">
        <v>12075</v>
      </c>
      <c r="D6019" s="1" t="s">
        <v>12039</v>
      </c>
      <c r="E6019" s="3">
        <v>2.1800000000000002</v>
      </c>
      <c r="F6019" s="3">
        <f t="shared" si="186"/>
        <v>0.5508860000000001</v>
      </c>
      <c r="G6019" s="3">
        <f t="shared" si="187"/>
        <v>2.7308860000000004</v>
      </c>
    </row>
    <row r="6020" spans="1:7" x14ac:dyDescent="0.3">
      <c r="A6020" t="s">
        <v>13039</v>
      </c>
      <c r="B6020" t="s">
        <v>12076</v>
      </c>
      <c r="C6020" t="s">
        <v>12077</v>
      </c>
      <c r="D6020" s="1" t="s">
        <v>12039</v>
      </c>
      <c r="E6020" s="3">
        <v>0.55000000000000004</v>
      </c>
      <c r="F6020" s="3">
        <f t="shared" si="186"/>
        <v>0.13898500000000003</v>
      </c>
      <c r="G6020" s="3">
        <f t="shared" si="187"/>
        <v>0.68898500000000007</v>
      </c>
    </row>
    <row r="6021" spans="1:7" x14ac:dyDescent="0.3">
      <c r="A6021" t="s">
        <v>13039</v>
      </c>
      <c r="B6021" t="s">
        <v>12078</v>
      </c>
      <c r="C6021" t="s">
        <v>12079</v>
      </c>
      <c r="D6021" s="1" t="s">
        <v>12039</v>
      </c>
      <c r="E6021" s="3">
        <v>0.52</v>
      </c>
      <c r="F6021" s="3">
        <f t="shared" si="186"/>
        <v>0.13140400000000002</v>
      </c>
      <c r="G6021" s="3">
        <f t="shared" si="187"/>
        <v>0.65140400000000009</v>
      </c>
    </row>
    <row r="6022" spans="1:7" x14ac:dyDescent="0.3">
      <c r="A6022" t="s">
        <v>13039</v>
      </c>
      <c r="B6022" t="s">
        <v>12080</v>
      </c>
      <c r="C6022" t="s">
        <v>12081</v>
      </c>
      <c r="D6022" s="1" t="s">
        <v>12039</v>
      </c>
      <c r="E6022" s="3">
        <v>1.28</v>
      </c>
      <c r="F6022" s="3">
        <f t="shared" si="186"/>
        <v>0.32345600000000008</v>
      </c>
      <c r="G6022" s="3">
        <f t="shared" si="187"/>
        <v>1.603456</v>
      </c>
    </row>
    <row r="6023" spans="1:7" x14ac:dyDescent="0.3">
      <c r="A6023" t="s">
        <v>13039</v>
      </c>
      <c r="B6023" t="s">
        <v>12082</v>
      </c>
      <c r="C6023" t="s">
        <v>12083</v>
      </c>
      <c r="D6023" s="1" t="s">
        <v>12039</v>
      </c>
      <c r="E6023" s="3">
        <v>0.5</v>
      </c>
      <c r="F6023" s="3">
        <f t="shared" ref="F6023:F6086" si="188">+E6023*$F$4</f>
        <v>0.12635000000000002</v>
      </c>
      <c r="G6023" s="3">
        <f t="shared" ref="G6023:G6086" si="189">+E6023+F6023</f>
        <v>0.62634999999999996</v>
      </c>
    </row>
    <row r="6024" spans="1:7" x14ac:dyDescent="0.3">
      <c r="A6024" t="s">
        <v>13039</v>
      </c>
      <c r="B6024" t="s">
        <v>12084</v>
      </c>
      <c r="C6024" t="s">
        <v>12085</v>
      </c>
      <c r="D6024" s="1" t="s">
        <v>12039</v>
      </c>
      <c r="E6024" s="3">
        <v>1</v>
      </c>
      <c r="F6024" s="3">
        <f t="shared" si="188"/>
        <v>0.25270000000000004</v>
      </c>
      <c r="G6024" s="3">
        <f t="shared" si="189"/>
        <v>1.2526999999999999</v>
      </c>
    </row>
    <row r="6025" spans="1:7" x14ac:dyDescent="0.3">
      <c r="A6025" t="s">
        <v>13039</v>
      </c>
      <c r="B6025" t="s">
        <v>12086</v>
      </c>
      <c r="C6025" t="s">
        <v>12087</v>
      </c>
      <c r="D6025" s="1" t="s">
        <v>12039</v>
      </c>
      <c r="E6025" s="3">
        <v>0.87</v>
      </c>
      <c r="F6025" s="3">
        <f t="shared" si="188"/>
        <v>0.21984900000000002</v>
      </c>
      <c r="G6025" s="3">
        <f t="shared" si="189"/>
        <v>1.0898490000000001</v>
      </c>
    </row>
    <row r="6026" spans="1:7" x14ac:dyDescent="0.3">
      <c r="A6026" t="s">
        <v>13039</v>
      </c>
      <c r="B6026" t="s">
        <v>12088</v>
      </c>
      <c r="C6026" t="s">
        <v>12089</v>
      </c>
      <c r="D6026" s="1" t="s">
        <v>12039</v>
      </c>
      <c r="E6026" s="3">
        <v>0.76</v>
      </c>
      <c r="F6026" s="3">
        <f t="shared" si="188"/>
        <v>0.19205200000000003</v>
      </c>
      <c r="G6026" s="3">
        <f t="shared" si="189"/>
        <v>0.95205200000000001</v>
      </c>
    </row>
    <row r="6027" spans="1:7" x14ac:dyDescent="0.3">
      <c r="A6027" t="s">
        <v>13039</v>
      </c>
      <c r="B6027" t="s">
        <v>12090</v>
      </c>
      <c r="C6027" t="s">
        <v>12091</v>
      </c>
      <c r="D6027" s="1" t="s">
        <v>12039</v>
      </c>
      <c r="E6027" s="3">
        <v>3.18</v>
      </c>
      <c r="F6027" s="3">
        <f t="shared" si="188"/>
        <v>0.80358600000000013</v>
      </c>
      <c r="G6027" s="3">
        <f t="shared" si="189"/>
        <v>3.9835860000000003</v>
      </c>
    </row>
    <row r="6028" spans="1:7" x14ac:dyDescent="0.3">
      <c r="A6028" t="s">
        <v>13039</v>
      </c>
      <c r="B6028" t="s">
        <v>12092</v>
      </c>
      <c r="C6028" t="s">
        <v>12093</v>
      </c>
      <c r="D6028" s="1" t="s">
        <v>11936</v>
      </c>
      <c r="E6028" s="3">
        <v>0.28000000000000003</v>
      </c>
      <c r="F6028" s="3">
        <f t="shared" si="188"/>
        <v>7.0756000000000013E-2</v>
      </c>
      <c r="G6028" s="3">
        <f t="shared" si="189"/>
        <v>0.35075600000000007</v>
      </c>
    </row>
    <row r="6029" spans="1:7" x14ac:dyDescent="0.3">
      <c r="A6029" t="s">
        <v>13039</v>
      </c>
      <c r="B6029" t="s">
        <v>12094</v>
      </c>
      <c r="C6029" t="s">
        <v>12095</v>
      </c>
      <c r="D6029" s="1" t="s">
        <v>11936</v>
      </c>
      <c r="E6029" s="3">
        <v>0.25</v>
      </c>
      <c r="F6029" s="3">
        <f t="shared" si="188"/>
        <v>6.3175000000000009E-2</v>
      </c>
      <c r="G6029" s="3">
        <f t="shared" si="189"/>
        <v>0.31317499999999998</v>
      </c>
    </row>
    <row r="6030" spans="1:7" x14ac:dyDescent="0.3">
      <c r="A6030" t="s">
        <v>13039</v>
      </c>
      <c r="B6030" t="s">
        <v>12096</v>
      </c>
      <c r="C6030" t="s">
        <v>12097</v>
      </c>
      <c r="D6030" s="1" t="s">
        <v>12098</v>
      </c>
      <c r="E6030" s="3">
        <v>14.51</v>
      </c>
      <c r="F6030" s="3">
        <f t="shared" si="188"/>
        <v>3.6666770000000004</v>
      </c>
      <c r="G6030" s="3">
        <f t="shared" si="189"/>
        <v>18.176677000000002</v>
      </c>
    </row>
    <row r="6031" spans="1:7" x14ac:dyDescent="0.3">
      <c r="A6031" t="s">
        <v>13039</v>
      </c>
      <c r="B6031" t="s">
        <v>12099</v>
      </c>
      <c r="C6031" t="s">
        <v>12100</v>
      </c>
      <c r="D6031" s="1" t="s">
        <v>12098</v>
      </c>
      <c r="E6031" s="3">
        <v>11.6</v>
      </c>
      <c r="F6031" s="3">
        <f t="shared" si="188"/>
        <v>2.9313200000000004</v>
      </c>
      <c r="G6031" s="3">
        <f t="shared" si="189"/>
        <v>14.531320000000001</v>
      </c>
    </row>
    <row r="6032" spans="1:7" x14ac:dyDescent="0.3">
      <c r="A6032" t="s">
        <v>13039</v>
      </c>
      <c r="B6032" t="s">
        <v>12101</v>
      </c>
      <c r="C6032" t="s">
        <v>12102</v>
      </c>
      <c r="D6032" s="1" t="s">
        <v>12098</v>
      </c>
      <c r="E6032" s="3">
        <v>9.48</v>
      </c>
      <c r="F6032" s="3">
        <f t="shared" si="188"/>
        <v>2.3955960000000003</v>
      </c>
      <c r="G6032" s="3">
        <f t="shared" si="189"/>
        <v>11.875596000000002</v>
      </c>
    </row>
    <row r="6033" spans="1:7" x14ac:dyDescent="0.3">
      <c r="A6033" t="s">
        <v>13039</v>
      </c>
      <c r="B6033" t="s">
        <v>12103</v>
      </c>
      <c r="C6033" t="s">
        <v>12104</v>
      </c>
      <c r="D6033" s="1" t="s">
        <v>12098</v>
      </c>
      <c r="E6033" s="3">
        <v>9.67</v>
      </c>
      <c r="F6033" s="3">
        <f t="shared" si="188"/>
        <v>2.4436090000000004</v>
      </c>
      <c r="G6033" s="3">
        <f t="shared" si="189"/>
        <v>12.113609</v>
      </c>
    </row>
    <row r="6034" spans="1:7" x14ac:dyDescent="0.3">
      <c r="A6034" t="s">
        <v>13039</v>
      </c>
      <c r="B6034" t="s">
        <v>12105</v>
      </c>
      <c r="C6034" t="s">
        <v>12106</v>
      </c>
      <c r="D6034" s="1" t="s">
        <v>12098</v>
      </c>
      <c r="E6034" s="3">
        <v>7.74</v>
      </c>
      <c r="F6034" s="3">
        <f t="shared" si="188"/>
        <v>1.9558980000000004</v>
      </c>
      <c r="G6034" s="3">
        <f t="shared" si="189"/>
        <v>9.6958979999999997</v>
      </c>
    </row>
    <row r="6035" spans="1:7" x14ac:dyDescent="0.3">
      <c r="A6035" t="s">
        <v>13039</v>
      </c>
      <c r="B6035" t="s">
        <v>12107</v>
      </c>
      <c r="C6035" t="s">
        <v>12108</v>
      </c>
      <c r="D6035" s="1" t="s">
        <v>12098</v>
      </c>
      <c r="E6035" s="3">
        <v>6.32</v>
      </c>
      <c r="F6035" s="3">
        <f t="shared" si="188"/>
        <v>1.5970640000000003</v>
      </c>
      <c r="G6035" s="3">
        <f t="shared" si="189"/>
        <v>7.9170640000000008</v>
      </c>
    </row>
    <row r="6036" spans="1:7" x14ac:dyDescent="0.3">
      <c r="A6036" t="s">
        <v>13039</v>
      </c>
      <c r="B6036" t="s">
        <v>12109</v>
      </c>
      <c r="C6036" t="s">
        <v>12110</v>
      </c>
      <c r="D6036" s="1" t="s">
        <v>12039</v>
      </c>
      <c r="E6036" s="3">
        <v>2.23</v>
      </c>
      <c r="F6036" s="3">
        <f t="shared" si="188"/>
        <v>0.56352100000000005</v>
      </c>
      <c r="G6036" s="3">
        <f t="shared" si="189"/>
        <v>2.7935210000000001</v>
      </c>
    </row>
    <row r="6037" spans="1:7" x14ac:dyDescent="0.3">
      <c r="A6037" t="s">
        <v>13039</v>
      </c>
      <c r="B6037" t="s">
        <v>12111</v>
      </c>
      <c r="C6037" t="s">
        <v>12112</v>
      </c>
      <c r="D6037" s="1" t="s">
        <v>12039</v>
      </c>
      <c r="E6037" s="3">
        <v>0.56999999999999995</v>
      </c>
      <c r="F6037" s="3">
        <f t="shared" si="188"/>
        <v>0.144039</v>
      </c>
      <c r="G6037" s="3">
        <f t="shared" si="189"/>
        <v>0.71403899999999998</v>
      </c>
    </row>
    <row r="6038" spans="1:7" x14ac:dyDescent="0.3">
      <c r="A6038" t="s">
        <v>13039</v>
      </c>
      <c r="B6038" t="s">
        <v>12113</v>
      </c>
      <c r="C6038" t="s">
        <v>12114</v>
      </c>
      <c r="D6038" s="1" t="s">
        <v>12039</v>
      </c>
      <c r="E6038" s="3">
        <v>0.53</v>
      </c>
      <c r="F6038" s="3">
        <f t="shared" si="188"/>
        <v>0.13393100000000002</v>
      </c>
      <c r="G6038" s="3">
        <f t="shared" si="189"/>
        <v>0.66393100000000005</v>
      </c>
    </row>
    <row r="6039" spans="1:7" x14ac:dyDescent="0.3">
      <c r="A6039" t="s">
        <v>13039</v>
      </c>
      <c r="B6039" t="s">
        <v>12115</v>
      </c>
      <c r="C6039" t="s">
        <v>12116</v>
      </c>
      <c r="D6039" s="1" t="s">
        <v>12039</v>
      </c>
      <c r="E6039" s="3">
        <v>1.31</v>
      </c>
      <c r="F6039" s="3">
        <f t="shared" si="188"/>
        <v>0.33103700000000008</v>
      </c>
      <c r="G6039" s="3">
        <f t="shared" si="189"/>
        <v>1.6410370000000001</v>
      </c>
    </row>
    <row r="6040" spans="1:7" x14ac:dyDescent="0.3">
      <c r="A6040" t="s">
        <v>13039</v>
      </c>
      <c r="B6040" t="s">
        <v>12117</v>
      </c>
      <c r="C6040" t="s">
        <v>12118</v>
      </c>
      <c r="D6040" s="1" t="s">
        <v>12039</v>
      </c>
      <c r="E6040" s="3">
        <v>0.52</v>
      </c>
      <c r="F6040" s="3">
        <f t="shared" si="188"/>
        <v>0.13140400000000002</v>
      </c>
      <c r="G6040" s="3">
        <f t="shared" si="189"/>
        <v>0.65140400000000009</v>
      </c>
    </row>
    <row r="6041" spans="1:7" x14ac:dyDescent="0.3">
      <c r="A6041" t="s">
        <v>13039</v>
      </c>
      <c r="B6041" t="s">
        <v>12119</v>
      </c>
      <c r="C6041" t="s">
        <v>12120</v>
      </c>
      <c r="D6041" s="1" t="s">
        <v>12039</v>
      </c>
      <c r="E6041" s="3">
        <v>1.03</v>
      </c>
      <c r="F6041" s="3">
        <f t="shared" si="188"/>
        <v>0.26028100000000004</v>
      </c>
      <c r="G6041" s="3">
        <f t="shared" si="189"/>
        <v>1.290281</v>
      </c>
    </row>
    <row r="6042" spans="1:7" x14ac:dyDescent="0.3">
      <c r="A6042" t="s">
        <v>13039</v>
      </c>
      <c r="B6042" t="s">
        <v>12121</v>
      </c>
      <c r="C6042" t="s">
        <v>12122</v>
      </c>
      <c r="D6042" s="1" t="s">
        <v>12039</v>
      </c>
      <c r="E6042" s="3">
        <v>0.89</v>
      </c>
      <c r="F6042" s="3">
        <f t="shared" si="188"/>
        <v>0.22490300000000005</v>
      </c>
      <c r="G6042" s="3">
        <f t="shared" si="189"/>
        <v>1.114903</v>
      </c>
    </row>
    <row r="6043" spans="1:7" x14ac:dyDescent="0.3">
      <c r="A6043" t="s">
        <v>13039</v>
      </c>
      <c r="B6043" t="s">
        <v>12123</v>
      </c>
      <c r="C6043" t="s">
        <v>12124</v>
      </c>
      <c r="D6043" s="1" t="s">
        <v>12039</v>
      </c>
      <c r="E6043" s="3">
        <v>0.78</v>
      </c>
      <c r="F6043" s="3">
        <f t="shared" si="188"/>
        <v>0.19710600000000003</v>
      </c>
      <c r="G6043" s="3">
        <f t="shared" si="189"/>
        <v>0.97710600000000003</v>
      </c>
    </row>
    <row r="6044" spans="1:7" x14ac:dyDescent="0.3">
      <c r="A6044" t="s">
        <v>13039</v>
      </c>
      <c r="B6044" t="s">
        <v>12125</v>
      </c>
      <c r="C6044" t="s">
        <v>12126</v>
      </c>
      <c r="D6044" s="1" t="s">
        <v>12039</v>
      </c>
      <c r="E6044" s="3">
        <v>3.25</v>
      </c>
      <c r="F6044" s="3">
        <f t="shared" si="188"/>
        <v>0.82127500000000009</v>
      </c>
      <c r="G6044" s="3">
        <f t="shared" si="189"/>
        <v>4.071275</v>
      </c>
    </row>
    <row r="6045" spans="1:7" x14ac:dyDescent="0.3">
      <c r="A6045" t="s">
        <v>13039</v>
      </c>
      <c r="B6045" t="s">
        <v>12127</v>
      </c>
      <c r="C6045" t="s">
        <v>12128</v>
      </c>
      <c r="D6045" s="1" t="s">
        <v>12039</v>
      </c>
      <c r="E6045" s="3">
        <v>2.19</v>
      </c>
      <c r="F6045" s="3">
        <f t="shared" si="188"/>
        <v>0.55341300000000004</v>
      </c>
      <c r="G6045" s="3">
        <f t="shared" si="189"/>
        <v>2.7434129999999999</v>
      </c>
    </row>
    <row r="6046" spans="1:7" x14ac:dyDescent="0.3">
      <c r="A6046" t="s">
        <v>13039</v>
      </c>
      <c r="B6046" t="s">
        <v>12129</v>
      </c>
      <c r="C6046" t="s">
        <v>12130</v>
      </c>
      <c r="D6046" s="1" t="s">
        <v>12039</v>
      </c>
      <c r="E6046" s="3">
        <v>0.56000000000000005</v>
      </c>
      <c r="F6046" s="3">
        <f t="shared" si="188"/>
        <v>0.14151200000000003</v>
      </c>
      <c r="G6046" s="3">
        <f t="shared" si="189"/>
        <v>0.70151200000000014</v>
      </c>
    </row>
    <row r="6047" spans="1:7" x14ac:dyDescent="0.3">
      <c r="A6047" t="s">
        <v>13039</v>
      </c>
      <c r="B6047" t="s">
        <v>12131</v>
      </c>
      <c r="C6047" t="s">
        <v>12132</v>
      </c>
      <c r="D6047" s="1" t="s">
        <v>12039</v>
      </c>
      <c r="E6047" s="3">
        <v>0.52</v>
      </c>
      <c r="F6047" s="3">
        <f t="shared" si="188"/>
        <v>0.13140400000000002</v>
      </c>
      <c r="G6047" s="3">
        <f t="shared" si="189"/>
        <v>0.65140400000000009</v>
      </c>
    </row>
    <row r="6048" spans="1:7" x14ac:dyDescent="0.3">
      <c r="A6048" t="s">
        <v>13039</v>
      </c>
      <c r="B6048" t="s">
        <v>12133</v>
      </c>
      <c r="C6048" t="s">
        <v>12134</v>
      </c>
      <c r="D6048" s="1" t="s">
        <v>12039</v>
      </c>
      <c r="E6048" s="3">
        <v>1.29</v>
      </c>
      <c r="F6048" s="3">
        <f t="shared" si="188"/>
        <v>0.32598300000000008</v>
      </c>
      <c r="G6048" s="3">
        <f t="shared" si="189"/>
        <v>1.6159830000000002</v>
      </c>
    </row>
    <row r="6049" spans="1:7" x14ac:dyDescent="0.3">
      <c r="A6049" t="s">
        <v>13039</v>
      </c>
      <c r="B6049" t="s">
        <v>12135</v>
      </c>
      <c r="C6049" t="s">
        <v>12136</v>
      </c>
      <c r="D6049" s="1" t="s">
        <v>12039</v>
      </c>
      <c r="E6049" s="3">
        <v>0.51</v>
      </c>
      <c r="F6049" s="3">
        <f t="shared" si="188"/>
        <v>0.12887700000000002</v>
      </c>
      <c r="G6049" s="3">
        <f t="shared" si="189"/>
        <v>0.63887700000000003</v>
      </c>
    </row>
    <row r="6050" spans="1:7" x14ac:dyDescent="0.3">
      <c r="A6050" t="s">
        <v>13039</v>
      </c>
      <c r="B6050" t="s">
        <v>12137</v>
      </c>
      <c r="C6050" t="s">
        <v>12138</v>
      </c>
      <c r="D6050" s="1" t="s">
        <v>12039</v>
      </c>
      <c r="E6050" s="3">
        <v>1.01</v>
      </c>
      <c r="F6050" s="3">
        <f t="shared" si="188"/>
        <v>0.25522700000000004</v>
      </c>
      <c r="G6050" s="3">
        <f t="shared" si="189"/>
        <v>1.2652270000000001</v>
      </c>
    </row>
    <row r="6051" spans="1:7" x14ac:dyDescent="0.3">
      <c r="A6051" t="s">
        <v>13039</v>
      </c>
      <c r="B6051" t="s">
        <v>12139</v>
      </c>
      <c r="C6051" t="s">
        <v>12140</v>
      </c>
      <c r="D6051" s="1" t="s">
        <v>12039</v>
      </c>
      <c r="E6051" s="3">
        <v>0.87</v>
      </c>
      <c r="F6051" s="3">
        <f t="shared" si="188"/>
        <v>0.21984900000000002</v>
      </c>
      <c r="G6051" s="3">
        <f t="shared" si="189"/>
        <v>1.0898490000000001</v>
      </c>
    </row>
    <row r="6052" spans="1:7" x14ac:dyDescent="0.3">
      <c r="A6052" t="s">
        <v>13039</v>
      </c>
      <c r="B6052" t="s">
        <v>12141</v>
      </c>
      <c r="C6052" t="s">
        <v>12142</v>
      </c>
      <c r="D6052" s="1" t="s">
        <v>12039</v>
      </c>
      <c r="E6052" s="3">
        <v>0.76</v>
      </c>
      <c r="F6052" s="3">
        <f t="shared" si="188"/>
        <v>0.19205200000000003</v>
      </c>
      <c r="G6052" s="3">
        <f t="shared" si="189"/>
        <v>0.95205200000000001</v>
      </c>
    </row>
    <row r="6053" spans="1:7" x14ac:dyDescent="0.3">
      <c r="A6053" t="s">
        <v>13039</v>
      </c>
      <c r="B6053" t="s">
        <v>12143</v>
      </c>
      <c r="C6053" t="s">
        <v>12144</v>
      </c>
      <c r="D6053" s="1" t="s">
        <v>12039</v>
      </c>
      <c r="E6053" s="3">
        <v>3.19</v>
      </c>
      <c r="F6053" s="3">
        <f t="shared" si="188"/>
        <v>0.80611300000000008</v>
      </c>
      <c r="G6053" s="3">
        <f t="shared" si="189"/>
        <v>3.9961130000000002</v>
      </c>
    </row>
    <row r="6054" spans="1:7" x14ac:dyDescent="0.3">
      <c r="A6054" t="s">
        <v>13039</v>
      </c>
      <c r="B6054" t="s">
        <v>12145</v>
      </c>
      <c r="C6054" t="s">
        <v>12146</v>
      </c>
      <c r="D6054" s="1" t="s">
        <v>11936</v>
      </c>
      <c r="E6054" s="3">
        <v>1.32</v>
      </c>
      <c r="F6054" s="3">
        <f t="shared" si="188"/>
        <v>0.33356400000000008</v>
      </c>
      <c r="G6054" s="3">
        <f t="shared" si="189"/>
        <v>1.6535640000000003</v>
      </c>
    </row>
    <row r="6055" spans="1:7" x14ac:dyDescent="0.3">
      <c r="A6055" t="s">
        <v>13039</v>
      </c>
      <c r="B6055" t="s">
        <v>12147</v>
      </c>
      <c r="C6055" t="s">
        <v>12148</v>
      </c>
      <c r="D6055" s="1" t="s">
        <v>11936</v>
      </c>
      <c r="E6055" s="3">
        <v>1.06</v>
      </c>
      <c r="F6055" s="3">
        <f t="shared" si="188"/>
        <v>0.26786200000000004</v>
      </c>
      <c r="G6055" s="3">
        <f t="shared" si="189"/>
        <v>1.3278620000000001</v>
      </c>
    </row>
    <row r="6056" spans="1:7" x14ac:dyDescent="0.3">
      <c r="A6056" t="s">
        <v>13039</v>
      </c>
      <c r="B6056" t="s">
        <v>12149</v>
      </c>
      <c r="C6056" t="s">
        <v>12150</v>
      </c>
      <c r="D6056" s="1" t="s">
        <v>11936</v>
      </c>
      <c r="E6056" s="3">
        <v>0.98</v>
      </c>
      <c r="F6056" s="3">
        <f t="shared" si="188"/>
        <v>0.24764600000000003</v>
      </c>
      <c r="G6056" s="3">
        <f t="shared" si="189"/>
        <v>1.227646</v>
      </c>
    </row>
    <row r="6057" spans="1:7" x14ac:dyDescent="0.3">
      <c r="A6057" t="s">
        <v>13039</v>
      </c>
      <c r="B6057" t="s">
        <v>12151</v>
      </c>
      <c r="C6057" t="s">
        <v>12152</v>
      </c>
      <c r="D6057" s="1" t="s">
        <v>11936</v>
      </c>
      <c r="E6057" s="3">
        <v>0.98</v>
      </c>
      <c r="F6057" s="3">
        <f t="shared" si="188"/>
        <v>0.24764600000000003</v>
      </c>
      <c r="G6057" s="3">
        <f t="shared" si="189"/>
        <v>1.227646</v>
      </c>
    </row>
    <row r="6058" spans="1:7" x14ac:dyDescent="0.3">
      <c r="A6058" t="s">
        <v>13039</v>
      </c>
      <c r="B6058" t="s">
        <v>12153</v>
      </c>
      <c r="C6058" t="s">
        <v>12154</v>
      </c>
      <c r="D6058" s="1" t="s">
        <v>11936</v>
      </c>
      <c r="E6058" s="3">
        <v>0.78</v>
      </c>
      <c r="F6058" s="3">
        <f t="shared" si="188"/>
        <v>0.19710600000000003</v>
      </c>
      <c r="G6058" s="3">
        <f t="shared" si="189"/>
        <v>0.97710600000000003</v>
      </c>
    </row>
    <row r="6059" spans="1:7" x14ac:dyDescent="0.3">
      <c r="A6059" t="s">
        <v>13039</v>
      </c>
      <c r="B6059" t="s">
        <v>12155</v>
      </c>
      <c r="C6059" t="s">
        <v>12156</v>
      </c>
      <c r="D6059" s="1" t="s">
        <v>11936</v>
      </c>
      <c r="E6059" s="3">
        <v>0.68</v>
      </c>
      <c r="F6059" s="3">
        <f t="shared" si="188"/>
        <v>0.17183600000000004</v>
      </c>
      <c r="G6059" s="3">
        <f t="shared" si="189"/>
        <v>0.85183600000000004</v>
      </c>
    </row>
    <row r="6060" spans="1:7" x14ac:dyDescent="0.3">
      <c r="A6060" t="s">
        <v>13039</v>
      </c>
      <c r="B6060" t="s">
        <v>12157</v>
      </c>
      <c r="C6060" t="s">
        <v>12158</v>
      </c>
      <c r="D6060" s="1" t="s">
        <v>11936</v>
      </c>
      <c r="E6060" s="3">
        <v>0.91</v>
      </c>
      <c r="F6060" s="3">
        <f t="shared" si="188"/>
        <v>0.22995700000000005</v>
      </c>
      <c r="G6060" s="3">
        <f t="shared" si="189"/>
        <v>1.1399570000000001</v>
      </c>
    </row>
    <row r="6061" spans="1:7" x14ac:dyDescent="0.3">
      <c r="A6061" t="s">
        <v>13039</v>
      </c>
      <c r="B6061" t="s">
        <v>12159</v>
      </c>
      <c r="C6061" t="s">
        <v>12160</v>
      </c>
      <c r="D6061" s="1" t="s">
        <v>11936</v>
      </c>
      <c r="E6061" s="3">
        <v>0.73</v>
      </c>
      <c r="F6061" s="3">
        <f t="shared" si="188"/>
        <v>0.18447100000000002</v>
      </c>
      <c r="G6061" s="3">
        <f t="shared" si="189"/>
        <v>0.91447100000000003</v>
      </c>
    </row>
    <row r="6062" spans="1:7" x14ac:dyDescent="0.3">
      <c r="A6062" t="s">
        <v>13039</v>
      </c>
      <c r="B6062" t="s">
        <v>12161</v>
      </c>
      <c r="C6062" t="s">
        <v>12162</v>
      </c>
      <c r="D6062" s="1" t="s">
        <v>11936</v>
      </c>
      <c r="E6062" s="3">
        <v>0.66</v>
      </c>
      <c r="F6062" s="3">
        <f t="shared" si="188"/>
        <v>0.16678200000000004</v>
      </c>
      <c r="G6062" s="3">
        <f t="shared" si="189"/>
        <v>0.82678200000000013</v>
      </c>
    </row>
    <row r="6063" spans="1:7" x14ac:dyDescent="0.3">
      <c r="A6063" t="s">
        <v>13039</v>
      </c>
      <c r="B6063" t="s">
        <v>12163</v>
      </c>
      <c r="C6063" t="s">
        <v>12164</v>
      </c>
      <c r="D6063" s="1" t="s">
        <v>11936</v>
      </c>
      <c r="E6063" s="3">
        <v>1.89</v>
      </c>
      <c r="F6063" s="3">
        <f t="shared" si="188"/>
        <v>0.47760300000000006</v>
      </c>
      <c r="G6063" s="3">
        <f t="shared" si="189"/>
        <v>2.3676029999999999</v>
      </c>
    </row>
    <row r="6064" spans="1:7" x14ac:dyDescent="0.3">
      <c r="A6064" t="s">
        <v>13039</v>
      </c>
      <c r="B6064" t="s">
        <v>12165</v>
      </c>
      <c r="C6064" t="s">
        <v>12166</v>
      </c>
      <c r="D6064" s="1" t="s">
        <v>11936</v>
      </c>
      <c r="E6064" s="3">
        <v>1.51</v>
      </c>
      <c r="F6064" s="3">
        <f t="shared" si="188"/>
        <v>0.38157700000000006</v>
      </c>
      <c r="G6064" s="3">
        <f t="shared" si="189"/>
        <v>1.8915770000000001</v>
      </c>
    </row>
    <row r="6065" spans="1:7" x14ac:dyDescent="0.3">
      <c r="A6065" t="s">
        <v>13039</v>
      </c>
      <c r="B6065" t="s">
        <v>12167</v>
      </c>
      <c r="C6065" t="s">
        <v>12168</v>
      </c>
      <c r="D6065" s="1" t="s">
        <v>11936</v>
      </c>
      <c r="E6065" s="3">
        <v>1.23</v>
      </c>
      <c r="F6065" s="3">
        <f t="shared" si="188"/>
        <v>0.31082100000000001</v>
      </c>
      <c r="G6065" s="3">
        <f t="shared" si="189"/>
        <v>1.540821</v>
      </c>
    </row>
    <row r="6066" spans="1:7" x14ac:dyDescent="0.3">
      <c r="A6066" t="s">
        <v>13039</v>
      </c>
      <c r="B6066" t="s">
        <v>12169</v>
      </c>
      <c r="C6066" t="s">
        <v>12170</v>
      </c>
      <c r="D6066" s="1" t="s">
        <v>11936</v>
      </c>
      <c r="E6066" s="3">
        <v>0.25</v>
      </c>
      <c r="F6066" s="3">
        <f t="shared" si="188"/>
        <v>6.3175000000000009E-2</v>
      </c>
      <c r="G6066" s="3">
        <f t="shared" si="189"/>
        <v>0.31317499999999998</v>
      </c>
    </row>
    <row r="6067" spans="1:7" x14ac:dyDescent="0.3">
      <c r="A6067" t="s">
        <v>13039</v>
      </c>
      <c r="B6067" t="s">
        <v>12171</v>
      </c>
      <c r="C6067" t="s">
        <v>12172</v>
      </c>
      <c r="D6067" s="1" t="s">
        <v>11936</v>
      </c>
      <c r="E6067" s="3">
        <v>0.28000000000000003</v>
      </c>
      <c r="F6067" s="3">
        <f t="shared" si="188"/>
        <v>7.0756000000000013E-2</v>
      </c>
      <c r="G6067" s="3">
        <f t="shared" si="189"/>
        <v>0.35075600000000007</v>
      </c>
    </row>
    <row r="6068" spans="1:7" x14ac:dyDescent="0.3">
      <c r="A6068" t="s">
        <v>13039</v>
      </c>
      <c r="B6068" t="s">
        <v>12173</v>
      </c>
      <c r="C6068" t="s">
        <v>12174</v>
      </c>
      <c r="D6068" s="1" t="s">
        <v>11936</v>
      </c>
      <c r="E6068" s="3">
        <v>0.26</v>
      </c>
      <c r="F6068" s="3">
        <f t="shared" si="188"/>
        <v>6.570200000000001E-2</v>
      </c>
      <c r="G6068" s="3">
        <f t="shared" si="189"/>
        <v>0.32570200000000005</v>
      </c>
    </row>
    <row r="6069" spans="1:7" x14ac:dyDescent="0.3">
      <c r="A6069" t="s">
        <v>13039</v>
      </c>
      <c r="B6069" t="s">
        <v>12175</v>
      </c>
      <c r="C6069" t="s">
        <v>12176</v>
      </c>
      <c r="D6069" s="1" t="s">
        <v>11936</v>
      </c>
      <c r="E6069" s="3">
        <v>1.63</v>
      </c>
      <c r="F6069" s="3">
        <f t="shared" si="188"/>
        <v>0.41190100000000002</v>
      </c>
      <c r="G6069" s="3">
        <f t="shared" si="189"/>
        <v>2.0419009999999997</v>
      </c>
    </row>
    <row r="6070" spans="1:7" x14ac:dyDescent="0.3">
      <c r="A6070" t="s">
        <v>13039</v>
      </c>
      <c r="B6070" t="s">
        <v>12177</v>
      </c>
      <c r="C6070" t="s">
        <v>12178</v>
      </c>
      <c r="D6070" s="1" t="s">
        <v>11936</v>
      </c>
      <c r="E6070" s="3">
        <v>3.57</v>
      </c>
      <c r="F6070" s="3">
        <f t="shared" si="188"/>
        <v>0.90213900000000014</v>
      </c>
      <c r="G6070" s="3">
        <f t="shared" si="189"/>
        <v>4.4721390000000003</v>
      </c>
    </row>
    <row r="6071" spans="1:7" x14ac:dyDescent="0.3">
      <c r="A6071" t="s">
        <v>13039</v>
      </c>
      <c r="B6071" t="s">
        <v>12179</v>
      </c>
      <c r="C6071" t="s">
        <v>12180</v>
      </c>
      <c r="D6071" s="1" t="s">
        <v>11936</v>
      </c>
      <c r="E6071" s="3">
        <v>0.25</v>
      </c>
      <c r="F6071" s="3">
        <f t="shared" si="188"/>
        <v>6.3175000000000009E-2</v>
      </c>
      <c r="G6071" s="3">
        <f t="shared" si="189"/>
        <v>0.31317499999999998</v>
      </c>
    </row>
    <row r="6072" spans="1:7" x14ac:dyDescent="0.3">
      <c r="A6072" t="s">
        <v>13039</v>
      </c>
      <c r="B6072" t="s">
        <v>12181</v>
      </c>
      <c r="C6072" t="s">
        <v>12182</v>
      </c>
      <c r="D6072" s="1" t="s">
        <v>11936</v>
      </c>
      <c r="E6072" s="3">
        <v>0.28000000000000003</v>
      </c>
      <c r="F6072" s="3">
        <f t="shared" si="188"/>
        <v>7.0756000000000013E-2</v>
      </c>
      <c r="G6072" s="3">
        <f t="shared" si="189"/>
        <v>0.35075600000000007</v>
      </c>
    </row>
    <row r="6073" spans="1:7" x14ac:dyDescent="0.3">
      <c r="A6073" t="s">
        <v>13039</v>
      </c>
      <c r="B6073" t="s">
        <v>12183</v>
      </c>
      <c r="C6073" t="s">
        <v>12184</v>
      </c>
      <c r="D6073" s="1" t="s">
        <v>11936</v>
      </c>
      <c r="E6073" s="3">
        <v>6</v>
      </c>
      <c r="F6073" s="3">
        <f t="shared" si="188"/>
        <v>1.5162000000000002</v>
      </c>
      <c r="G6073" s="3">
        <f t="shared" si="189"/>
        <v>7.5162000000000004</v>
      </c>
    </row>
    <row r="6074" spans="1:7" x14ac:dyDescent="0.3">
      <c r="A6074" t="s">
        <v>13039</v>
      </c>
      <c r="B6074" t="s">
        <v>12185</v>
      </c>
      <c r="C6074" t="s">
        <v>12186</v>
      </c>
      <c r="D6074" s="1" t="s">
        <v>11936</v>
      </c>
      <c r="E6074" s="3">
        <v>14.19</v>
      </c>
      <c r="F6074" s="3">
        <f t="shared" si="188"/>
        <v>3.5858130000000004</v>
      </c>
      <c r="G6074" s="3">
        <f t="shared" si="189"/>
        <v>17.775812999999999</v>
      </c>
    </row>
    <row r="6075" spans="1:7" x14ac:dyDescent="0.3">
      <c r="A6075" t="s">
        <v>13039</v>
      </c>
      <c r="B6075" t="s">
        <v>12187</v>
      </c>
      <c r="C6075" t="s">
        <v>12188</v>
      </c>
      <c r="D6075" s="1" t="s">
        <v>11936</v>
      </c>
      <c r="E6075" s="3">
        <v>0.63</v>
      </c>
      <c r="F6075" s="3">
        <f t="shared" si="188"/>
        <v>0.15920100000000004</v>
      </c>
      <c r="G6075" s="3">
        <f t="shared" si="189"/>
        <v>0.78920100000000004</v>
      </c>
    </row>
    <row r="6076" spans="1:7" x14ac:dyDescent="0.3">
      <c r="A6076" t="s">
        <v>13039</v>
      </c>
      <c r="B6076" t="s">
        <v>12189</v>
      </c>
      <c r="C6076" t="s">
        <v>12190</v>
      </c>
      <c r="D6076" s="1" t="s">
        <v>11936</v>
      </c>
      <c r="E6076" s="3">
        <v>0.47</v>
      </c>
      <c r="F6076" s="3">
        <f t="shared" si="188"/>
        <v>0.11876900000000001</v>
      </c>
      <c r="G6076" s="3">
        <f t="shared" si="189"/>
        <v>0.58876899999999999</v>
      </c>
    </row>
    <row r="6077" spans="1:7" x14ac:dyDescent="0.3">
      <c r="A6077" t="s">
        <v>13039</v>
      </c>
      <c r="B6077" t="s">
        <v>12191</v>
      </c>
      <c r="C6077" t="s">
        <v>12192</v>
      </c>
      <c r="D6077" s="1" t="s">
        <v>11936</v>
      </c>
      <c r="E6077" s="3">
        <v>0.66</v>
      </c>
      <c r="F6077" s="3">
        <f t="shared" si="188"/>
        <v>0.16678200000000004</v>
      </c>
      <c r="G6077" s="3">
        <f t="shared" si="189"/>
        <v>0.82678200000000013</v>
      </c>
    </row>
    <row r="6078" spans="1:7" x14ac:dyDescent="0.3">
      <c r="A6078" t="s">
        <v>13039</v>
      </c>
      <c r="B6078" t="s">
        <v>12193</v>
      </c>
      <c r="C6078" t="s">
        <v>12194</v>
      </c>
      <c r="D6078" s="1" t="s">
        <v>11936</v>
      </c>
      <c r="E6078" s="3">
        <v>0.43</v>
      </c>
      <c r="F6078" s="3">
        <f t="shared" si="188"/>
        <v>0.10866100000000001</v>
      </c>
      <c r="G6078" s="3">
        <f t="shared" si="189"/>
        <v>0.53866100000000006</v>
      </c>
    </row>
    <row r="6079" spans="1:7" x14ac:dyDescent="0.3">
      <c r="A6079" t="s">
        <v>13039</v>
      </c>
      <c r="B6079" t="s">
        <v>12195</v>
      </c>
      <c r="C6079" t="s">
        <v>12196</v>
      </c>
      <c r="D6079" s="1" t="s">
        <v>11936</v>
      </c>
      <c r="E6079" s="3">
        <v>4.13</v>
      </c>
      <c r="F6079" s="3">
        <f t="shared" si="188"/>
        <v>1.0436510000000001</v>
      </c>
      <c r="G6079" s="3">
        <f t="shared" si="189"/>
        <v>5.1736509999999996</v>
      </c>
    </row>
    <row r="6080" spans="1:7" x14ac:dyDescent="0.3">
      <c r="A6080" t="s">
        <v>13039</v>
      </c>
      <c r="B6080" t="s">
        <v>12197</v>
      </c>
      <c r="C6080" t="s">
        <v>12198</v>
      </c>
      <c r="D6080" s="1" t="s">
        <v>11936</v>
      </c>
      <c r="E6080" s="3">
        <v>5.0999999999999996</v>
      </c>
      <c r="F6080" s="3">
        <f t="shared" si="188"/>
        <v>1.2887700000000002</v>
      </c>
      <c r="G6080" s="3">
        <f t="shared" si="189"/>
        <v>6.3887700000000001</v>
      </c>
    </row>
    <row r="6081" spans="1:7" x14ac:dyDescent="0.3">
      <c r="A6081" t="s">
        <v>13039</v>
      </c>
      <c r="B6081" t="s">
        <v>12199</v>
      </c>
      <c r="C6081" t="s">
        <v>12200</v>
      </c>
      <c r="D6081" s="1" t="s">
        <v>11936</v>
      </c>
      <c r="E6081" s="3">
        <v>3.58</v>
      </c>
      <c r="F6081" s="3">
        <f t="shared" si="188"/>
        <v>0.90466600000000019</v>
      </c>
      <c r="G6081" s="3">
        <f t="shared" si="189"/>
        <v>4.4846660000000007</v>
      </c>
    </row>
    <row r="6082" spans="1:7" x14ac:dyDescent="0.3">
      <c r="A6082" t="s">
        <v>13039</v>
      </c>
      <c r="B6082" t="s">
        <v>12201</v>
      </c>
      <c r="C6082" t="s">
        <v>12202</v>
      </c>
      <c r="D6082" s="1" t="s">
        <v>11936</v>
      </c>
      <c r="E6082" s="3">
        <v>3.4</v>
      </c>
      <c r="F6082" s="3">
        <f t="shared" si="188"/>
        <v>0.85918000000000005</v>
      </c>
      <c r="G6082" s="3">
        <f t="shared" si="189"/>
        <v>4.2591799999999997</v>
      </c>
    </row>
    <row r="6083" spans="1:7" x14ac:dyDescent="0.3">
      <c r="A6083" t="s">
        <v>13039</v>
      </c>
      <c r="B6083" t="s">
        <v>12203</v>
      </c>
      <c r="C6083" t="s">
        <v>12204</v>
      </c>
      <c r="D6083" s="1" t="s">
        <v>11936</v>
      </c>
      <c r="E6083" s="3">
        <v>2.72</v>
      </c>
      <c r="F6083" s="3">
        <f t="shared" si="188"/>
        <v>0.68734400000000018</v>
      </c>
      <c r="G6083" s="3">
        <f t="shared" si="189"/>
        <v>3.4073440000000002</v>
      </c>
    </row>
    <row r="6084" spans="1:7" x14ac:dyDescent="0.3">
      <c r="A6084" t="s">
        <v>13039</v>
      </c>
      <c r="B6084" t="s">
        <v>12205</v>
      </c>
      <c r="C6084" t="s">
        <v>12206</v>
      </c>
      <c r="D6084" s="1" t="s">
        <v>11936</v>
      </c>
      <c r="E6084" s="3">
        <v>2.2200000000000002</v>
      </c>
      <c r="F6084" s="3">
        <f t="shared" si="188"/>
        <v>0.5609940000000001</v>
      </c>
      <c r="G6084" s="3">
        <f t="shared" si="189"/>
        <v>2.7809940000000002</v>
      </c>
    </row>
    <row r="6085" spans="1:7" x14ac:dyDescent="0.3">
      <c r="A6085" t="s">
        <v>13039</v>
      </c>
      <c r="B6085" t="s">
        <v>12207</v>
      </c>
      <c r="C6085" t="s">
        <v>12208</v>
      </c>
      <c r="D6085" s="1" t="s">
        <v>12039</v>
      </c>
      <c r="E6085" s="3">
        <v>1.1599999999999999</v>
      </c>
      <c r="F6085" s="3">
        <f t="shared" si="188"/>
        <v>0.293132</v>
      </c>
      <c r="G6085" s="3">
        <f t="shared" si="189"/>
        <v>1.4531319999999999</v>
      </c>
    </row>
    <row r="6086" spans="1:7" x14ac:dyDescent="0.3">
      <c r="A6086" t="s">
        <v>13039</v>
      </c>
      <c r="B6086" t="s">
        <v>12209</v>
      </c>
      <c r="C6086" t="s">
        <v>12210</v>
      </c>
      <c r="D6086" s="1" t="s">
        <v>12039</v>
      </c>
      <c r="E6086" s="3">
        <v>0.86</v>
      </c>
      <c r="F6086" s="3">
        <f t="shared" si="188"/>
        <v>0.21732200000000002</v>
      </c>
      <c r="G6086" s="3">
        <f t="shared" si="189"/>
        <v>1.0773220000000001</v>
      </c>
    </row>
    <row r="6087" spans="1:7" x14ac:dyDescent="0.3">
      <c r="A6087" t="s">
        <v>13039</v>
      </c>
      <c r="B6087" t="s">
        <v>12211</v>
      </c>
      <c r="C6087" t="s">
        <v>12212</v>
      </c>
      <c r="D6087" s="1" t="s">
        <v>12039</v>
      </c>
      <c r="E6087" s="3">
        <v>2.44</v>
      </c>
      <c r="F6087" s="3">
        <f t="shared" ref="F6087:F6150" si="190">+E6087*$F$4</f>
        <v>0.61658800000000002</v>
      </c>
      <c r="G6087" s="3">
        <f t="shared" ref="G6087:G6150" si="191">+E6087+F6087</f>
        <v>3.0565880000000001</v>
      </c>
    </row>
    <row r="6088" spans="1:7" x14ac:dyDescent="0.3">
      <c r="A6088" t="s">
        <v>13039</v>
      </c>
      <c r="B6088" t="s">
        <v>12213</v>
      </c>
      <c r="C6088" t="s">
        <v>12214</v>
      </c>
      <c r="D6088" s="1" t="s">
        <v>12039</v>
      </c>
      <c r="E6088" s="3">
        <v>2.44</v>
      </c>
      <c r="F6088" s="3">
        <f t="shared" si="190"/>
        <v>0.61658800000000002</v>
      </c>
      <c r="G6088" s="3">
        <f t="shared" si="191"/>
        <v>3.0565880000000001</v>
      </c>
    </row>
    <row r="6089" spans="1:7" x14ac:dyDescent="0.3">
      <c r="A6089" t="s">
        <v>13039</v>
      </c>
      <c r="B6089" t="s">
        <v>12215</v>
      </c>
      <c r="C6089" t="s">
        <v>12216</v>
      </c>
      <c r="D6089" s="1" t="s">
        <v>12039</v>
      </c>
      <c r="E6089" s="3">
        <v>2.1</v>
      </c>
      <c r="F6089" s="3">
        <f t="shared" si="190"/>
        <v>0.53067000000000009</v>
      </c>
      <c r="G6089" s="3">
        <f t="shared" si="191"/>
        <v>2.6306700000000003</v>
      </c>
    </row>
    <row r="6090" spans="1:7" x14ac:dyDescent="0.3">
      <c r="A6090" t="s">
        <v>13039</v>
      </c>
      <c r="B6090" t="s">
        <v>12217</v>
      </c>
      <c r="C6090" t="s">
        <v>12218</v>
      </c>
      <c r="D6090" s="1" t="s">
        <v>12039</v>
      </c>
      <c r="E6090" s="3">
        <v>7.02</v>
      </c>
      <c r="F6090" s="3">
        <f t="shared" si="190"/>
        <v>1.7739540000000003</v>
      </c>
      <c r="G6090" s="3">
        <f t="shared" si="191"/>
        <v>8.7939539999999994</v>
      </c>
    </row>
    <row r="6091" spans="1:7" x14ac:dyDescent="0.3">
      <c r="A6091" t="s">
        <v>13039</v>
      </c>
      <c r="B6091" t="s">
        <v>12219</v>
      </c>
      <c r="C6091" t="s">
        <v>12220</v>
      </c>
      <c r="D6091" s="1" t="s">
        <v>12039</v>
      </c>
      <c r="E6091" s="3">
        <v>7.02</v>
      </c>
      <c r="F6091" s="3">
        <f t="shared" si="190"/>
        <v>1.7739540000000003</v>
      </c>
      <c r="G6091" s="3">
        <f t="shared" si="191"/>
        <v>8.7939539999999994</v>
      </c>
    </row>
    <row r="6092" spans="1:7" x14ac:dyDescent="0.3">
      <c r="A6092" t="s">
        <v>13039</v>
      </c>
      <c r="B6092" t="s">
        <v>12221</v>
      </c>
      <c r="C6092" t="s">
        <v>12222</v>
      </c>
      <c r="D6092" s="1" t="s">
        <v>11936</v>
      </c>
      <c r="E6092" s="3">
        <v>1.21</v>
      </c>
      <c r="F6092" s="3">
        <f t="shared" si="190"/>
        <v>0.30576700000000001</v>
      </c>
      <c r="G6092" s="3">
        <f t="shared" si="191"/>
        <v>1.5157669999999999</v>
      </c>
    </row>
    <row r="6093" spans="1:7" x14ac:dyDescent="0.3">
      <c r="A6093" t="s">
        <v>13039</v>
      </c>
      <c r="B6093" t="s">
        <v>12223</v>
      </c>
      <c r="C6093" t="s">
        <v>12224</v>
      </c>
      <c r="D6093" s="1" t="s">
        <v>11936</v>
      </c>
      <c r="E6093" s="3">
        <v>0.97</v>
      </c>
      <c r="F6093" s="3">
        <f t="shared" si="190"/>
        <v>0.24511900000000003</v>
      </c>
      <c r="G6093" s="3">
        <f t="shared" si="191"/>
        <v>1.2151190000000001</v>
      </c>
    </row>
    <row r="6094" spans="1:7" x14ac:dyDescent="0.3">
      <c r="A6094" t="s">
        <v>13039</v>
      </c>
      <c r="B6094" t="s">
        <v>12225</v>
      </c>
      <c r="C6094" t="s">
        <v>12226</v>
      </c>
      <c r="D6094" s="1" t="s">
        <v>11936</v>
      </c>
      <c r="E6094" s="3">
        <v>0.84</v>
      </c>
      <c r="F6094" s="3">
        <f t="shared" si="190"/>
        <v>0.21226800000000001</v>
      </c>
      <c r="G6094" s="3">
        <f t="shared" si="191"/>
        <v>1.052268</v>
      </c>
    </row>
    <row r="6095" spans="1:7" x14ac:dyDescent="0.3">
      <c r="A6095" t="s">
        <v>13039</v>
      </c>
      <c r="B6095" t="s">
        <v>12227</v>
      </c>
      <c r="C6095" t="s">
        <v>12228</v>
      </c>
      <c r="D6095" s="1" t="s">
        <v>11936</v>
      </c>
      <c r="E6095" s="3">
        <v>1.64</v>
      </c>
      <c r="F6095" s="3">
        <f t="shared" si="190"/>
        <v>0.41442800000000002</v>
      </c>
      <c r="G6095" s="3">
        <f t="shared" si="191"/>
        <v>2.0544279999999997</v>
      </c>
    </row>
    <row r="6096" spans="1:7" x14ac:dyDescent="0.3">
      <c r="A6096" t="s">
        <v>13039</v>
      </c>
      <c r="B6096" t="s">
        <v>12229</v>
      </c>
      <c r="C6096" t="s">
        <v>12230</v>
      </c>
      <c r="D6096" s="1" t="s">
        <v>11936</v>
      </c>
      <c r="E6096" s="3">
        <v>1.31</v>
      </c>
      <c r="F6096" s="3">
        <f t="shared" si="190"/>
        <v>0.33103700000000008</v>
      </c>
      <c r="G6096" s="3">
        <f t="shared" si="191"/>
        <v>1.6410370000000001</v>
      </c>
    </row>
    <row r="6097" spans="1:7" x14ac:dyDescent="0.3">
      <c r="A6097" t="s">
        <v>13039</v>
      </c>
      <c r="B6097" t="s">
        <v>12231</v>
      </c>
      <c r="C6097" t="s">
        <v>12232</v>
      </c>
      <c r="D6097" s="1" t="s">
        <v>11936</v>
      </c>
      <c r="E6097" s="3">
        <v>1.07</v>
      </c>
      <c r="F6097" s="3">
        <f t="shared" si="190"/>
        <v>0.27038900000000005</v>
      </c>
      <c r="G6097" s="3">
        <f t="shared" si="191"/>
        <v>1.3403890000000001</v>
      </c>
    </row>
    <row r="6098" spans="1:7" x14ac:dyDescent="0.3">
      <c r="A6098" t="s">
        <v>13039</v>
      </c>
      <c r="B6098" t="s">
        <v>12233</v>
      </c>
      <c r="C6098" t="s">
        <v>12234</v>
      </c>
      <c r="D6098" s="1" t="s">
        <v>11936</v>
      </c>
      <c r="E6098" s="3">
        <v>1.37</v>
      </c>
      <c r="F6098" s="3">
        <f t="shared" si="190"/>
        <v>0.34619900000000009</v>
      </c>
      <c r="G6098" s="3">
        <f t="shared" si="191"/>
        <v>1.7161990000000003</v>
      </c>
    </row>
    <row r="6099" spans="1:7" x14ac:dyDescent="0.3">
      <c r="A6099" t="s">
        <v>13039</v>
      </c>
      <c r="B6099" t="s">
        <v>12235</v>
      </c>
      <c r="C6099" t="s">
        <v>12236</v>
      </c>
      <c r="D6099" s="1" t="s">
        <v>11936</v>
      </c>
      <c r="E6099" s="3">
        <v>1.1000000000000001</v>
      </c>
      <c r="F6099" s="3">
        <f t="shared" si="190"/>
        <v>0.27797000000000005</v>
      </c>
      <c r="G6099" s="3">
        <f t="shared" si="191"/>
        <v>1.3779700000000001</v>
      </c>
    </row>
    <row r="6100" spans="1:7" x14ac:dyDescent="0.3">
      <c r="A6100" t="s">
        <v>13039</v>
      </c>
      <c r="B6100" t="s">
        <v>12237</v>
      </c>
      <c r="C6100" t="s">
        <v>12238</v>
      </c>
      <c r="D6100" s="1" t="s">
        <v>11936</v>
      </c>
      <c r="E6100" s="3">
        <v>0.9</v>
      </c>
      <c r="F6100" s="3">
        <f t="shared" si="190"/>
        <v>0.22743000000000005</v>
      </c>
      <c r="G6100" s="3">
        <f t="shared" si="191"/>
        <v>1.1274300000000002</v>
      </c>
    </row>
    <row r="6101" spans="1:7" x14ac:dyDescent="0.3">
      <c r="A6101" t="s">
        <v>13039</v>
      </c>
      <c r="B6101" t="s">
        <v>12239</v>
      </c>
      <c r="C6101" t="s">
        <v>12240</v>
      </c>
      <c r="D6101" s="1" t="s">
        <v>12039</v>
      </c>
      <c r="E6101" s="3">
        <v>6.34</v>
      </c>
      <c r="F6101" s="3">
        <f t="shared" si="190"/>
        <v>1.6021180000000002</v>
      </c>
      <c r="G6101" s="3">
        <f t="shared" si="191"/>
        <v>7.9421179999999998</v>
      </c>
    </row>
    <row r="6102" spans="1:7" x14ac:dyDescent="0.3">
      <c r="A6102" t="s">
        <v>13039</v>
      </c>
      <c r="B6102" t="s">
        <v>12241</v>
      </c>
      <c r="C6102" t="s">
        <v>12242</v>
      </c>
      <c r="D6102" s="1" t="s">
        <v>12039</v>
      </c>
      <c r="E6102" s="3">
        <v>1.61</v>
      </c>
      <c r="F6102" s="3">
        <f t="shared" si="190"/>
        <v>0.40684700000000007</v>
      </c>
      <c r="G6102" s="3">
        <f t="shared" si="191"/>
        <v>2.0168470000000003</v>
      </c>
    </row>
    <row r="6103" spans="1:7" x14ac:dyDescent="0.3">
      <c r="A6103" t="s">
        <v>13039</v>
      </c>
      <c r="B6103" t="s">
        <v>12243</v>
      </c>
      <c r="C6103" t="s">
        <v>12244</v>
      </c>
      <c r="D6103" s="1" t="s">
        <v>12039</v>
      </c>
      <c r="E6103" s="3">
        <v>1.51</v>
      </c>
      <c r="F6103" s="3">
        <f t="shared" si="190"/>
        <v>0.38157700000000006</v>
      </c>
      <c r="G6103" s="3">
        <f t="shared" si="191"/>
        <v>1.8915770000000001</v>
      </c>
    </row>
    <row r="6104" spans="1:7" x14ac:dyDescent="0.3">
      <c r="A6104" t="s">
        <v>13039</v>
      </c>
      <c r="B6104" t="s">
        <v>12245</v>
      </c>
      <c r="C6104" t="s">
        <v>12246</v>
      </c>
      <c r="D6104" s="1" t="s">
        <v>12039</v>
      </c>
      <c r="E6104" s="3">
        <v>3.73</v>
      </c>
      <c r="F6104" s="3">
        <f t="shared" si="190"/>
        <v>0.94257100000000016</v>
      </c>
      <c r="G6104" s="3">
        <f t="shared" si="191"/>
        <v>4.6725710000000005</v>
      </c>
    </row>
    <row r="6105" spans="1:7" x14ac:dyDescent="0.3">
      <c r="A6105" t="s">
        <v>13039</v>
      </c>
      <c r="B6105" t="s">
        <v>12247</v>
      </c>
      <c r="C6105" t="s">
        <v>12248</v>
      </c>
      <c r="D6105" s="1" t="s">
        <v>12039</v>
      </c>
      <c r="E6105" s="3">
        <v>1.46</v>
      </c>
      <c r="F6105" s="3">
        <f t="shared" si="190"/>
        <v>0.36894200000000005</v>
      </c>
      <c r="G6105" s="3">
        <f t="shared" si="191"/>
        <v>1.8289420000000001</v>
      </c>
    </row>
    <row r="6106" spans="1:7" x14ac:dyDescent="0.3">
      <c r="A6106" t="s">
        <v>13039</v>
      </c>
      <c r="B6106" t="s">
        <v>12249</v>
      </c>
      <c r="C6106" t="s">
        <v>12250</v>
      </c>
      <c r="D6106" s="1" t="s">
        <v>12039</v>
      </c>
      <c r="E6106" s="3">
        <v>2.92</v>
      </c>
      <c r="F6106" s="3">
        <f t="shared" si="190"/>
        <v>0.7378840000000001</v>
      </c>
      <c r="G6106" s="3">
        <f t="shared" si="191"/>
        <v>3.6578840000000001</v>
      </c>
    </row>
    <row r="6107" spans="1:7" x14ac:dyDescent="0.3">
      <c r="A6107" t="s">
        <v>13039</v>
      </c>
      <c r="B6107" t="s">
        <v>12251</v>
      </c>
      <c r="C6107" t="s">
        <v>12252</v>
      </c>
      <c r="D6107" s="1" t="s">
        <v>12039</v>
      </c>
      <c r="E6107" s="3">
        <v>2.52</v>
      </c>
      <c r="F6107" s="3">
        <f t="shared" si="190"/>
        <v>0.63680400000000015</v>
      </c>
      <c r="G6107" s="3">
        <f t="shared" si="191"/>
        <v>3.1568040000000002</v>
      </c>
    </row>
    <row r="6108" spans="1:7" x14ac:dyDescent="0.3">
      <c r="A6108" t="s">
        <v>13039</v>
      </c>
      <c r="B6108" t="s">
        <v>12253</v>
      </c>
      <c r="C6108" t="s">
        <v>12254</v>
      </c>
      <c r="D6108" s="1" t="s">
        <v>12039</v>
      </c>
      <c r="E6108" s="3">
        <v>2.21</v>
      </c>
      <c r="F6108" s="3">
        <f t="shared" si="190"/>
        <v>0.55846700000000005</v>
      </c>
      <c r="G6108" s="3">
        <f t="shared" si="191"/>
        <v>2.7684670000000002</v>
      </c>
    </row>
    <row r="6109" spans="1:7" x14ac:dyDescent="0.3">
      <c r="A6109" t="s">
        <v>13039</v>
      </c>
      <c r="B6109" t="s">
        <v>12255</v>
      </c>
      <c r="C6109" t="s">
        <v>12256</v>
      </c>
      <c r="D6109" s="1" t="s">
        <v>12039</v>
      </c>
      <c r="E6109" s="3">
        <v>9.24</v>
      </c>
      <c r="F6109" s="3">
        <f t="shared" si="190"/>
        <v>2.3349480000000002</v>
      </c>
      <c r="G6109" s="3">
        <f t="shared" si="191"/>
        <v>11.574948000000001</v>
      </c>
    </row>
    <row r="6110" spans="1:7" x14ac:dyDescent="0.3">
      <c r="A6110" t="s">
        <v>13039</v>
      </c>
      <c r="B6110" t="s">
        <v>12257</v>
      </c>
      <c r="C6110" t="s">
        <v>12258</v>
      </c>
      <c r="D6110" s="1" t="s">
        <v>11936</v>
      </c>
      <c r="E6110" s="3">
        <v>1.51</v>
      </c>
      <c r="F6110" s="3">
        <f t="shared" si="190"/>
        <v>0.38157700000000006</v>
      </c>
      <c r="G6110" s="3">
        <f t="shared" si="191"/>
        <v>1.8915770000000001</v>
      </c>
    </row>
    <row r="6111" spans="1:7" x14ac:dyDescent="0.3">
      <c r="A6111" t="s">
        <v>13039</v>
      </c>
      <c r="B6111" t="s">
        <v>12259</v>
      </c>
      <c r="C6111" t="s">
        <v>12260</v>
      </c>
      <c r="D6111" s="1" t="s">
        <v>11936</v>
      </c>
      <c r="E6111" s="3">
        <v>1.19</v>
      </c>
      <c r="F6111" s="3">
        <f t="shared" si="190"/>
        <v>0.30071300000000001</v>
      </c>
      <c r="G6111" s="3">
        <f t="shared" si="191"/>
        <v>1.490713</v>
      </c>
    </row>
    <row r="6112" spans="1:7" x14ac:dyDescent="0.3">
      <c r="A6112" t="s">
        <v>13039</v>
      </c>
      <c r="B6112" t="s">
        <v>12261</v>
      </c>
      <c r="C6112" t="s">
        <v>12262</v>
      </c>
      <c r="D6112" s="1" t="s">
        <v>11936</v>
      </c>
      <c r="E6112" s="3">
        <v>0.84</v>
      </c>
      <c r="F6112" s="3">
        <f t="shared" si="190"/>
        <v>0.21226800000000001</v>
      </c>
      <c r="G6112" s="3">
        <f t="shared" si="191"/>
        <v>1.052268</v>
      </c>
    </row>
    <row r="6113" spans="1:7" x14ac:dyDescent="0.3">
      <c r="A6113" t="s">
        <v>13039</v>
      </c>
      <c r="B6113" t="s">
        <v>12263</v>
      </c>
      <c r="C6113" t="s">
        <v>12264</v>
      </c>
      <c r="D6113" s="1" t="s">
        <v>11936</v>
      </c>
      <c r="E6113" s="3">
        <v>0.66</v>
      </c>
      <c r="F6113" s="3">
        <f t="shared" si="190"/>
        <v>0.16678200000000004</v>
      </c>
      <c r="G6113" s="3">
        <f t="shared" si="191"/>
        <v>0.82678200000000013</v>
      </c>
    </row>
    <row r="6114" spans="1:7" x14ac:dyDescent="0.3">
      <c r="A6114" t="s">
        <v>13039</v>
      </c>
      <c r="B6114" t="s">
        <v>12265</v>
      </c>
      <c r="C6114" t="s">
        <v>12266</v>
      </c>
      <c r="D6114" s="1" t="s">
        <v>11936</v>
      </c>
      <c r="E6114" s="3">
        <v>1.18</v>
      </c>
      <c r="F6114" s="3">
        <f t="shared" si="190"/>
        <v>0.29818600000000001</v>
      </c>
      <c r="G6114" s="3">
        <f t="shared" si="191"/>
        <v>1.478186</v>
      </c>
    </row>
    <row r="6115" spans="1:7" x14ac:dyDescent="0.3">
      <c r="A6115" t="s">
        <v>13039</v>
      </c>
      <c r="B6115" t="s">
        <v>12267</v>
      </c>
      <c r="C6115" t="s">
        <v>12268</v>
      </c>
      <c r="D6115" s="1" t="s">
        <v>11936</v>
      </c>
      <c r="E6115" s="3">
        <v>0.93</v>
      </c>
      <c r="F6115" s="3">
        <f t="shared" si="190"/>
        <v>0.23501100000000005</v>
      </c>
      <c r="G6115" s="3">
        <f t="shared" si="191"/>
        <v>1.165011</v>
      </c>
    </row>
    <row r="6116" spans="1:7" x14ac:dyDescent="0.3">
      <c r="A6116" t="s">
        <v>13039</v>
      </c>
      <c r="B6116" t="s">
        <v>12269</v>
      </c>
      <c r="C6116" t="s">
        <v>12270</v>
      </c>
      <c r="D6116" s="1" t="s">
        <v>11936</v>
      </c>
      <c r="E6116" s="3">
        <v>0.66</v>
      </c>
      <c r="F6116" s="3">
        <f t="shared" si="190"/>
        <v>0.16678200000000004</v>
      </c>
      <c r="G6116" s="3">
        <f t="shared" si="191"/>
        <v>0.82678200000000013</v>
      </c>
    </row>
    <row r="6117" spans="1:7" x14ac:dyDescent="0.3">
      <c r="A6117" t="s">
        <v>13039</v>
      </c>
      <c r="B6117" t="s">
        <v>12271</v>
      </c>
      <c r="C6117" t="s">
        <v>12272</v>
      </c>
      <c r="D6117" s="1" t="s">
        <v>11936</v>
      </c>
      <c r="E6117" s="3">
        <v>0.52</v>
      </c>
      <c r="F6117" s="3">
        <f t="shared" si="190"/>
        <v>0.13140400000000002</v>
      </c>
      <c r="G6117" s="3">
        <f t="shared" si="191"/>
        <v>0.65140400000000009</v>
      </c>
    </row>
    <row r="6118" spans="1:7" x14ac:dyDescent="0.3">
      <c r="A6118" t="s">
        <v>13039</v>
      </c>
      <c r="B6118" t="s">
        <v>12273</v>
      </c>
      <c r="C6118" t="s">
        <v>12274</v>
      </c>
      <c r="D6118" s="1" t="s">
        <v>11936</v>
      </c>
      <c r="E6118" s="3">
        <v>1</v>
      </c>
      <c r="F6118" s="3">
        <f t="shared" si="190"/>
        <v>0.25270000000000004</v>
      </c>
      <c r="G6118" s="3">
        <f t="shared" si="191"/>
        <v>1.2526999999999999</v>
      </c>
    </row>
    <row r="6119" spans="1:7" x14ac:dyDescent="0.3">
      <c r="A6119" t="s">
        <v>13039</v>
      </c>
      <c r="B6119" t="s">
        <v>12275</v>
      </c>
      <c r="C6119" t="s">
        <v>12276</v>
      </c>
      <c r="D6119" s="1" t="s">
        <v>11936</v>
      </c>
      <c r="E6119" s="3">
        <v>0.79</v>
      </c>
      <c r="F6119" s="3">
        <f t="shared" si="190"/>
        <v>0.19963300000000003</v>
      </c>
      <c r="G6119" s="3">
        <f t="shared" si="191"/>
        <v>0.9896330000000001</v>
      </c>
    </row>
    <row r="6120" spans="1:7" x14ac:dyDescent="0.3">
      <c r="A6120" t="s">
        <v>13039</v>
      </c>
      <c r="B6120" t="s">
        <v>12277</v>
      </c>
      <c r="C6120" t="s">
        <v>12278</v>
      </c>
      <c r="D6120" s="1" t="s">
        <v>11936</v>
      </c>
      <c r="E6120" s="3">
        <v>0.56000000000000005</v>
      </c>
      <c r="F6120" s="3">
        <f t="shared" si="190"/>
        <v>0.14151200000000003</v>
      </c>
      <c r="G6120" s="3">
        <f t="shared" si="191"/>
        <v>0.70151200000000014</v>
      </c>
    </row>
    <row r="6121" spans="1:7" x14ac:dyDescent="0.3">
      <c r="A6121" t="s">
        <v>13039</v>
      </c>
      <c r="B6121" t="s">
        <v>12279</v>
      </c>
      <c r="C6121" t="s">
        <v>12280</v>
      </c>
      <c r="D6121" s="1" t="s">
        <v>11936</v>
      </c>
      <c r="E6121" s="3">
        <v>0.44</v>
      </c>
      <c r="F6121" s="3">
        <f t="shared" si="190"/>
        <v>0.11118800000000002</v>
      </c>
      <c r="G6121" s="3">
        <f t="shared" si="191"/>
        <v>0.55118800000000001</v>
      </c>
    </row>
    <row r="6122" spans="1:7" x14ac:dyDescent="0.3">
      <c r="A6122" t="s">
        <v>13039</v>
      </c>
      <c r="B6122" t="s">
        <v>12281</v>
      </c>
      <c r="C6122" t="s">
        <v>12282</v>
      </c>
      <c r="D6122" s="1" t="s">
        <v>11936</v>
      </c>
      <c r="E6122" s="3">
        <v>1.1200000000000001</v>
      </c>
      <c r="F6122" s="3">
        <f t="shared" si="190"/>
        <v>0.28302400000000005</v>
      </c>
      <c r="G6122" s="3">
        <f t="shared" si="191"/>
        <v>1.4030240000000003</v>
      </c>
    </row>
    <row r="6123" spans="1:7" x14ac:dyDescent="0.3">
      <c r="A6123" t="s">
        <v>13039</v>
      </c>
      <c r="B6123" t="s">
        <v>12283</v>
      </c>
      <c r="C6123" t="s">
        <v>12284</v>
      </c>
      <c r="D6123" s="1" t="s">
        <v>11936</v>
      </c>
      <c r="E6123" s="3">
        <v>0.88</v>
      </c>
      <c r="F6123" s="3">
        <f t="shared" si="190"/>
        <v>0.22237600000000005</v>
      </c>
      <c r="G6123" s="3">
        <f t="shared" si="191"/>
        <v>1.102376</v>
      </c>
    </row>
    <row r="6124" spans="1:7" x14ac:dyDescent="0.3">
      <c r="A6124" t="s">
        <v>13039</v>
      </c>
      <c r="B6124" t="s">
        <v>12285</v>
      </c>
      <c r="C6124" t="s">
        <v>12286</v>
      </c>
      <c r="D6124" s="1" t="s">
        <v>11936</v>
      </c>
      <c r="E6124" s="3">
        <v>0.63</v>
      </c>
      <c r="F6124" s="3">
        <f t="shared" si="190"/>
        <v>0.15920100000000004</v>
      </c>
      <c r="G6124" s="3">
        <f t="shared" si="191"/>
        <v>0.78920100000000004</v>
      </c>
    </row>
    <row r="6125" spans="1:7" x14ac:dyDescent="0.3">
      <c r="A6125" t="s">
        <v>13039</v>
      </c>
      <c r="B6125" t="s">
        <v>12287</v>
      </c>
      <c r="C6125" t="s">
        <v>12288</v>
      </c>
      <c r="D6125" s="1" t="s">
        <v>11936</v>
      </c>
      <c r="E6125" s="3">
        <v>0.49</v>
      </c>
      <c r="F6125" s="3">
        <f t="shared" si="190"/>
        <v>0.12382300000000002</v>
      </c>
      <c r="G6125" s="3">
        <f t="shared" si="191"/>
        <v>0.61382300000000001</v>
      </c>
    </row>
    <row r="6126" spans="1:7" x14ac:dyDescent="0.3">
      <c r="A6126" t="s">
        <v>13039</v>
      </c>
      <c r="B6126" t="s">
        <v>12289</v>
      </c>
      <c r="C6126" t="s">
        <v>12290</v>
      </c>
      <c r="D6126" s="1" t="s">
        <v>3650</v>
      </c>
      <c r="E6126" s="3">
        <v>24.8</v>
      </c>
      <c r="F6126" s="3">
        <f t="shared" si="190"/>
        <v>6.266960000000001</v>
      </c>
      <c r="G6126" s="3">
        <f t="shared" si="191"/>
        <v>31.066960000000002</v>
      </c>
    </row>
    <row r="6127" spans="1:7" x14ac:dyDescent="0.3">
      <c r="A6127" t="s">
        <v>13039</v>
      </c>
      <c r="B6127" t="s">
        <v>12291</v>
      </c>
      <c r="C6127" t="s">
        <v>12292</v>
      </c>
      <c r="D6127" s="1" t="s">
        <v>3650</v>
      </c>
      <c r="E6127" s="3">
        <v>19.84</v>
      </c>
      <c r="F6127" s="3">
        <f t="shared" si="190"/>
        <v>5.0135680000000002</v>
      </c>
      <c r="G6127" s="3">
        <f t="shared" si="191"/>
        <v>24.853567999999999</v>
      </c>
    </row>
    <row r="6128" spans="1:7" x14ac:dyDescent="0.3">
      <c r="A6128" t="s">
        <v>13039</v>
      </c>
      <c r="B6128" t="s">
        <v>12293</v>
      </c>
      <c r="C6128" t="s">
        <v>12294</v>
      </c>
      <c r="D6128" s="1" t="s">
        <v>3650</v>
      </c>
      <c r="E6128" s="3">
        <v>16.2</v>
      </c>
      <c r="F6128" s="3">
        <f t="shared" si="190"/>
        <v>4.0937400000000004</v>
      </c>
      <c r="G6128" s="3">
        <f t="shared" si="191"/>
        <v>20.29374</v>
      </c>
    </row>
    <row r="6129" spans="1:7" x14ac:dyDescent="0.3">
      <c r="A6129" t="s">
        <v>13039</v>
      </c>
      <c r="B6129" t="s">
        <v>12295</v>
      </c>
      <c r="C6129" t="s">
        <v>12296</v>
      </c>
      <c r="D6129" s="1" t="s">
        <v>3650</v>
      </c>
      <c r="E6129" s="3">
        <v>16.09</v>
      </c>
      <c r="F6129" s="3">
        <f t="shared" si="190"/>
        <v>4.0659430000000008</v>
      </c>
      <c r="G6129" s="3">
        <f t="shared" si="191"/>
        <v>20.155943000000001</v>
      </c>
    </row>
    <row r="6130" spans="1:7" x14ac:dyDescent="0.3">
      <c r="A6130" t="s">
        <v>13039</v>
      </c>
      <c r="B6130" t="s">
        <v>12297</v>
      </c>
      <c r="C6130" t="s">
        <v>12298</v>
      </c>
      <c r="D6130" s="1" t="s">
        <v>3650</v>
      </c>
      <c r="E6130" s="3">
        <v>12.87</v>
      </c>
      <c r="F6130" s="3">
        <f t="shared" si="190"/>
        <v>3.2522490000000004</v>
      </c>
      <c r="G6130" s="3">
        <f t="shared" si="191"/>
        <v>16.122249</v>
      </c>
    </row>
    <row r="6131" spans="1:7" x14ac:dyDescent="0.3">
      <c r="A6131" t="s">
        <v>13039</v>
      </c>
      <c r="B6131" t="s">
        <v>12299</v>
      </c>
      <c r="C6131" t="s">
        <v>12300</v>
      </c>
      <c r="D6131" s="1" t="s">
        <v>3650</v>
      </c>
      <c r="E6131" s="3">
        <v>10.51</v>
      </c>
      <c r="F6131" s="3">
        <f t="shared" si="190"/>
        <v>2.6558770000000003</v>
      </c>
      <c r="G6131" s="3">
        <f t="shared" si="191"/>
        <v>13.165877</v>
      </c>
    </row>
    <row r="6132" spans="1:7" x14ac:dyDescent="0.3">
      <c r="A6132" t="s">
        <v>13039</v>
      </c>
      <c r="B6132" t="s">
        <v>12301</v>
      </c>
      <c r="C6132" t="s">
        <v>12302</v>
      </c>
      <c r="D6132" s="1" t="s">
        <v>3650</v>
      </c>
      <c r="E6132" s="3">
        <v>34.72</v>
      </c>
      <c r="F6132" s="3">
        <f t="shared" si="190"/>
        <v>8.7737440000000007</v>
      </c>
      <c r="G6132" s="3">
        <f t="shared" si="191"/>
        <v>43.493744</v>
      </c>
    </row>
    <row r="6133" spans="1:7" x14ac:dyDescent="0.3">
      <c r="A6133" t="s">
        <v>13039</v>
      </c>
      <c r="B6133" t="s">
        <v>12303</v>
      </c>
      <c r="C6133" t="s">
        <v>12304</v>
      </c>
      <c r="D6133" s="1" t="s">
        <v>3650</v>
      </c>
      <c r="E6133" s="3">
        <v>27.77</v>
      </c>
      <c r="F6133" s="3">
        <f t="shared" si="190"/>
        <v>7.0174790000000007</v>
      </c>
      <c r="G6133" s="3">
        <f t="shared" si="191"/>
        <v>34.787478999999998</v>
      </c>
    </row>
    <row r="6134" spans="1:7" x14ac:dyDescent="0.3">
      <c r="A6134" t="s">
        <v>13039</v>
      </c>
      <c r="B6134" t="s">
        <v>12305</v>
      </c>
      <c r="C6134" t="s">
        <v>12306</v>
      </c>
      <c r="D6134" s="1" t="s">
        <v>3650</v>
      </c>
      <c r="E6134" s="3">
        <v>22.68</v>
      </c>
      <c r="F6134" s="3">
        <f t="shared" si="190"/>
        <v>5.7312360000000009</v>
      </c>
      <c r="G6134" s="3">
        <f t="shared" si="191"/>
        <v>28.411236000000002</v>
      </c>
    </row>
    <row r="6135" spans="1:7" x14ac:dyDescent="0.3">
      <c r="A6135" t="s">
        <v>13039</v>
      </c>
      <c r="B6135" t="s">
        <v>12307</v>
      </c>
      <c r="C6135" t="s">
        <v>12308</v>
      </c>
      <c r="D6135" s="1" t="s">
        <v>3650</v>
      </c>
      <c r="E6135" s="3">
        <v>78.88</v>
      </c>
      <c r="F6135" s="3">
        <f t="shared" si="190"/>
        <v>19.932976</v>
      </c>
      <c r="G6135" s="3">
        <f t="shared" si="191"/>
        <v>98.812975999999992</v>
      </c>
    </row>
    <row r="6136" spans="1:7" x14ac:dyDescent="0.3">
      <c r="A6136" t="s">
        <v>13039</v>
      </c>
      <c r="B6136" t="s">
        <v>12309</v>
      </c>
      <c r="C6136" t="s">
        <v>12310</v>
      </c>
      <c r="D6136" s="1" t="s">
        <v>3650</v>
      </c>
      <c r="E6136" s="3">
        <v>63.07</v>
      </c>
      <c r="F6136" s="3">
        <f t="shared" si="190"/>
        <v>15.937789000000002</v>
      </c>
      <c r="G6136" s="3">
        <f t="shared" si="191"/>
        <v>79.007789000000002</v>
      </c>
    </row>
    <row r="6137" spans="1:7" x14ac:dyDescent="0.3">
      <c r="A6137" t="s">
        <v>13039</v>
      </c>
      <c r="B6137" t="s">
        <v>12311</v>
      </c>
      <c r="C6137" t="s">
        <v>12312</v>
      </c>
      <c r="D6137" s="1" t="s">
        <v>3650</v>
      </c>
      <c r="E6137" s="3">
        <v>51.53</v>
      </c>
      <c r="F6137" s="3">
        <f t="shared" si="190"/>
        <v>13.021631000000003</v>
      </c>
      <c r="G6137" s="3">
        <f t="shared" si="191"/>
        <v>64.551631</v>
      </c>
    </row>
    <row r="6138" spans="1:7" x14ac:dyDescent="0.3">
      <c r="A6138" t="s">
        <v>13039</v>
      </c>
      <c r="B6138" t="s">
        <v>12313</v>
      </c>
      <c r="C6138" t="s">
        <v>12314</v>
      </c>
      <c r="D6138" s="1" t="s">
        <v>3650</v>
      </c>
      <c r="E6138" s="3">
        <v>89.08</v>
      </c>
      <c r="F6138" s="3">
        <f t="shared" si="190"/>
        <v>22.510516000000003</v>
      </c>
      <c r="G6138" s="3">
        <f t="shared" si="191"/>
        <v>111.59051600000001</v>
      </c>
    </row>
    <row r="6139" spans="1:7" x14ac:dyDescent="0.3">
      <c r="A6139" t="s">
        <v>13039</v>
      </c>
      <c r="B6139" t="s">
        <v>12315</v>
      </c>
      <c r="C6139" t="s">
        <v>12316</v>
      </c>
      <c r="D6139" s="1" t="s">
        <v>3650</v>
      </c>
      <c r="E6139" s="3">
        <v>71.23</v>
      </c>
      <c r="F6139" s="3">
        <f t="shared" si="190"/>
        <v>17.999821000000004</v>
      </c>
      <c r="G6139" s="3">
        <f t="shared" si="191"/>
        <v>89.229821000000015</v>
      </c>
    </row>
    <row r="6140" spans="1:7" x14ac:dyDescent="0.3">
      <c r="A6140" t="s">
        <v>13039</v>
      </c>
      <c r="B6140" t="s">
        <v>12317</v>
      </c>
      <c r="C6140" t="s">
        <v>12318</v>
      </c>
      <c r="D6140" s="1" t="s">
        <v>3650</v>
      </c>
      <c r="E6140" s="3">
        <v>58.19</v>
      </c>
      <c r="F6140" s="3">
        <f t="shared" si="190"/>
        <v>14.704613000000002</v>
      </c>
      <c r="G6140" s="3">
        <f t="shared" si="191"/>
        <v>72.894612999999993</v>
      </c>
    </row>
    <row r="6141" spans="1:7" x14ac:dyDescent="0.3">
      <c r="A6141" t="s">
        <v>13039</v>
      </c>
      <c r="B6141" t="s">
        <v>12319</v>
      </c>
      <c r="C6141" t="s">
        <v>12320</v>
      </c>
      <c r="D6141" s="1" t="s">
        <v>3650</v>
      </c>
      <c r="E6141" s="3">
        <v>177.29</v>
      </c>
      <c r="F6141" s="3">
        <f t="shared" si="190"/>
        <v>44.801183000000002</v>
      </c>
      <c r="G6141" s="3">
        <f t="shared" si="191"/>
        <v>222.091183</v>
      </c>
    </row>
    <row r="6142" spans="1:7" x14ac:dyDescent="0.3">
      <c r="A6142" t="s">
        <v>13039</v>
      </c>
      <c r="B6142" t="s">
        <v>12321</v>
      </c>
      <c r="C6142" t="s">
        <v>12322</v>
      </c>
      <c r="D6142" s="1" t="s">
        <v>3650</v>
      </c>
      <c r="E6142" s="3">
        <v>141.77000000000001</v>
      </c>
      <c r="F6142" s="3">
        <f t="shared" si="190"/>
        <v>35.825279000000009</v>
      </c>
      <c r="G6142" s="3">
        <f t="shared" si="191"/>
        <v>177.595279</v>
      </c>
    </row>
    <row r="6143" spans="1:7" x14ac:dyDescent="0.3">
      <c r="A6143" t="s">
        <v>13039</v>
      </c>
      <c r="B6143" t="s">
        <v>12323</v>
      </c>
      <c r="C6143" t="s">
        <v>12324</v>
      </c>
      <c r="D6143" s="1" t="s">
        <v>3650</v>
      </c>
      <c r="E6143" s="3">
        <v>115.83</v>
      </c>
      <c r="F6143" s="3">
        <f t="shared" si="190"/>
        <v>29.270241000000002</v>
      </c>
      <c r="G6143" s="3">
        <f t="shared" si="191"/>
        <v>145.10024100000001</v>
      </c>
    </row>
    <row r="6144" spans="1:7" x14ac:dyDescent="0.3">
      <c r="A6144" t="s">
        <v>13039</v>
      </c>
      <c r="B6144" t="s">
        <v>12325</v>
      </c>
      <c r="C6144" t="s">
        <v>12326</v>
      </c>
      <c r="D6144" s="1" t="s">
        <v>3650</v>
      </c>
      <c r="E6144" s="3">
        <v>227.03</v>
      </c>
      <c r="F6144" s="3">
        <f t="shared" si="190"/>
        <v>57.370481000000005</v>
      </c>
      <c r="G6144" s="3">
        <f t="shared" si="191"/>
        <v>284.40048100000001</v>
      </c>
    </row>
    <row r="6145" spans="1:7" x14ac:dyDescent="0.3">
      <c r="A6145" t="s">
        <v>13039</v>
      </c>
      <c r="B6145" t="s">
        <v>12327</v>
      </c>
      <c r="C6145" t="s">
        <v>12328</v>
      </c>
      <c r="D6145" s="1" t="s">
        <v>3650</v>
      </c>
      <c r="E6145" s="3">
        <v>181.54</v>
      </c>
      <c r="F6145" s="3">
        <f t="shared" si="190"/>
        <v>45.875158000000006</v>
      </c>
      <c r="G6145" s="3">
        <f t="shared" si="191"/>
        <v>227.41515799999999</v>
      </c>
    </row>
    <row r="6146" spans="1:7" x14ac:dyDescent="0.3">
      <c r="A6146" t="s">
        <v>13039</v>
      </c>
      <c r="B6146" t="s">
        <v>12329</v>
      </c>
      <c r="C6146" t="s">
        <v>12330</v>
      </c>
      <c r="D6146" s="1" t="s">
        <v>3650</v>
      </c>
      <c r="E6146" s="3">
        <v>148.33000000000001</v>
      </c>
      <c r="F6146" s="3">
        <f t="shared" si="190"/>
        <v>37.482991000000005</v>
      </c>
      <c r="G6146" s="3">
        <f t="shared" si="191"/>
        <v>185.81299100000001</v>
      </c>
    </row>
    <row r="6147" spans="1:7" x14ac:dyDescent="0.3">
      <c r="A6147" t="s">
        <v>13039</v>
      </c>
      <c r="B6147" t="s">
        <v>12331</v>
      </c>
      <c r="C6147" t="s">
        <v>12332</v>
      </c>
      <c r="D6147" s="1" t="s">
        <v>3650</v>
      </c>
      <c r="E6147" s="3">
        <v>208.12</v>
      </c>
      <c r="F6147" s="3">
        <f t="shared" si="190"/>
        <v>52.591924000000006</v>
      </c>
      <c r="G6147" s="3">
        <f t="shared" si="191"/>
        <v>260.71192400000001</v>
      </c>
    </row>
    <row r="6148" spans="1:7" x14ac:dyDescent="0.3">
      <c r="A6148" t="s">
        <v>13039</v>
      </c>
      <c r="B6148" t="s">
        <v>12333</v>
      </c>
      <c r="C6148" t="s">
        <v>12334</v>
      </c>
      <c r="D6148" s="1" t="s">
        <v>3650</v>
      </c>
      <c r="E6148" s="3">
        <v>172.9</v>
      </c>
      <c r="F6148" s="3">
        <f t="shared" si="190"/>
        <v>43.69183000000001</v>
      </c>
      <c r="G6148" s="3">
        <f t="shared" si="191"/>
        <v>216.59183000000002</v>
      </c>
    </row>
    <row r="6149" spans="1:7" x14ac:dyDescent="0.3">
      <c r="A6149" t="s">
        <v>13039</v>
      </c>
      <c r="B6149" t="s">
        <v>12335</v>
      </c>
      <c r="C6149" t="s">
        <v>12336</v>
      </c>
      <c r="D6149" s="1" t="s">
        <v>210</v>
      </c>
      <c r="E6149" s="3">
        <v>12.19</v>
      </c>
      <c r="F6149" s="3">
        <f t="shared" si="190"/>
        <v>3.0804130000000005</v>
      </c>
      <c r="G6149" s="3">
        <f t="shared" si="191"/>
        <v>15.270413</v>
      </c>
    </row>
    <row r="6150" spans="1:7" x14ac:dyDescent="0.3">
      <c r="A6150" t="s">
        <v>13039</v>
      </c>
      <c r="B6150" t="s">
        <v>12337</v>
      </c>
      <c r="C6150" t="s">
        <v>12338</v>
      </c>
      <c r="D6150" s="1" t="s">
        <v>427</v>
      </c>
      <c r="E6150" s="3">
        <v>316.43</v>
      </c>
      <c r="F6150" s="3">
        <f t="shared" si="190"/>
        <v>79.961861000000013</v>
      </c>
      <c r="G6150" s="3">
        <f t="shared" si="191"/>
        <v>396.39186100000001</v>
      </c>
    </row>
    <row r="6151" spans="1:7" x14ac:dyDescent="0.3">
      <c r="A6151" t="s">
        <v>13039</v>
      </c>
      <c r="B6151" t="s">
        <v>12339</v>
      </c>
      <c r="C6151" t="s">
        <v>12340</v>
      </c>
      <c r="D6151" s="1" t="s">
        <v>427</v>
      </c>
      <c r="E6151" s="3">
        <v>271.22000000000003</v>
      </c>
      <c r="F6151" s="3">
        <f t="shared" ref="F6151:F6214" si="192">+E6151*$F$4</f>
        <v>68.537294000000017</v>
      </c>
      <c r="G6151" s="3">
        <f t="shared" ref="G6151:G6214" si="193">+E6151+F6151</f>
        <v>339.75729400000006</v>
      </c>
    </row>
    <row r="6152" spans="1:7" x14ac:dyDescent="0.3">
      <c r="A6152" t="s">
        <v>13039</v>
      </c>
      <c r="B6152" t="s">
        <v>12341</v>
      </c>
      <c r="C6152" t="s">
        <v>12342</v>
      </c>
      <c r="D6152" s="1" t="s">
        <v>427</v>
      </c>
      <c r="E6152" s="3">
        <v>780.66</v>
      </c>
      <c r="F6152" s="3">
        <f t="shared" si="192"/>
        <v>197.27278200000001</v>
      </c>
      <c r="G6152" s="3">
        <f t="shared" si="193"/>
        <v>977.93278199999997</v>
      </c>
    </row>
    <row r="6153" spans="1:7" x14ac:dyDescent="0.3">
      <c r="A6153" t="s">
        <v>13039</v>
      </c>
      <c r="B6153" t="s">
        <v>12343</v>
      </c>
      <c r="C6153" t="s">
        <v>12344</v>
      </c>
      <c r="D6153" s="1" t="s">
        <v>427</v>
      </c>
      <c r="E6153" s="3">
        <v>865.32</v>
      </c>
      <c r="F6153" s="3">
        <f t="shared" si="192"/>
        <v>218.66636400000004</v>
      </c>
      <c r="G6153" s="3">
        <f t="shared" si="193"/>
        <v>1083.9863640000001</v>
      </c>
    </row>
    <row r="6154" spans="1:7" x14ac:dyDescent="0.3">
      <c r="A6154" t="s">
        <v>13039</v>
      </c>
      <c r="B6154" t="s">
        <v>12345</v>
      </c>
      <c r="C6154" t="s">
        <v>12346</v>
      </c>
      <c r="D6154" s="1" t="s">
        <v>427</v>
      </c>
      <c r="E6154" s="3">
        <v>1963.83</v>
      </c>
      <c r="F6154" s="3">
        <f t="shared" si="192"/>
        <v>496.25984100000005</v>
      </c>
      <c r="G6154" s="3">
        <f t="shared" si="193"/>
        <v>2460.089841</v>
      </c>
    </row>
    <row r="6155" spans="1:7" x14ac:dyDescent="0.3">
      <c r="A6155" t="s">
        <v>13039</v>
      </c>
      <c r="B6155" t="s">
        <v>12347</v>
      </c>
      <c r="C6155" t="s">
        <v>12348</v>
      </c>
      <c r="D6155" s="1" t="s">
        <v>427</v>
      </c>
      <c r="E6155" s="3">
        <v>2089.5300000000002</v>
      </c>
      <c r="F6155" s="3">
        <f t="shared" si="192"/>
        <v>528.0242310000001</v>
      </c>
      <c r="G6155" s="3">
        <f t="shared" si="193"/>
        <v>2617.5542310000001</v>
      </c>
    </row>
    <row r="6156" spans="1:7" x14ac:dyDescent="0.3">
      <c r="A6156" t="s">
        <v>13039</v>
      </c>
      <c r="B6156" t="s">
        <v>12349</v>
      </c>
      <c r="C6156" t="s">
        <v>12350</v>
      </c>
      <c r="D6156" s="1" t="s">
        <v>427</v>
      </c>
      <c r="E6156" s="3">
        <v>2271.98</v>
      </c>
      <c r="F6156" s="3">
        <f t="shared" si="192"/>
        <v>574.12934600000006</v>
      </c>
      <c r="G6156" s="3">
        <f t="shared" si="193"/>
        <v>2846.1093460000002</v>
      </c>
    </row>
    <row r="6157" spans="1:7" x14ac:dyDescent="0.3">
      <c r="A6157" t="s">
        <v>13039</v>
      </c>
      <c r="B6157" t="s">
        <v>12351</v>
      </c>
      <c r="C6157" t="s">
        <v>12352</v>
      </c>
      <c r="D6157" s="1" t="s">
        <v>427</v>
      </c>
      <c r="E6157" s="3">
        <v>2422.19</v>
      </c>
      <c r="F6157" s="3">
        <f t="shared" si="192"/>
        <v>612.08741300000008</v>
      </c>
      <c r="G6157" s="3">
        <f t="shared" si="193"/>
        <v>3034.2774130000003</v>
      </c>
    </row>
    <row r="6158" spans="1:7" x14ac:dyDescent="0.3">
      <c r="A6158" t="s">
        <v>13039</v>
      </c>
      <c r="B6158" t="s">
        <v>12353</v>
      </c>
      <c r="C6158" t="s">
        <v>12354</v>
      </c>
      <c r="D6158" s="1" t="s">
        <v>427</v>
      </c>
      <c r="E6158" s="3">
        <v>316.43</v>
      </c>
      <c r="F6158" s="3">
        <f t="shared" si="192"/>
        <v>79.961861000000013</v>
      </c>
      <c r="G6158" s="3">
        <f t="shared" si="193"/>
        <v>396.39186100000001</v>
      </c>
    </row>
    <row r="6159" spans="1:7" x14ac:dyDescent="0.3">
      <c r="A6159" t="s">
        <v>13039</v>
      </c>
      <c r="B6159" t="s">
        <v>12355</v>
      </c>
      <c r="C6159" t="s">
        <v>12356</v>
      </c>
      <c r="D6159" s="1" t="s">
        <v>427</v>
      </c>
      <c r="E6159" s="3">
        <v>271.22000000000003</v>
      </c>
      <c r="F6159" s="3">
        <f t="shared" si="192"/>
        <v>68.537294000000017</v>
      </c>
      <c r="G6159" s="3">
        <f t="shared" si="193"/>
        <v>339.75729400000006</v>
      </c>
    </row>
    <row r="6160" spans="1:7" x14ac:dyDescent="0.3">
      <c r="A6160" t="s">
        <v>13039</v>
      </c>
      <c r="B6160" t="s">
        <v>12357</v>
      </c>
      <c r="C6160" t="s">
        <v>12358</v>
      </c>
      <c r="D6160" s="1" t="s">
        <v>427</v>
      </c>
      <c r="E6160" s="3">
        <v>780.66</v>
      </c>
      <c r="F6160" s="3">
        <f t="shared" si="192"/>
        <v>197.27278200000001</v>
      </c>
      <c r="G6160" s="3">
        <f t="shared" si="193"/>
        <v>977.93278199999997</v>
      </c>
    </row>
    <row r="6161" spans="1:7" x14ac:dyDescent="0.3">
      <c r="A6161" t="s">
        <v>13039</v>
      </c>
      <c r="B6161" t="s">
        <v>12359</v>
      </c>
      <c r="C6161" t="s">
        <v>12360</v>
      </c>
      <c r="D6161" s="1" t="s">
        <v>427</v>
      </c>
      <c r="E6161" s="3">
        <v>865.32</v>
      </c>
      <c r="F6161" s="3">
        <f t="shared" si="192"/>
        <v>218.66636400000004</v>
      </c>
      <c r="G6161" s="3">
        <f t="shared" si="193"/>
        <v>1083.9863640000001</v>
      </c>
    </row>
    <row r="6162" spans="1:7" x14ac:dyDescent="0.3">
      <c r="A6162" t="s">
        <v>13039</v>
      </c>
      <c r="B6162" t="s">
        <v>12361</v>
      </c>
      <c r="C6162" t="s">
        <v>12362</v>
      </c>
      <c r="D6162" s="1" t="s">
        <v>427</v>
      </c>
      <c r="E6162" s="3">
        <v>1999.58</v>
      </c>
      <c r="F6162" s="3">
        <f t="shared" si="192"/>
        <v>505.29386600000004</v>
      </c>
      <c r="G6162" s="3">
        <f t="shared" si="193"/>
        <v>2504.8738659999999</v>
      </c>
    </row>
    <row r="6163" spans="1:7" x14ac:dyDescent="0.3">
      <c r="A6163" t="s">
        <v>13039</v>
      </c>
      <c r="B6163" t="s">
        <v>12363</v>
      </c>
      <c r="C6163" t="s">
        <v>12364</v>
      </c>
      <c r="D6163" s="1" t="s">
        <v>427</v>
      </c>
      <c r="E6163" s="3">
        <v>2130.34</v>
      </c>
      <c r="F6163" s="3">
        <f t="shared" si="192"/>
        <v>538.33691800000008</v>
      </c>
      <c r="G6163" s="3">
        <f t="shared" si="193"/>
        <v>2668.6769180000001</v>
      </c>
    </row>
    <row r="6164" spans="1:7" x14ac:dyDescent="0.3">
      <c r="A6164" t="s">
        <v>13039</v>
      </c>
      <c r="B6164" t="s">
        <v>12365</v>
      </c>
      <c r="C6164" t="s">
        <v>12366</v>
      </c>
      <c r="D6164" s="1" t="s">
        <v>427</v>
      </c>
      <c r="E6164" s="3">
        <v>199.56</v>
      </c>
      <c r="F6164" s="3">
        <f t="shared" si="192"/>
        <v>50.428812000000008</v>
      </c>
      <c r="G6164" s="3">
        <f t="shared" si="193"/>
        <v>249.988812</v>
      </c>
    </row>
    <row r="6165" spans="1:7" x14ac:dyDescent="0.3">
      <c r="A6165" t="s">
        <v>13039</v>
      </c>
      <c r="B6165" t="s">
        <v>12367</v>
      </c>
      <c r="C6165" t="s">
        <v>12368</v>
      </c>
      <c r="D6165" s="1" t="s">
        <v>427</v>
      </c>
      <c r="E6165" s="3">
        <v>993.55</v>
      </c>
      <c r="F6165" s="3">
        <f t="shared" si="192"/>
        <v>251.07008500000003</v>
      </c>
      <c r="G6165" s="3">
        <f t="shared" si="193"/>
        <v>1244.620085</v>
      </c>
    </row>
    <row r="6166" spans="1:7" x14ac:dyDescent="0.3">
      <c r="A6166" t="s">
        <v>13039</v>
      </c>
      <c r="B6166" t="s">
        <v>12369</v>
      </c>
      <c r="C6166" t="s">
        <v>12370</v>
      </c>
      <c r="D6166" s="1" t="s">
        <v>427</v>
      </c>
      <c r="E6166" s="3">
        <v>82.56</v>
      </c>
      <c r="F6166" s="3">
        <f t="shared" si="192"/>
        <v>20.862912000000005</v>
      </c>
      <c r="G6166" s="3">
        <f t="shared" si="193"/>
        <v>103.42291200000001</v>
      </c>
    </row>
    <row r="6167" spans="1:7" x14ac:dyDescent="0.3">
      <c r="A6167" t="s">
        <v>13039</v>
      </c>
      <c r="B6167" t="s">
        <v>12371</v>
      </c>
      <c r="C6167" t="s">
        <v>12372</v>
      </c>
      <c r="D6167" s="1" t="s">
        <v>427</v>
      </c>
      <c r="E6167" s="3">
        <v>43.16</v>
      </c>
      <c r="F6167" s="3">
        <f t="shared" si="192"/>
        <v>10.906532</v>
      </c>
      <c r="G6167" s="3">
        <f t="shared" si="193"/>
        <v>54.066531999999995</v>
      </c>
    </row>
    <row r="6168" spans="1:7" x14ac:dyDescent="0.3">
      <c r="A6168" t="s">
        <v>13039</v>
      </c>
      <c r="B6168" t="s">
        <v>12373</v>
      </c>
      <c r="C6168" t="s">
        <v>12374</v>
      </c>
      <c r="D6168" s="1" t="s">
        <v>427</v>
      </c>
      <c r="E6168" s="3">
        <v>199.66</v>
      </c>
      <c r="F6168" s="3">
        <f t="shared" si="192"/>
        <v>50.454082000000007</v>
      </c>
      <c r="G6168" s="3">
        <f t="shared" si="193"/>
        <v>250.114082</v>
      </c>
    </row>
    <row r="6169" spans="1:7" x14ac:dyDescent="0.3">
      <c r="A6169" t="s">
        <v>13039</v>
      </c>
      <c r="B6169" t="s">
        <v>12375</v>
      </c>
      <c r="C6169" t="s">
        <v>12376</v>
      </c>
      <c r="D6169" s="1" t="s">
        <v>427</v>
      </c>
      <c r="E6169" s="3">
        <v>995.26</v>
      </c>
      <c r="F6169" s="3">
        <f t="shared" si="192"/>
        <v>251.50220200000004</v>
      </c>
      <c r="G6169" s="3">
        <f t="shared" si="193"/>
        <v>1246.7622020000001</v>
      </c>
    </row>
    <row r="6170" spans="1:7" x14ac:dyDescent="0.3">
      <c r="A6170" t="s">
        <v>13039</v>
      </c>
      <c r="B6170" t="s">
        <v>12377</v>
      </c>
      <c r="C6170" t="s">
        <v>12378</v>
      </c>
      <c r="D6170" s="1" t="s">
        <v>427</v>
      </c>
      <c r="E6170" s="3">
        <v>82.77</v>
      </c>
      <c r="F6170" s="3">
        <f t="shared" si="192"/>
        <v>20.915979000000004</v>
      </c>
      <c r="G6170" s="3">
        <f t="shared" si="193"/>
        <v>103.685979</v>
      </c>
    </row>
    <row r="6171" spans="1:7" x14ac:dyDescent="0.3">
      <c r="A6171" t="s">
        <v>13039</v>
      </c>
      <c r="B6171" t="s">
        <v>12379</v>
      </c>
      <c r="C6171" t="s">
        <v>12380</v>
      </c>
      <c r="D6171" s="1" t="s">
        <v>210</v>
      </c>
      <c r="E6171" s="3">
        <v>20.98</v>
      </c>
      <c r="F6171" s="3">
        <f t="shared" si="192"/>
        <v>5.3016460000000007</v>
      </c>
      <c r="G6171" s="3">
        <f t="shared" si="193"/>
        <v>26.281646000000002</v>
      </c>
    </row>
    <row r="6172" spans="1:7" x14ac:dyDescent="0.3">
      <c r="A6172" t="s">
        <v>13039</v>
      </c>
      <c r="B6172" t="s">
        <v>12381</v>
      </c>
      <c r="C6172" t="s">
        <v>12382</v>
      </c>
      <c r="D6172" s="1" t="s">
        <v>210</v>
      </c>
      <c r="E6172" s="3">
        <v>13.32</v>
      </c>
      <c r="F6172" s="3">
        <f t="shared" si="192"/>
        <v>3.3659640000000004</v>
      </c>
      <c r="G6172" s="3">
        <f t="shared" si="193"/>
        <v>16.685964000000002</v>
      </c>
    </row>
    <row r="6173" spans="1:7" x14ac:dyDescent="0.3">
      <c r="A6173" t="s">
        <v>13039</v>
      </c>
      <c r="B6173" t="s">
        <v>12383</v>
      </c>
      <c r="C6173" t="s">
        <v>12384</v>
      </c>
      <c r="D6173" s="1" t="s">
        <v>195</v>
      </c>
      <c r="E6173" s="3">
        <v>468.49</v>
      </c>
      <c r="F6173" s="3">
        <f t="shared" si="192"/>
        <v>118.38742300000001</v>
      </c>
      <c r="G6173" s="3">
        <f t="shared" si="193"/>
        <v>586.87742300000002</v>
      </c>
    </row>
    <row r="6174" spans="1:7" x14ac:dyDescent="0.3">
      <c r="A6174" t="s">
        <v>13039</v>
      </c>
      <c r="B6174" t="s">
        <v>12385</v>
      </c>
      <c r="C6174" t="s">
        <v>12386</v>
      </c>
      <c r="D6174" s="1" t="s">
        <v>195</v>
      </c>
      <c r="E6174" s="3">
        <v>557.47</v>
      </c>
      <c r="F6174" s="3">
        <f t="shared" si="192"/>
        <v>140.87266900000003</v>
      </c>
      <c r="G6174" s="3">
        <f t="shared" si="193"/>
        <v>698.34266900000011</v>
      </c>
    </row>
    <row r="6175" spans="1:7" x14ac:dyDescent="0.3">
      <c r="A6175" t="s">
        <v>13039</v>
      </c>
      <c r="B6175" t="s">
        <v>12387</v>
      </c>
      <c r="C6175" t="s">
        <v>12388</v>
      </c>
      <c r="D6175" s="1" t="s">
        <v>195</v>
      </c>
      <c r="E6175" s="3">
        <v>650.08000000000004</v>
      </c>
      <c r="F6175" s="3">
        <f t="shared" si="192"/>
        <v>164.27521600000003</v>
      </c>
      <c r="G6175" s="3">
        <f t="shared" si="193"/>
        <v>814.35521600000004</v>
      </c>
    </row>
    <row r="6176" spans="1:7" x14ac:dyDescent="0.3">
      <c r="A6176" t="s">
        <v>13039</v>
      </c>
      <c r="B6176" t="s">
        <v>12389</v>
      </c>
      <c r="C6176" t="s">
        <v>12390</v>
      </c>
      <c r="D6176" s="1" t="s">
        <v>195</v>
      </c>
      <c r="E6176" s="3">
        <v>1125.3900000000001</v>
      </c>
      <c r="F6176" s="3">
        <f t="shared" si="192"/>
        <v>284.38605300000006</v>
      </c>
      <c r="G6176" s="3">
        <f t="shared" si="193"/>
        <v>1409.776053</v>
      </c>
    </row>
    <row r="6177" spans="1:7" x14ac:dyDescent="0.3">
      <c r="A6177" t="s">
        <v>13039</v>
      </c>
      <c r="B6177" t="s">
        <v>12391</v>
      </c>
      <c r="C6177" t="s">
        <v>12392</v>
      </c>
      <c r="D6177" s="1" t="s">
        <v>195</v>
      </c>
      <c r="E6177" s="3">
        <v>1199.6199999999999</v>
      </c>
      <c r="F6177" s="3">
        <f t="shared" si="192"/>
        <v>303.14397400000001</v>
      </c>
      <c r="G6177" s="3">
        <f t="shared" si="193"/>
        <v>1502.763974</v>
      </c>
    </row>
    <row r="6178" spans="1:7" x14ac:dyDescent="0.3">
      <c r="A6178" t="s">
        <v>13039</v>
      </c>
      <c r="B6178" t="s">
        <v>12393</v>
      </c>
      <c r="C6178" t="s">
        <v>12394</v>
      </c>
      <c r="D6178" s="1" t="s">
        <v>195</v>
      </c>
      <c r="E6178" s="3">
        <v>1277.47</v>
      </c>
      <c r="F6178" s="3">
        <f t="shared" si="192"/>
        <v>322.81666900000005</v>
      </c>
      <c r="G6178" s="3">
        <f t="shared" si="193"/>
        <v>1600.2866690000001</v>
      </c>
    </row>
    <row r="6179" spans="1:7" x14ac:dyDescent="0.3">
      <c r="A6179" t="s">
        <v>13039</v>
      </c>
      <c r="B6179" t="s">
        <v>12395</v>
      </c>
      <c r="C6179" t="s">
        <v>12396</v>
      </c>
      <c r="D6179" s="1" t="s">
        <v>195</v>
      </c>
      <c r="E6179" s="3">
        <v>987.79</v>
      </c>
      <c r="F6179" s="3">
        <f t="shared" si="192"/>
        <v>249.61453300000002</v>
      </c>
      <c r="G6179" s="3">
        <f t="shared" si="193"/>
        <v>1237.4045329999999</v>
      </c>
    </row>
    <row r="6180" spans="1:7" x14ac:dyDescent="0.3">
      <c r="A6180" t="s">
        <v>13039</v>
      </c>
      <c r="B6180" t="s">
        <v>12397</v>
      </c>
      <c r="C6180" t="s">
        <v>12398</v>
      </c>
      <c r="D6180" s="1" t="s">
        <v>195</v>
      </c>
      <c r="E6180" s="3">
        <v>1054.78</v>
      </c>
      <c r="F6180" s="3">
        <f t="shared" si="192"/>
        <v>266.54290600000002</v>
      </c>
      <c r="G6180" s="3">
        <f t="shared" si="193"/>
        <v>1321.3229059999999</v>
      </c>
    </row>
    <row r="6181" spans="1:7" x14ac:dyDescent="0.3">
      <c r="A6181" t="s">
        <v>13039</v>
      </c>
      <c r="B6181" t="s">
        <v>12399</v>
      </c>
      <c r="C6181" t="s">
        <v>12400</v>
      </c>
      <c r="D6181" s="1" t="s">
        <v>427</v>
      </c>
      <c r="E6181" s="3">
        <v>197.36</v>
      </c>
      <c r="F6181" s="3">
        <f t="shared" si="192"/>
        <v>49.872872000000008</v>
      </c>
      <c r="G6181" s="3">
        <f t="shared" si="193"/>
        <v>247.23287200000001</v>
      </c>
    </row>
    <row r="6182" spans="1:7" x14ac:dyDescent="0.3">
      <c r="A6182" t="s">
        <v>13039</v>
      </c>
      <c r="B6182" t="s">
        <v>12401</v>
      </c>
      <c r="C6182" t="s">
        <v>12402</v>
      </c>
      <c r="D6182" s="1" t="s">
        <v>2904</v>
      </c>
      <c r="E6182" s="3">
        <v>415.14</v>
      </c>
      <c r="F6182" s="3">
        <f t="shared" si="192"/>
        <v>104.90587800000002</v>
      </c>
      <c r="G6182" s="3">
        <f t="shared" si="193"/>
        <v>520.04587800000002</v>
      </c>
    </row>
    <row r="6183" spans="1:7" x14ac:dyDescent="0.3">
      <c r="A6183" t="s">
        <v>13039</v>
      </c>
      <c r="B6183" t="s">
        <v>12403</v>
      </c>
      <c r="C6183" t="s">
        <v>12404</v>
      </c>
      <c r="D6183" s="1" t="s">
        <v>195</v>
      </c>
      <c r="E6183" s="3">
        <v>66.180000000000007</v>
      </c>
      <c r="F6183" s="3">
        <f t="shared" si="192"/>
        <v>16.723686000000004</v>
      </c>
      <c r="G6183" s="3">
        <f t="shared" si="193"/>
        <v>82.903686000000008</v>
      </c>
    </row>
    <row r="6184" spans="1:7" x14ac:dyDescent="0.3">
      <c r="A6184" t="s">
        <v>13039</v>
      </c>
      <c r="B6184" t="s">
        <v>12405</v>
      </c>
      <c r="C6184" t="s">
        <v>12406</v>
      </c>
      <c r="D6184" s="1" t="s">
        <v>195</v>
      </c>
      <c r="E6184" s="3">
        <v>62.15</v>
      </c>
      <c r="F6184" s="3">
        <f t="shared" si="192"/>
        <v>15.705305000000003</v>
      </c>
      <c r="G6184" s="3">
        <f t="shared" si="193"/>
        <v>77.855305000000001</v>
      </c>
    </row>
    <row r="6185" spans="1:7" x14ac:dyDescent="0.3">
      <c r="A6185" t="s">
        <v>13039</v>
      </c>
      <c r="B6185" t="s">
        <v>12407</v>
      </c>
      <c r="C6185" t="s">
        <v>12408</v>
      </c>
      <c r="D6185" s="1" t="s">
        <v>195</v>
      </c>
      <c r="E6185" s="3">
        <v>388.02</v>
      </c>
      <c r="F6185" s="3">
        <f t="shared" si="192"/>
        <v>98.052654000000004</v>
      </c>
      <c r="G6185" s="3">
        <f t="shared" si="193"/>
        <v>486.072654</v>
      </c>
    </row>
    <row r="6186" spans="1:7" x14ac:dyDescent="0.3">
      <c r="A6186" t="s">
        <v>13039</v>
      </c>
      <c r="B6186" t="s">
        <v>12409</v>
      </c>
      <c r="C6186" t="s">
        <v>12410</v>
      </c>
      <c r="D6186" s="1" t="s">
        <v>195</v>
      </c>
      <c r="E6186" s="3">
        <v>311.19</v>
      </c>
      <c r="F6186" s="3">
        <f t="shared" si="192"/>
        <v>78.637713000000005</v>
      </c>
      <c r="G6186" s="3">
        <f t="shared" si="193"/>
        <v>389.82771300000002</v>
      </c>
    </row>
    <row r="6187" spans="1:7" x14ac:dyDescent="0.3">
      <c r="A6187" t="s">
        <v>13039</v>
      </c>
      <c r="B6187" t="s">
        <v>12411</v>
      </c>
      <c r="C6187" t="s">
        <v>12412</v>
      </c>
      <c r="D6187" s="1" t="s">
        <v>427</v>
      </c>
      <c r="E6187" s="3">
        <v>144.62</v>
      </c>
      <c r="F6187" s="3">
        <f t="shared" si="192"/>
        <v>36.545474000000006</v>
      </c>
      <c r="G6187" s="3">
        <f t="shared" si="193"/>
        <v>181.16547400000002</v>
      </c>
    </row>
    <row r="6188" spans="1:7" x14ac:dyDescent="0.3">
      <c r="A6188" t="s">
        <v>13039</v>
      </c>
      <c r="B6188" t="s">
        <v>12413</v>
      </c>
      <c r="C6188" t="s">
        <v>12414</v>
      </c>
      <c r="D6188" s="1" t="s">
        <v>427</v>
      </c>
      <c r="E6188" s="3">
        <v>315.67</v>
      </c>
      <c r="F6188" s="3">
        <f t="shared" si="192"/>
        <v>79.769809000000009</v>
      </c>
      <c r="G6188" s="3">
        <f t="shared" si="193"/>
        <v>395.43980900000003</v>
      </c>
    </row>
    <row r="6189" spans="1:7" x14ac:dyDescent="0.3">
      <c r="A6189" t="s">
        <v>13039</v>
      </c>
      <c r="B6189" t="s">
        <v>12415</v>
      </c>
      <c r="C6189" t="s">
        <v>12416</v>
      </c>
      <c r="D6189" s="1" t="s">
        <v>427</v>
      </c>
      <c r="E6189" s="3">
        <v>220.93</v>
      </c>
      <c r="F6189" s="3">
        <f t="shared" si="192"/>
        <v>55.829011000000008</v>
      </c>
      <c r="G6189" s="3">
        <f t="shared" si="193"/>
        <v>276.75901099999999</v>
      </c>
    </row>
    <row r="6190" spans="1:7" x14ac:dyDescent="0.3">
      <c r="A6190" t="s">
        <v>13039</v>
      </c>
      <c r="B6190" t="s">
        <v>12417</v>
      </c>
      <c r="C6190" t="s">
        <v>12418</v>
      </c>
      <c r="D6190" s="1" t="s">
        <v>427</v>
      </c>
      <c r="E6190" s="3">
        <v>155.35</v>
      </c>
      <c r="F6190" s="3">
        <f t="shared" si="192"/>
        <v>39.256945000000002</v>
      </c>
      <c r="G6190" s="3">
        <f t="shared" si="193"/>
        <v>194.606945</v>
      </c>
    </row>
    <row r="6191" spans="1:7" x14ac:dyDescent="0.3">
      <c r="A6191" t="s">
        <v>13039</v>
      </c>
      <c r="B6191" t="s">
        <v>12419</v>
      </c>
      <c r="C6191" t="s">
        <v>12420</v>
      </c>
      <c r="D6191" s="1" t="s">
        <v>427</v>
      </c>
      <c r="E6191" s="3">
        <v>156.78</v>
      </c>
      <c r="F6191" s="3">
        <f t="shared" si="192"/>
        <v>39.618306000000004</v>
      </c>
      <c r="G6191" s="3">
        <f t="shared" si="193"/>
        <v>196.39830599999999</v>
      </c>
    </row>
    <row r="6192" spans="1:7" x14ac:dyDescent="0.3">
      <c r="A6192" t="s">
        <v>13039</v>
      </c>
      <c r="B6192" t="s">
        <v>12421</v>
      </c>
      <c r="C6192" t="s">
        <v>12422</v>
      </c>
      <c r="D6192" s="1" t="s">
        <v>427</v>
      </c>
      <c r="E6192" s="3">
        <v>348.27</v>
      </c>
      <c r="F6192" s="3">
        <f t="shared" si="192"/>
        <v>88.007829000000001</v>
      </c>
      <c r="G6192" s="3">
        <f t="shared" si="193"/>
        <v>436.277829</v>
      </c>
    </row>
    <row r="6193" spans="1:7" x14ac:dyDescent="0.3">
      <c r="A6193" t="s">
        <v>13039</v>
      </c>
      <c r="B6193" t="s">
        <v>12423</v>
      </c>
      <c r="C6193" t="s">
        <v>12424</v>
      </c>
      <c r="D6193" s="1" t="s">
        <v>427</v>
      </c>
      <c r="E6193" s="3">
        <v>241.34</v>
      </c>
      <c r="F6193" s="3">
        <f t="shared" si="192"/>
        <v>60.986618000000007</v>
      </c>
      <c r="G6193" s="3">
        <f t="shared" si="193"/>
        <v>302.326618</v>
      </c>
    </row>
    <row r="6194" spans="1:7" x14ac:dyDescent="0.3">
      <c r="A6194" t="s">
        <v>13039</v>
      </c>
      <c r="B6194" t="s">
        <v>12425</v>
      </c>
      <c r="C6194" t="s">
        <v>12426</v>
      </c>
      <c r="D6194" s="1" t="s">
        <v>427</v>
      </c>
      <c r="E6194" s="3">
        <v>168.63</v>
      </c>
      <c r="F6194" s="3">
        <f t="shared" si="192"/>
        <v>42.612801000000005</v>
      </c>
      <c r="G6194" s="3">
        <f t="shared" si="193"/>
        <v>211.24280099999999</v>
      </c>
    </row>
    <row r="6195" spans="1:7" x14ac:dyDescent="0.3">
      <c r="A6195" t="s">
        <v>13039</v>
      </c>
      <c r="B6195" t="s">
        <v>12427</v>
      </c>
      <c r="C6195" t="s">
        <v>12428</v>
      </c>
      <c r="D6195" s="1" t="s">
        <v>427</v>
      </c>
      <c r="E6195" s="3">
        <v>169.36</v>
      </c>
      <c r="F6195" s="3">
        <f t="shared" si="192"/>
        <v>42.797272000000007</v>
      </c>
      <c r="G6195" s="3">
        <f t="shared" si="193"/>
        <v>212.15727200000003</v>
      </c>
    </row>
    <row r="6196" spans="1:7" x14ac:dyDescent="0.3">
      <c r="A6196" t="s">
        <v>13039</v>
      </c>
      <c r="B6196" t="s">
        <v>12429</v>
      </c>
      <c r="C6196" t="s">
        <v>12430</v>
      </c>
      <c r="D6196" s="1" t="s">
        <v>427</v>
      </c>
      <c r="E6196" s="3">
        <v>390.14</v>
      </c>
      <c r="F6196" s="3">
        <f t="shared" si="192"/>
        <v>98.588378000000006</v>
      </c>
      <c r="G6196" s="3">
        <f t="shared" si="193"/>
        <v>488.72837800000002</v>
      </c>
    </row>
    <row r="6197" spans="1:7" x14ac:dyDescent="0.3">
      <c r="A6197" t="s">
        <v>13039</v>
      </c>
      <c r="B6197" t="s">
        <v>12431</v>
      </c>
      <c r="C6197" t="s">
        <v>12432</v>
      </c>
      <c r="D6197" s="1" t="s">
        <v>427</v>
      </c>
      <c r="E6197" s="3">
        <v>265.93</v>
      </c>
      <c r="F6197" s="3">
        <f t="shared" si="192"/>
        <v>67.200511000000006</v>
      </c>
      <c r="G6197" s="3">
        <f t="shared" si="193"/>
        <v>333.13051100000001</v>
      </c>
    </row>
    <row r="6198" spans="1:7" x14ac:dyDescent="0.3">
      <c r="A6198" t="s">
        <v>13039</v>
      </c>
      <c r="B6198" t="s">
        <v>12433</v>
      </c>
      <c r="C6198" t="s">
        <v>12434</v>
      </c>
      <c r="D6198" s="1" t="s">
        <v>427</v>
      </c>
      <c r="E6198" s="3">
        <v>182.19</v>
      </c>
      <c r="F6198" s="3">
        <f t="shared" si="192"/>
        <v>46.039413000000003</v>
      </c>
      <c r="G6198" s="3">
        <f t="shared" si="193"/>
        <v>228.22941299999999</v>
      </c>
    </row>
    <row r="6199" spans="1:7" x14ac:dyDescent="0.3">
      <c r="A6199" t="s">
        <v>13039</v>
      </c>
      <c r="B6199" t="s">
        <v>12435</v>
      </c>
      <c r="C6199" t="s">
        <v>12436</v>
      </c>
      <c r="D6199" s="1" t="s">
        <v>427</v>
      </c>
      <c r="E6199" s="3">
        <v>196.09</v>
      </c>
      <c r="F6199" s="3">
        <f t="shared" si="192"/>
        <v>49.551943000000009</v>
      </c>
      <c r="G6199" s="3">
        <f t="shared" si="193"/>
        <v>245.64194300000003</v>
      </c>
    </row>
    <row r="6200" spans="1:7" x14ac:dyDescent="0.3">
      <c r="A6200" t="s">
        <v>13039</v>
      </c>
      <c r="B6200" t="s">
        <v>12437</v>
      </c>
      <c r="C6200" t="s">
        <v>12438</v>
      </c>
      <c r="D6200" s="1" t="s">
        <v>427</v>
      </c>
      <c r="E6200" s="3">
        <v>464.09</v>
      </c>
      <c r="F6200" s="3">
        <f t="shared" si="192"/>
        <v>117.27554300000001</v>
      </c>
      <c r="G6200" s="3">
        <f t="shared" si="193"/>
        <v>581.365543</v>
      </c>
    </row>
    <row r="6201" spans="1:7" x14ac:dyDescent="0.3">
      <c r="A6201" t="s">
        <v>13039</v>
      </c>
      <c r="B6201" t="s">
        <v>12439</v>
      </c>
      <c r="C6201" t="s">
        <v>12440</v>
      </c>
      <c r="D6201" s="1" t="s">
        <v>427</v>
      </c>
      <c r="E6201" s="3">
        <v>310.3</v>
      </c>
      <c r="F6201" s="3">
        <f t="shared" si="192"/>
        <v>78.412810000000007</v>
      </c>
      <c r="G6201" s="3">
        <f t="shared" si="193"/>
        <v>388.71280999999999</v>
      </c>
    </row>
    <row r="6202" spans="1:7" x14ac:dyDescent="0.3">
      <c r="A6202" t="s">
        <v>13039</v>
      </c>
      <c r="B6202" t="s">
        <v>12441</v>
      </c>
      <c r="C6202" t="s">
        <v>12442</v>
      </c>
      <c r="D6202" s="1" t="s">
        <v>427</v>
      </c>
      <c r="E6202" s="3">
        <v>212.45</v>
      </c>
      <c r="F6202" s="3">
        <f t="shared" si="192"/>
        <v>53.686115000000008</v>
      </c>
      <c r="G6202" s="3">
        <f t="shared" si="193"/>
        <v>266.13611500000002</v>
      </c>
    </row>
    <row r="6203" spans="1:7" x14ac:dyDescent="0.3">
      <c r="A6203" t="s">
        <v>13039</v>
      </c>
      <c r="B6203" t="s">
        <v>12443</v>
      </c>
      <c r="C6203" t="s">
        <v>12444</v>
      </c>
      <c r="D6203" s="1" t="s">
        <v>427</v>
      </c>
      <c r="E6203" s="3">
        <v>59.46</v>
      </c>
      <c r="F6203" s="3">
        <f t="shared" si="192"/>
        <v>15.025542000000002</v>
      </c>
      <c r="G6203" s="3">
        <f t="shared" si="193"/>
        <v>74.485542000000009</v>
      </c>
    </row>
    <row r="6204" spans="1:7" x14ac:dyDescent="0.3">
      <c r="A6204" t="s">
        <v>13039</v>
      </c>
      <c r="B6204" t="s">
        <v>12445</v>
      </c>
      <c r="C6204" t="s">
        <v>12446</v>
      </c>
      <c r="D6204" s="1" t="s">
        <v>427</v>
      </c>
      <c r="E6204" s="3">
        <v>111.67</v>
      </c>
      <c r="F6204" s="3">
        <f t="shared" si="192"/>
        <v>28.219009000000003</v>
      </c>
      <c r="G6204" s="3">
        <f t="shared" si="193"/>
        <v>139.88900900000002</v>
      </c>
    </row>
    <row r="6205" spans="1:7" x14ac:dyDescent="0.3">
      <c r="A6205" t="s">
        <v>13039</v>
      </c>
      <c r="B6205" t="s">
        <v>12447</v>
      </c>
      <c r="C6205" t="s">
        <v>12448</v>
      </c>
      <c r="D6205" s="1" t="s">
        <v>427</v>
      </c>
      <c r="E6205" s="3">
        <v>249.64</v>
      </c>
      <c r="F6205" s="3">
        <f t="shared" si="192"/>
        <v>63.084028000000004</v>
      </c>
      <c r="G6205" s="3">
        <f t="shared" si="193"/>
        <v>312.72402799999998</v>
      </c>
    </row>
    <row r="6206" spans="1:7" x14ac:dyDescent="0.3">
      <c r="A6206" t="s">
        <v>13039</v>
      </c>
      <c r="B6206" t="s">
        <v>12449</v>
      </c>
      <c r="C6206" t="s">
        <v>12450</v>
      </c>
      <c r="D6206" s="1" t="s">
        <v>427</v>
      </c>
      <c r="E6206" s="3">
        <v>191.49</v>
      </c>
      <c r="F6206" s="3">
        <f t="shared" si="192"/>
        <v>48.389523000000011</v>
      </c>
      <c r="G6206" s="3">
        <f t="shared" si="193"/>
        <v>239.87952300000001</v>
      </c>
    </row>
    <row r="6207" spans="1:7" x14ac:dyDescent="0.3">
      <c r="A6207" t="s">
        <v>13039</v>
      </c>
      <c r="B6207" t="s">
        <v>12451</v>
      </c>
      <c r="C6207" t="s">
        <v>12452</v>
      </c>
      <c r="D6207" s="1" t="s">
        <v>427</v>
      </c>
      <c r="E6207" s="3">
        <v>133.4</v>
      </c>
      <c r="F6207" s="3">
        <f t="shared" si="192"/>
        <v>33.710180000000008</v>
      </c>
      <c r="G6207" s="3">
        <f t="shared" si="193"/>
        <v>167.11018000000001</v>
      </c>
    </row>
    <row r="6208" spans="1:7" x14ac:dyDescent="0.3">
      <c r="A6208" t="s">
        <v>13039</v>
      </c>
      <c r="B6208" t="s">
        <v>12453</v>
      </c>
      <c r="C6208" t="s">
        <v>12454</v>
      </c>
      <c r="D6208" s="1" t="s">
        <v>427</v>
      </c>
      <c r="E6208" s="3">
        <v>106.32</v>
      </c>
      <c r="F6208" s="3">
        <f t="shared" si="192"/>
        <v>26.867064000000003</v>
      </c>
      <c r="G6208" s="3">
        <f t="shared" si="193"/>
        <v>133.18706399999999</v>
      </c>
    </row>
    <row r="6209" spans="1:7" x14ac:dyDescent="0.3">
      <c r="A6209" t="s">
        <v>13039</v>
      </c>
      <c r="B6209" t="s">
        <v>12455</v>
      </c>
      <c r="C6209" t="s">
        <v>12456</v>
      </c>
      <c r="D6209" s="1" t="s">
        <v>427</v>
      </c>
      <c r="E6209" s="3">
        <v>249.95</v>
      </c>
      <c r="F6209" s="3">
        <f t="shared" si="192"/>
        <v>63.162365000000008</v>
      </c>
      <c r="G6209" s="3">
        <f t="shared" si="193"/>
        <v>313.11236500000001</v>
      </c>
    </row>
    <row r="6210" spans="1:7" x14ac:dyDescent="0.3">
      <c r="A6210" t="s">
        <v>13039</v>
      </c>
      <c r="B6210" t="s">
        <v>12457</v>
      </c>
      <c r="C6210" t="s">
        <v>12458</v>
      </c>
      <c r="D6210" s="1" t="s">
        <v>427</v>
      </c>
      <c r="E6210" s="3">
        <v>189.31</v>
      </c>
      <c r="F6210" s="3">
        <f t="shared" si="192"/>
        <v>47.838637000000006</v>
      </c>
      <c r="G6210" s="3">
        <f t="shared" si="193"/>
        <v>237.14863700000001</v>
      </c>
    </row>
    <row r="6211" spans="1:7" x14ac:dyDescent="0.3">
      <c r="A6211" t="s">
        <v>13039</v>
      </c>
      <c r="B6211" t="s">
        <v>12459</v>
      </c>
      <c r="C6211" t="s">
        <v>12460</v>
      </c>
      <c r="D6211" s="1" t="s">
        <v>427</v>
      </c>
      <c r="E6211" s="3">
        <v>128.75</v>
      </c>
      <c r="F6211" s="3">
        <f t="shared" si="192"/>
        <v>32.535125000000008</v>
      </c>
      <c r="G6211" s="3">
        <f t="shared" si="193"/>
        <v>161.28512499999999</v>
      </c>
    </row>
    <row r="6212" spans="1:7" x14ac:dyDescent="0.3">
      <c r="A6212" t="s">
        <v>13039</v>
      </c>
      <c r="B6212" t="s">
        <v>12461</v>
      </c>
      <c r="C6212" t="s">
        <v>12462</v>
      </c>
      <c r="D6212" s="1" t="s">
        <v>2904</v>
      </c>
      <c r="E6212" s="3">
        <v>61.21</v>
      </c>
      <c r="F6212" s="3">
        <f t="shared" si="192"/>
        <v>15.467767000000002</v>
      </c>
      <c r="G6212" s="3">
        <f t="shared" si="193"/>
        <v>76.677767000000003</v>
      </c>
    </row>
    <row r="6213" spans="1:7" x14ac:dyDescent="0.3">
      <c r="A6213" t="s">
        <v>13039</v>
      </c>
      <c r="B6213" t="s">
        <v>12463</v>
      </c>
      <c r="C6213" t="s">
        <v>12464</v>
      </c>
      <c r="D6213" s="1" t="s">
        <v>195</v>
      </c>
      <c r="E6213" s="3">
        <v>131.72</v>
      </c>
      <c r="F6213" s="3">
        <f t="shared" si="192"/>
        <v>33.285644000000005</v>
      </c>
      <c r="G6213" s="3">
        <f t="shared" si="193"/>
        <v>165.00564400000002</v>
      </c>
    </row>
    <row r="6214" spans="1:7" x14ac:dyDescent="0.3">
      <c r="A6214" t="s">
        <v>13039</v>
      </c>
      <c r="B6214" t="s">
        <v>12465</v>
      </c>
      <c r="C6214" t="s">
        <v>12466</v>
      </c>
      <c r="D6214" s="1" t="s">
        <v>195</v>
      </c>
      <c r="E6214" s="3">
        <v>93.13</v>
      </c>
      <c r="F6214" s="3">
        <f t="shared" si="192"/>
        <v>23.533951000000002</v>
      </c>
      <c r="G6214" s="3">
        <f t="shared" si="193"/>
        <v>116.663951</v>
      </c>
    </row>
    <row r="6215" spans="1:7" x14ac:dyDescent="0.3">
      <c r="A6215" t="s">
        <v>13039</v>
      </c>
      <c r="B6215" t="s">
        <v>12467</v>
      </c>
      <c r="C6215" t="s">
        <v>12468</v>
      </c>
      <c r="D6215" s="1" t="s">
        <v>38</v>
      </c>
      <c r="E6215" s="3">
        <v>13.73</v>
      </c>
      <c r="F6215" s="3">
        <f t="shared" ref="F6215:F6278" si="194">+E6215*$F$4</f>
        <v>3.4695710000000006</v>
      </c>
      <c r="G6215" s="3">
        <f t="shared" ref="G6215:G6278" si="195">+E6215+F6215</f>
        <v>17.199571000000002</v>
      </c>
    </row>
    <row r="6216" spans="1:7" x14ac:dyDescent="0.3">
      <c r="A6216" t="s">
        <v>13039</v>
      </c>
      <c r="B6216" t="s">
        <v>12469</v>
      </c>
      <c r="C6216" t="s">
        <v>12470</v>
      </c>
      <c r="D6216" s="1" t="s">
        <v>427</v>
      </c>
      <c r="E6216" s="3">
        <v>171.11</v>
      </c>
      <c r="F6216" s="3">
        <f t="shared" si="194"/>
        <v>43.239497000000007</v>
      </c>
      <c r="G6216" s="3">
        <f t="shared" si="195"/>
        <v>214.34949700000001</v>
      </c>
    </row>
    <row r="6217" spans="1:7" x14ac:dyDescent="0.3">
      <c r="A6217" t="s">
        <v>13039</v>
      </c>
      <c r="B6217" t="s">
        <v>12471</v>
      </c>
      <c r="C6217" t="s">
        <v>12472</v>
      </c>
      <c r="D6217" s="1" t="s">
        <v>427</v>
      </c>
      <c r="E6217" s="3">
        <v>71.75</v>
      </c>
      <c r="F6217" s="3">
        <f t="shared" si="194"/>
        <v>18.131225000000004</v>
      </c>
      <c r="G6217" s="3">
        <f t="shared" si="195"/>
        <v>89.881225000000001</v>
      </c>
    </row>
    <row r="6218" spans="1:7" x14ac:dyDescent="0.3">
      <c r="A6218" t="s">
        <v>13039</v>
      </c>
      <c r="B6218" t="s">
        <v>12473</v>
      </c>
      <c r="C6218" t="s">
        <v>12474</v>
      </c>
      <c r="D6218" s="1" t="s">
        <v>427</v>
      </c>
      <c r="E6218" s="3">
        <v>182.23</v>
      </c>
      <c r="F6218" s="3">
        <f t="shared" si="194"/>
        <v>46.049521000000006</v>
      </c>
      <c r="G6218" s="3">
        <f t="shared" si="195"/>
        <v>228.27952099999999</v>
      </c>
    </row>
    <row r="6219" spans="1:7" x14ac:dyDescent="0.3">
      <c r="A6219" t="s">
        <v>13039</v>
      </c>
      <c r="B6219" t="s">
        <v>12475</v>
      </c>
      <c r="C6219" t="s">
        <v>12476</v>
      </c>
      <c r="D6219" s="1" t="s">
        <v>427</v>
      </c>
      <c r="E6219" s="3">
        <v>81.73</v>
      </c>
      <c r="F6219" s="3">
        <f t="shared" si="194"/>
        <v>20.653171000000004</v>
      </c>
      <c r="G6219" s="3">
        <f t="shared" si="195"/>
        <v>102.383171</v>
      </c>
    </row>
    <row r="6220" spans="1:7" x14ac:dyDescent="0.3">
      <c r="A6220" t="s">
        <v>13039</v>
      </c>
      <c r="B6220" t="s">
        <v>12477</v>
      </c>
      <c r="C6220" t="s">
        <v>12478</v>
      </c>
      <c r="D6220" s="1" t="s">
        <v>8767</v>
      </c>
      <c r="E6220" s="3">
        <v>204.36</v>
      </c>
      <c r="F6220" s="3">
        <f t="shared" si="194"/>
        <v>51.64177200000001</v>
      </c>
      <c r="G6220" s="3">
        <f t="shared" si="195"/>
        <v>256.00177200000002</v>
      </c>
    </row>
    <row r="6221" spans="1:7" x14ac:dyDescent="0.3">
      <c r="A6221" t="s">
        <v>13039</v>
      </c>
      <c r="B6221" t="s">
        <v>12479</v>
      </c>
      <c r="C6221" t="s">
        <v>12480</v>
      </c>
      <c r="D6221" s="1" t="s">
        <v>8767</v>
      </c>
      <c r="E6221" s="3">
        <v>121.08</v>
      </c>
      <c r="F6221" s="3">
        <f t="shared" si="194"/>
        <v>30.596916000000004</v>
      </c>
      <c r="G6221" s="3">
        <f t="shared" si="195"/>
        <v>151.67691600000001</v>
      </c>
    </row>
    <row r="6222" spans="1:7" x14ac:dyDescent="0.3">
      <c r="A6222" t="s">
        <v>13039</v>
      </c>
      <c r="B6222" t="s">
        <v>12481</v>
      </c>
      <c r="C6222" t="s">
        <v>12482</v>
      </c>
      <c r="D6222" s="1" t="s">
        <v>8767</v>
      </c>
      <c r="E6222" s="3">
        <v>190.67</v>
      </c>
      <c r="F6222" s="3">
        <f t="shared" si="194"/>
        <v>48.182309000000004</v>
      </c>
      <c r="G6222" s="3">
        <f t="shared" si="195"/>
        <v>238.85230899999999</v>
      </c>
    </row>
    <row r="6223" spans="1:7" x14ac:dyDescent="0.3">
      <c r="A6223" t="s">
        <v>13039</v>
      </c>
      <c r="B6223" t="s">
        <v>12483</v>
      </c>
      <c r="C6223" t="s">
        <v>12484</v>
      </c>
      <c r="D6223" s="1" t="s">
        <v>8767</v>
      </c>
      <c r="E6223" s="3">
        <v>105.57</v>
      </c>
      <c r="F6223" s="3">
        <f t="shared" si="194"/>
        <v>26.677539000000003</v>
      </c>
      <c r="G6223" s="3">
        <f t="shared" si="195"/>
        <v>132.24753899999999</v>
      </c>
    </row>
    <row r="6224" spans="1:7" x14ac:dyDescent="0.3">
      <c r="A6224" t="s">
        <v>13039</v>
      </c>
      <c r="B6224" t="s">
        <v>12485</v>
      </c>
      <c r="C6224" t="s">
        <v>12486</v>
      </c>
      <c r="D6224" s="1" t="s">
        <v>8767</v>
      </c>
      <c r="E6224" s="3">
        <v>194.01</v>
      </c>
      <c r="F6224" s="3">
        <f t="shared" si="194"/>
        <v>49.026327000000002</v>
      </c>
      <c r="G6224" s="3">
        <f t="shared" si="195"/>
        <v>243.036327</v>
      </c>
    </row>
    <row r="6225" spans="1:7" x14ac:dyDescent="0.3">
      <c r="A6225" t="s">
        <v>13039</v>
      </c>
      <c r="B6225" t="s">
        <v>12487</v>
      </c>
      <c r="C6225" t="s">
        <v>12488</v>
      </c>
      <c r="D6225" s="1" t="s">
        <v>8767</v>
      </c>
      <c r="E6225" s="3">
        <v>106.51</v>
      </c>
      <c r="F6225" s="3">
        <f t="shared" si="194"/>
        <v>26.915077000000004</v>
      </c>
      <c r="G6225" s="3">
        <f t="shared" si="195"/>
        <v>133.42507700000002</v>
      </c>
    </row>
    <row r="6226" spans="1:7" x14ac:dyDescent="0.3">
      <c r="A6226" t="s">
        <v>13039</v>
      </c>
      <c r="B6226" t="s">
        <v>12489</v>
      </c>
      <c r="C6226" t="s">
        <v>12490</v>
      </c>
      <c r="D6226" s="1" t="s">
        <v>8767</v>
      </c>
      <c r="E6226" s="3">
        <v>201.77</v>
      </c>
      <c r="F6226" s="3">
        <f t="shared" si="194"/>
        <v>50.987279000000008</v>
      </c>
      <c r="G6226" s="3">
        <f t="shared" si="195"/>
        <v>252.75727900000001</v>
      </c>
    </row>
    <row r="6227" spans="1:7" x14ac:dyDescent="0.3">
      <c r="A6227" t="s">
        <v>13039</v>
      </c>
      <c r="B6227" t="s">
        <v>12491</v>
      </c>
      <c r="C6227" t="s">
        <v>12492</v>
      </c>
      <c r="D6227" s="1" t="s">
        <v>8767</v>
      </c>
      <c r="E6227" s="3">
        <v>115.83</v>
      </c>
      <c r="F6227" s="3">
        <f t="shared" si="194"/>
        <v>29.270241000000002</v>
      </c>
      <c r="G6227" s="3">
        <f t="shared" si="195"/>
        <v>145.10024100000001</v>
      </c>
    </row>
    <row r="6228" spans="1:7" x14ac:dyDescent="0.3">
      <c r="A6228" t="s">
        <v>13039</v>
      </c>
      <c r="B6228" t="s">
        <v>12493</v>
      </c>
      <c r="C6228" t="s">
        <v>12494</v>
      </c>
      <c r="D6228" s="1" t="s">
        <v>8767</v>
      </c>
      <c r="E6228" s="3">
        <v>206.82</v>
      </c>
      <c r="F6228" s="3">
        <f t="shared" si="194"/>
        <v>52.263414000000004</v>
      </c>
      <c r="G6228" s="3">
        <f t="shared" si="195"/>
        <v>259.083414</v>
      </c>
    </row>
    <row r="6229" spans="1:7" x14ac:dyDescent="0.3">
      <c r="A6229" t="s">
        <v>13039</v>
      </c>
      <c r="B6229" t="s">
        <v>12495</v>
      </c>
      <c r="C6229" t="s">
        <v>12496</v>
      </c>
      <c r="D6229" s="1" t="s">
        <v>8767</v>
      </c>
      <c r="E6229" s="3">
        <v>121.98</v>
      </c>
      <c r="F6229" s="3">
        <f t="shared" si="194"/>
        <v>30.824346000000006</v>
      </c>
      <c r="G6229" s="3">
        <f t="shared" si="195"/>
        <v>152.80434600000001</v>
      </c>
    </row>
    <row r="6230" spans="1:7" x14ac:dyDescent="0.3">
      <c r="A6230" t="s">
        <v>13039</v>
      </c>
      <c r="B6230" t="s">
        <v>12497</v>
      </c>
      <c r="C6230" t="s">
        <v>12498</v>
      </c>
      <c r="D6230" s="1" t="s">
        <v>427</v>
      </c>
      <c r="E6230" s="3">
        <v>260.58999999999997</v>
      </c>
      <c r="F6230" s="3">
        <f t="shared" si="194"/>
        <v>65.851093000000006</v>
      </c>
      <c r="G6230" s="3">
        <f t="shared" si="195"/>
        <v>326.44109299999997</v>
      </c>
    </row>
    <row r="6231" spans="1:7" x14ac:dyDescent="0.3">
      <c r="A6231" t="s">
        <v>13039</v>
      </c>
      <c r="B6231" t="s">
        <v>12499</v>
      </c>
      <c r="C6231" t="s">
        <v>12500</v>
      </c>
      <c r="D6231" s="1" t="s">
        <v>427</v>
      </c>
      <c r="E6231" s="3">
        <v>100.6</v>
      </c>
      <c r="F6231" s="3">
        <f t="shared" si="194"/>
        <v>25.421620000000001</v>
      </c>
      <c r="G6231" s="3">
        <f t="shared" si="195"/>
        <v>126.02162</v>
      </c>
    </row>
    <row r="6232" spans="1:7" x14ac:dyDescent="0.3">
      <c r="A6232" t="s">
        <v>13039</v>
      </c>
      <c r="B6232" t="s">
        <v>12501</v>
      </c>
      <c r="C6232" t="s">
        <v>12502</v>
      </c>
      <c r="D6232" s="1" t="s">
        <v>427</v>
      </c>
      <c r="E6232" s="3">
        <v>297.77999999999997</v>
      </c>
      <c r="F6232" s="3">
        <f t="shared" si="194"/>
        <v>75.249006000000008</v>
      </c>
      <c r="G6232" s="3">
        <f t="shared" si="195"/>
        <v>373.02900599999998</v>
      </c>
    </row>
    <row r="6233" spans="1:7" x14ac:dyDescent="0.3">
      <c r="A6233" t="s">
        <v>13039</v>
      </c>
      <c r="B6233" t="s">
        <v>12503</v>
      </c>
      <c r="C6233" t="s">
        <v>12504</v>
      </c>
      <c r="D6233" s="1" t="s">
        <v>427</v>
      </c>
      <c r="E6233" s="3">
        <v>141.26</v>
      </c>
      <c r="F6233" s="3">
        <f t="shared" si="194"/>
        <v>35.696402000000006</v>
      </c>
      <c r="G6233" s="3">
        <f t="shared" si="195"/>
        <v>176.956402</v>
      </c>
    </row>
    <row r="6234" spans="1:7" x14ac:dyDescent="0.3">
      <c r="A6234" t="s">
        <v>13039</v>
      </c>
      <c r="B6234" t="s">
        <v>12505</v>
      </c>
      <c r="C6234" t="s">
        <v>12506</v>
      </c>
      <c r="D6234" s="1" t="s">
        <v>8767</v>
      </c>
      <c r="E6234" s="3">
        <v>191.28</v>
      </c>
      <c r="F6234" s="3">
        <f t="shared" si="194"/>
        <v>48.336456000000005</v>
      </c>
      <c r="G6234" s="3">
        <f t="shared" si="195"/>
        <v>239.616456</v>
      </c>
    </row>
    <row r="6235" spans="1:7" x14ac:dyDescent="0.3">
      <c r="A6235" t="s">
        <v>13039</v>
      </c>
      <c r="B6235" t="s">
        <v>12507</v>
      </c>
      <c r="C6235" t="s">
        <v>12508</v>
      </c>
      <c r="D6235" s="1" t="s">
        <v>8767</v>
      </c>
      <c r="E6235" s="3">
        <v>120.86</v>
      </c>
      <c r="F6235" s="3">
        <f t="shared" si="194"/>
        <v>30.541322000000005</v>
      </c>
      <c r="G6235" s="3">
        <f t="shared" si="195"/>
        <v>151.40132199999999</v>
      </c>
    </row>
    <row r="6236" spans="1:7" x14ac:dyDescent="0.3">
      <c r="A6236" t="s">
        <v>13039</v>
      </c>
      <c r="B6236" t="s">
        <v>12509</v>
      </c>
      <c r="C6236" t="s">
        <v>12510</v>
      </c>
      <c r="D6236" s="1" t="s">
        <v>8767</v>
      </c>
      <c r="E6236" s="3">
        <v>189.86</v>
      </c>
      <c r="F6236" s="3">
        <f t="shared" si="194"/>
        <v>47.977622000000011</v>
      </c>
      <c r="G6236" s="3">
        <f t="shared" si="195"/>
        <v>237.83762200000001</v>
      </c>
    </row>
    <row r="6237" spans="1:7" x14ac:dyDescent="0.3">
      <c r="A6237" t="s">
        <v>13039</v>
      </c>
      <c r="B6237" t="s">
        <v>12511</v>
      </c>
      <c r="C6237" t="s">
        <v>12512</v>
      </c>
      <c r="D6237" s="1" t="s">
        <v>8767</v>
      </c>
      <c r="E6237" s="3">
        <v>120.48</v>
      </c>
      <c r="F6237" s="3">
        <f t="shared" si="194"/>
        <v>30.445296000000006</v>
      </c>
      <c r="G6237" s="3">
        <f t="shared" si="195"/>
        <v>150.925296</v>
      </c>
    </row>
    <row r="6238" spans="1:7" x14ac:dyDescent="0.3">
      <c r="A6238" t="s">
        <v>13039</v>
      </c>
      <c r="B6238" t="s">
        <v>12513</v>
      </c>
      <c r="C6238" t="s">
        <v>12514</v>
      </c>
      <c r="D6238" s="1" t="s">
        <v>8767</v>
      </c>
      <c r="E6238" s="3">
        <v>188.28</v>
      </c>
      <c r="F6238" s="3">
        <f t="shared" si="194"/>
        <v>47.578356000000007</v>
      </c>
      <c r="G6238" s="3">
        <f t="shared" si="195"/>
        <v>235.85835600000001</v>
      </c>
    </row>
    <row r="6239" spans="1:7" x14ac:dyDescent="0.3">
      <c r="A6239" t="s">
        <v>13039</v>
      </c>
      <c r="B6239" t="s">
        <v>12515</v>
      </c>
      <c r="C6239" t="s">
        <v>12516</v>
      </c>
      <c r="D6239" s="1" t="s">
        <v>8767</v>
      </c>
      <c r="E6239" s="3">
        <v>120.07</v>
      </c>
      <c r="F6239" s="3">
        <f t="shared" si="194"/>
        <v>30.341689000000002</v>
      </c>
      <c r="G6239" s="3">
        <f t="shared" si="195"/>
        <v>150.411689</v>
      </c>
    </row>
    <row r="6240" spans="1:7" x14ac:dyDescent="0.3">
      <c r="A6240" t="s">
        <v>13039</v>
      </c>
      <c r="B6240" t="s">
        <v>12517</v>
      </c>
      <c r="C6240" t="s">
        <v>12518</v>
      </c>
      <c r="D6240" s="1" t="s">
        <v>8767</v>
      </c>
      <c r="E6240" s="3">
        <v>186.76</v>
      </c>
      <c r="F6240" s="3">
        <f t="shared" si="194"/>
        <v>47.194252000000006</v>
      </c>
      <c r="G6240" s="3">
        <f t="shared" si="195"/>
        <v>233.954252</v>
      </c>
    </row>
    <row r="6241" spans="1:7" x14ac:dyDescent="0.3">
      <c r="A6241" t="s">
        <v>13039</v>
      </c>
      <c r="B6241" t="s">
        <v>12519</v>
      </c>
      <c r="C6241" t="s">
        <v>12520</v>
      </c>
      <c r="D6241" s="1" t="s">
        <v>8767</v>
      </c>
      <c r="E6241" s="3">
        <v>120.11</v>
      </c>
      <c r="F6241" s="3">
        <f t="shared" si="194"/>
        <v>30.351797000000005</v>
      </c>
      <c r="G6241" s="3">
        <f t="shared" si="195"/>
        <v>150.46179699999999</v>
      </c>
    </row>
    <row r="6242" spans="1:7" x14ac:dyDescent="0.3">
      <c r="A6242" t="s">
        <v>13039</v>
      </c>
      <c r="B6242" t="s">
        <v>12521</v>
      </c>
      <c r="C6242" t="s">
        <v>12522</v>
      </c>
      <c r="D6242" s="1" t="s">
        <v>8767</v>
      </c>
      <c r="E6242" s="3">
        <v>209.04</v>
      </c>
      <c r="F6242" s="3">
        <f t="shared" si="194"/>
        <v>52.824408000000005</v>
      </c>
      <c r="G6242" s="3">
        <f t="shared" si="195"/>
        <v>261.86440800000003</v>
      </c>
    </row>
    <row r="6243" spans="1:7" x14ac:dyDescent="0.3">
      <c r="A6243" t="s">
        <v>13039</v>
      </c>
      <c r="B6243" t="s">
        <v>12523</v>
      </c>
      <c r="C6243" t="s">
        <v>12524</v>
      </c>
      <c r="D6243" s="1" t="s">
        <v>8767</v>
      </c>
      <c r="E6243" s="3">
        <v>130.71</v>
      </c>
      <c r="F6243" s="3">
        <f t="shared" si="194"/>
        <v>33.030417000000007</v>
      </c>
      <c r="G6243" s="3">
        <f t="shared" si="195"/>
        <v>163.74041700000001</v>
      </c>
    </row>
    <row r="6244" spans="1:7" x14ac:dyDescent="0.3">
      <c r="A6244" t="s">
        <v>13039</v>
      </c>
      <c r="B6244" t="s">
        <v>12525</v>
      </c>
      <c r="C6244" t="s">
        <v>12526</v>
      </c>
      <c r="D6244" s="1" t="s">
        <v>8767</v>
      </c>
      <c r="E6244" s="3">
        <v>212.77</v>
      </c>
      <c r="F6244" s="3">
        <f t="shared" si="194"/>
        <v>53.766979000000013</v>
      </c>
      <c r="G6244" s="3">
        <f t="shared" si="195"/>
        <v>266.53697900000003</v>
      </c>
    </row>
    <row r="6245" spans="1:7" x14ac:dyDescent="0.3">
      <c r="A6245" t="s">
        <v>13039</v>
      </c>
      <c r="B6245" t="s">
        <v>12527</v>
      </c>
      <c r="C6245" t="s">
        <v>12528</v>
      </c>
      <c r="D6245" s="1" t="s">
        <v>8767</v>
      </c>
      <c r="E6245" s="3">
        <v>134.99</v>
      </c>
      <c r="F6245" s="3">
        <f t="shared" si="194"/>
        <v>34.111973000000006</v>
      </c>
      <c r="G6245" s="3">
        <f t="shared" si="195"/>
        <v>169.10197300000002</v>
      </c>
    </row>
    <row r="6246" spans="1:7" x14ac:dyDescent="0.3">
      <c r="A6246" t="s">
        <v>13039</v>
      </c>
      <c r="B6246" t="s">
        <v>12529</v>
      </c>
      <c r="C6246" t="s">
        <v>12530</v>
      </c>
      <c r="D6246" s="1" t="s">
        <v>8767</v>
      </c>
      <c r="E6246" s="3">
        <v>220.37</v>
      </c>
      <c r="F6246" s="3">
        <f t="shared" si="194"/>
        <v>55.68749900000001</v>
      </c>
      <c r="G6246" s="3">
        <f t="shared" si="195"/>
        <v>276.05749900000001</v>
      </c>
    </row>
    <row r="6247" spans="1:7" x14ac:dyDescent="0.3">
      <c r="A6247" t="s">
        <v>13039</v>
      </c>
      <c r="B6247" t="s">
        <v>12531</v>
      </c>
      <c r="C6247" t="s">
        <v>12532</v>
      </c>
      <c r="D6247" s="1" t="s">
        <v>8767</v>
      </c>
      <c r="E6247" s="3">
        <v>140.69</v>
      </c>
      <c r="F6247" s="3">
        <f t="shared" si="194"/>
        <v>35.552363000000007</v>
      </c>
      <c r="G6247" s="3">
        <f t="shared" si="195"/>
        <v>176.24236300000001</v>
      </c>
    </row>
    <row r="6248" spans="1:7" x14ac:dyDescent="0.3">
      <c r="A6248" t="s">
        <v>13039</v>
      </c>
      <c r="B6248" t="s">
        <v>12533</v>
      </c>
      <c r="C6248" t="s">
        <v>12534</v>
      </c>
      <c r="D6248" s="1" t="s">
        <v>8767</v>
      </c>
      <c r="E6248" s="3">
        <v>244.79</v>
      </c>
      <c r="F6248" s="3">
        <f t="shared" si="194"/>
        <v>61.858433000000005</v>
      </c>
      <c r="G6248" s="3">
        <f t="shared" si="195"/>
        <v>306.64843300000001</v>
      </c>
    </row>
    <row r="6249" spans="1:7" x14ac:dyDescent="0.3">
      <c r="A6249" t="s">
        <v>13039</v>
      </c>
      <c r="B6249" t="s">
        <v>12535</v>
      </c>
      <c r="C6249" t="s">
        <v>12536</v>
      </c>
      <c r="D6249" s="1" t="s">
        <v>8767</v>
      </c>
      <c r="E6249" s="3">
        <v>175.74</v>
      </c>
      <c r="F6249" s="3">
        <f t="shared" si="194"/>
        <v>44.409498000000006</v>
      </c>
      <c r="G6249" s="3">
        <f t="shared" si="195"/>
        <v>220.14949800000002</v>
      </c>
    </row>
    <row r="6250" spans="1:7" x14ac:dyDescent="0.3">
      <c r="A6250" t="s">
        <v>13039</v>
      </c>
      <c r="B6250" t="s">
        <v>12537</v>
      </c>
      <c r="C6250" t="s">
        <v>12538</v>
      </c>
      <c r="D6250" s="1" t="s">
        <v>8767</v>
      </c>
      <c r="E6250" s="3">
        <v>242.75</v>
      </c>
      <c r="F6250" s="3">
        <f t="shared" si="194"/>
        <v>61.342925000000008</v>
      </c>
      <c r="G6250" s="3">
        <f t="shared" si="195"/>
        <v>304.09292500000004</v>
      </c>
    </row>
    <row r="6251" spans="1:7" x14ac:dyDescent="0.3">
      <c r="A6251" t="s">
        <v>13039</v>
      </c>
      <c r="B6251" t="s">
        <v>12539</v>
      </c>
      <c r="C6251" t="s">
        <v>12540</v>
      </c>
      <c r="D6251" s="1" t="s">
        <v>8767</v>
      </c>
      <c r="E6251" s="3">
        <v>176.38</v>
      </c>
      <c r="F6251" s="3">
        <f t="shared" si="194"/>
        <v>44.571226000000003</v>
      </c>
      <c r="G6251" s="3">
        <f t="shared" si="195"/>
        <v>220.95122599999999</v>
      </c>
    </row>
    <row r="6252" spans="1:7" x14ac:dyDescent="0.3">
      <c r="A6252" t="s">
        <v>13039</v>
      </c>
      <c r="B6252" t="s">
        <v>12541</v>
      </c>
      <c r="C6252" t="s">
        <v>12542</v>
      </c>
      <c r="D6252" s="1" t="s">
        <v>8767</v>
      </c>
      <c r="E6252" s="3">
        <v>247.49</v>
      </c>
      <c r="F6252" s="3">
        <f t="shared" si="194"/>
        <v>62.540723000000014</v>
      </c>
      <c r="G6252" s="3">
        <f t="shared" si="195"/>
        <v>310.03072300000002</v>
      </c>
    </row>
    <row r="6253" spans="1:7" x14ac:dyDescent="0.3">
      <c r="A6253" t="s">
        <v>13039</v>
      </c>
      <c r="B6253" t="s">
        <v>12543</v>
      </c>
      <c r="C6253" t="s">
        <v>12544</v>
      </c>
      <c r="D6253" s="1" t="s">
        <v>8767</v>
      </c>
      <c r="E6253" s="3">
        <v>182.1</v>
      </c>
      <c r="F6253" s="3">
        <f t="shared" si="194"/>
        <v>46.016670000000005</v>
      </c>
      <c r="G6253" s="3">
        <f t="shared" si="195"/>
        <v>228.11667</v>
      </c>
    </row>
    <row r="6254" spans="1:7" x14ac:dyDescent="0.3">
      <c r="A6254" t="s">
        <v>13039</v>
      </c>
      <c r="B6254" t="s">
        <v>12545</v>
      </c>
      <c r="C6254" t="s">
        <v>12546</v>
      </c>
      <c r="D6254" s="1" t="s">
        <v>8767</v>
      </c>
      <c r="E6254" s="3">
        <v>248.47</v>
      </c>
      <c r="F6254" s="3">
        <f t="shared" si="194"/>
        <v>62.78836900000001</v>
      </c>
      <c r="G6254" s="3">
        <f t="shared" si="195"/>
        <v>311.25836900000002</v>
      </c>
    </row>
    <row r="6255" spans="1:7" x14ac:dyDescent="0.3">
      <c r="A6255" t="s">
        <v>13039</v>
      </c>
      <c r="B6255" t="s">
        <v>12547</v>
      </c>
      <c r="C6255" t="s">
        <v>12548</v>
      </c>
      <c r="D6255" s="1" t="s">
        <v>8767</v>
      </c>
      <c r="E6255" s="3">
        <v>184.94</v>
      </c>
      <c r="F6255" s="3">
        <f t="shared" si="194"/>
        <v>46.734338000000008</v>
      </c>
      <c r="G6255" s="3">
        <f t="shared" si="195"/>
        <v>231.67433800000001</v>
      </c>
    </row>
    <row r="6256" spans="1:7" x14ac:dyDescent="0.3">
      <c r="A6256" t="s">
        <v>13039</v>
      </c>
      <c r="B6256" t="s">
        <v>12549</v>
      </c>
      <c r="C6256" t="s">
        <v>12550</v>
      </c>
      <c r="D6256" s="1" t="s">
        <v>427</v>
      </c>
      <c r="E6256" s="3">
        <v>156.97</v>
      </c>
      <c r="F6256" s="3">
        <f t="shared" si="194"/>
        <v>39.666319000000009</v>
      </c>
      <c r="G6256" s="3">
        <f t="shared" si="195"/>
        <v>196.63631900000001</v>
      </c>
    </row>
    <row r="6257" spans="1:7" x14ac:dyDescent="0.3">
      <c r="A6257" t="s">
        <v>13039</v>
      </c>
      <c r="B6257" t="s">
        <v>12551</v>
      </c>
      <c r="C6257" t="s">
        <v>12552</v>
      </c>
      <c r="D6257" s="1" t="s">
        <v>427</v>
      </c>
      <c r="E6257" s="3">
        <v>102.67</v>
      </c>
      <c r="F6257" s="3">
        <f t="shared" si="194"/>
        <v>25.944709000000003</v>
      </c>
      <c r="G6257" s="3">
        <f t="shared" si="195"/>
        <v>128.614709</v>
      </c>
    </row>
    <row r="6258" spans="1:7" x14ac:dyDescent="0.3">
      <c r="A6258" t="s">
        <v>13039</v>
      </c>
      <c r="B6258" t="s">
        <v>12553</v>
      </c>
      <c r="C6258" t="s">
        <v>12554</v>
      </c>
      <c r="D6258" s="1" t="s">
        <v>8767</v>
      </c>
      <c r="E6258" s="3">
        <v>173.22</v>
      </c>
      <c r="F6258" s="3">
        <f t="shared" si="194"/>
        <v>43.772694000000008</v>
      </c>
      <c r="G6258" s="3">
        <f t="shared" si="195"/>
        <v>216.992694</v>
      </c>
    </row>
    <row r="6259" spans="1:7" x14ac:dyDescent="0.3">
      <c r="A6259" t="s">
        <v>13039</v>
      </c>
      <c r="B6259" t="s">
        <v>12555</v>
      </c>
      <c r="C6259" t="s">
        <v>12556</v>
      </c>
      <c r="D6259" s="1" t="s">
        <v>8767</v>
      </c>
      <c r="E6259" s="3">
        <v>128.33000000000001</v>
      </c>
      <c r="F6259" s="3">
        <f t="shared" si="194"/>
        <v>32.428991000000011</v>
      </c>
      <c r="G6259" s="3">
        <f t="shared" si="195"/>
        <v>160.75899100000004</v>
      </c>
    </row>
    <row r="6260" spans="1:7" x14ac:dyDescent="0.3">
      <c r="A6260" t="s">
        <v>13039</v>
      </c>
      <c r="B6260" t="s">
        <v>12557</v>
      </c>
      <c r="C6260" t="s">
        <v>12558</v>
      </c>
      <c r="D6260" s="1" t="s">
        <v>8767</v>
      </c>
      <c r="E6260" s="3">
        <v>194.55</v>
      </c>
      <c r="F6260" s="3">
        <f t="shared" si="194"/>
        <v>49.162785000000007</v>
      </c>
      <c r="G6260" s="3">
        <f t="shared" si="195"/>
        <v>243.71278500000003</v>
      </c>
    </row>
    <row r="6261" spans="1:7" x14ac:dyDescent="0.3">
      <c r="A6261" t="s">
        <v>13039</v>
      </c>
      <c r="B6261" t="s">
        <v>12559</v>
      </c>
      <c r="C6261" t="s">
        <v>12560</v>
      </c>
      <c r="D6261" s="1" t="s">
        <v>8767</v>
      </c>
      <c r="E6261" s="3">
        <v>131.24</v>
      </c>
      <c r="F6261" s="3">
        <f t="shared" si="194"/>
        <v>33.164348000000004</v>
      </c>
      <c r="G6261" s="3">
        <f t="shared" si="195"/>
        <v>164.40434800000003</v>
      </c>
    </row>
    <row r="6262" spans="1:7" x14ac:dyDescent="0.3">
      <c r="A6262" t="s">
        <v>13039</v>
      </c>
      <c r="B6262" t="s">
        <v>12561</v>
      </c>
      <c r="C6262" t="s">
        <v>12562</v>
      </c>
      <c r="D6262" s="1" t="s">
        <v>427</v>
      </c>
      <c r="E6262" s="3">
        <v>323.10000000000002</v>
      </c>
      <c r="F6262" s="3">
        <f t="shared" si="194"/>
        <v>81.647370000000024</v>
      </c>
      <c r="G6262" s="3">
        <f t="shared" si="195"/>
        <v>404.74737000000005</v>
      </c>
    </row>
    <row r="6263" spans="1:7" x14ac:dyDescent="0.3">
      <c r="A6263" t="s">
        <v>13039</v>
      </c>
      <c r="B6263" t="s">
        <v>12563</v>
      </c>
      <c r="C6263" t="s">
        <v>12564</v>
      </c>
      <c r="D6263" s="1" t="s">
        <v>427</v>
      </c>
      <c r="E6263" s="3">
        <v>144.97999999999999</v>
      </c>
      <c r="F6263" s="3">
        <f t="shared" si="194"/>
        <v>36.636445999999999</v>
      </c>
      <c r="G6263" s="3">
        <f t="shared" si="195"/>
        <v>181.616446</v>
      </c>
    </row>
    <row r="6264" spans="1:7" x14ac:dyDescent="0.3">
      <c r="A6264" t="s">
        <v>13039</v>
      </c>
      <c r="B6264" t="s">
        <v>12565</v>
      </c>
      <c r="C6264" t="s">
        <v>12566</v>
      </c>
      <c r="D6264" s="1" t="s">
        <v>427</v>
      </c>
      <c r="E6264" s="3">
        <v>326.04000000000002</v>
      </c>
      <c r="F6264" s="3">
        <f t="shared" si="194"/>
        <v>82.390308000000019</v>
      </c>
      <c r="G6264" s="3">
        <f t="shared" si="195"/>
        <v>408.43030800000003</v>
      </c>
    </row>
    <row r="6265" spans="1:7" x14ac:dyDescent="0.3">
      <c r="A6265" t="s">
        <v>13039</v>
      </c>
      <c r="B6265" t="s">
        <v>12567</v>
      </c>
      <c r="C6265" t="s">
        <v>12568</v>
      </c>
      <c r="D6265" s="1" t="s">
        <v>427</v>
      </c>
      <c r="E6265" s="3">
        <v>141.79</v>
      </c>
      <c r="F6265" s="3">
        <f t="shared" si="194"/>
        <v>35.830333000000003</v>
      </c>
      <c r="G6265" s="3">
        <f t="shared" si="195"/>
        <v>177.62033299999999</v>
      </c>
    </row>
    <row r="6266" spans="1:7" x14ac:dyDescent="0.3">
      <c r="A6266" t="s">
        <v>13039</v>
      </c>
      <c r="B6266" t="s">
        <v>12569</v>
      </c>
      <c r="C6266" t="s">
        <v>12570</v>
      </c>
      <c r="D6266" s="1" t="s">
        <v>427</v>
      </c>
      <c r="E6266" s="3">
        <v>340.84</v>
      </c>
      <c r="F6266" s="3">
        <f t="shared" si="194"/>
        <v>86.130268000000001</v>
      </c>
      <c r="G6266" s="3">
        <f t="shared" si="195"/>
        <v>426.97026799999998</v>
      </c>
    </row>
    <row r="6267" spans="1:7" x14ac:dyDescent="0.3">
      <c r="A6267" t="s">
        <v>13039</v>
      </c>
      <c r="B6267" t="s">
        <v>12571</v>
      </c>
      <c r="C6267" t="s">
        <v>12572</v>
      </c>
      <c r="D6267" s="1" t="s">
        <v>427</v>
      </c>
      <c r="E6267" s="3">
        <v>162.16999999999999</v>
      </c>
      <c r="F6267" s="3">
        <f t="shared" si="194"/>
        <v>40.980359</v>
      </c>
      <c r="G6267" s="3">
        <f t="shared" si="195"/>
        <v>203.15035899999998</v>
      </c>
    </row>
    <row r="6268" spans="1:7" x14ac:dyDescent="0.3">
      <c r="A6268" t="s">
        <v>13039</v>
      </c>
      <c r="B6268" t="s">
        <v>12573</v>
      </c>
      <c r="C6268" t="s">
        <v>12574</v>
      </c>
      <c r="D6268" s="1" t="s">
        <v>427</v>
      </c>
      <c r="E6268" s="3">
        <v>344.2</v>
      </c>
      <c r="F6268" s="3">
        <f t="shared" si="194"/>
        <v>86.979340000000008</v>
      </c>
      <c r="G6268" s="3">
        <f t="shared" si="195"/>
        <v>431.17934000000002</v>
      </c>
    </row>
    <row r="6269" spans="1:7" x14ac:dyDescent="0.3">
      <c r="A6269" t="s">
        <v>13039</v>
      </c>
      <c r="B6269" t="s">
        <v>12575</v>
      </c>
      <c r="C6269" t="s">
        <v>12576</v>
      </c>
      <c r="D6269" s="1" t="s">
        <v>427</v>
      </c>
      <c r="E6269" s="3">
        <v>158.97999999999999</v>
      </c>
      <c r="F6269" s="3">
        <f t="shared" si="194"/>
        <v>40.174246000000004</v>
      </c>
      <c r="G6269" s="3">
        <f t="shared" si="195"/>
        <v>199.154246</v>
      </c>
    </row>
    <row r="6270" spans="1:7" x14ac:dyDescent="0.3">
      <c r="A6270" t="s">
        <v>13039</v>
      </c>
      <c r="B6270" t="s">
        <v>12577</v>
      </c>
      <c r="C6270" t="s">
        <v>12578</v>
      </c>
      <c r="D6270" s="1" t="s">
        <v>427</v>
      </c>
      <c r="E6270" s="3">
        <v>323.10000000000002</v>
      </c>
      <c r="F6270" s="3">
        <f t="shared" si="194"/>
        <v>81.647370000000024</v>
      </c>
      <c r="G6270" s="3">
        <f t="shared" si="195"/>
        <v>404.74737000000005</v>
      </c>
    </row>
    <row r="6271" spans="1:7" x14ac:dyDescent="0.3">
      <c r="A6271" t="s">
        <v>13039</v>
      </c>
      <c r="B6271" t="s">
        <v>12579</v>
      </c>
      <c r="C6271" t="s">
        <v>12580</v>
      </c>
      <c r="D6271" s="1" t="s">
        <v>427</v>
      </c>
      <c r="E6271" s="3">
        <v>144.97999999999999</v>
      </c>
      <c r="F6271" s="3">
        <f t="shared" si="194"/>
        <v>36.636445999999999</v>
      </c>
      <c r="G6271" s="3">
        <f t="shared" si="195"/>
        <v>181.616446</v>
      </c>
    </row>
    <row r="6272" spans="1:7" x14ac:dyDescent="0.3">
      <c r="A6272" t="s">
        <v>13039</v>
      </c>
      <c r="B6272" t="s">
        <v>12581</v>
      </c>
      <c r="C6272" t="s">
        <v>12582</v>
      </c>
      <c r="D6272" s="1" t="s">
        <v>427</v>
      </c>
      <c r="E6272" s="3">
        <v>326.04000000000002</v>
      </c>
      <c r="F6272" s="3">
        <f t="shared" si="194"/>
        <v>82.390308000000019</v>
      </c>
      <c r="G6272" s="3">
        <f t="shared" si="195"/>
        <v>408.43030800000003</v>
      </c>
    </row>
    <row r="6273" spans="1:7" x14ac:dyDescent="0.3">
      <c r="A6273" t="s">
        <v>13039</v>
      </c>
      <c r="B6273" t="s">
        <v>12583</v>
      </c>
      <c r="C6273" t="s">
        <v>12584</v>
      </c>
      <c r="D6273" s="1" t="s">
        <v>427</v>
      </c>
      <c r="E6273" s="3">
        <v>141.79</v>
      </c>
      <c r="F6273" s="3">
        <f t="shared" si="194"/>
        <v>35.830333000000003</v>
      </c>
      <c r="G6273" s="3">
        <f t="shared" si="195"/>
        <v>177.62033299999999</v>
      </c>
    </row>
    <row r="6274" spans="1:7" x14ac:dyDescent="0.3">
      <c r="A6274" t="s">
        <v>13039</v>
      </c>
      <c r="B6274" t="s">
        <v>12585</v>
      </c>
      <c r="C6274" t="s">
        <v>12586</v>
      </c>
      <c r="D6274" s="1" t="s">
        <v>427</v>
      </c>
      <c r="E6274" s="3">
        <v>339.36</v>
      </c>
      <c r="F6274" s="3">
        <f t="shared" si="194"/>
        <v>85.75627200000001</v>
      </c>
      <c r="G6274" s="3">
        <f t="shared" si="195"/>
        <v>425.11627200000004</v>
      </c>
    </row>
    <row r="6275" spans="1:7" x14ac:dyDescent="0.3">
      <c r="A6275" t="s">
        <v>13039</v>
      </c>
      <c r="B6275" t="s">
        <v>12587</v>
      </c>
      <c r="C6275" t="s">
        <v>12588</v>
      </c>
      <c r="D6275" s="1" t="s">
        <v>427</v>
      </c>
      <c r="E6275" s="3">
        <v>161.54</v>
      </c>
      <c r="F6275" s="3">
        <f t="shared" si="194"/>
        <v>40.821158000000004</v>
      </c>
      <c r="G6275" s="3">
        <f t="shared" si="195"/>
        <v>202.36115799999999</v>
      </c>
    </row>
    <row r="6276" spans="1:7" x14ac:dyDescent="0.3">
      <c r="A6276" t="s">
        <v>13039</v>
      </c>
      <c r="B6276" t="s">
        <v>12589</v>
      </c>
      <c r="C6276" t="s">
        <v>12590</v>
      </c>
      <c r="D6276" s="1" t="s">
        <v>427</v>
      </c>
      <c r="E6276" s="3">
        <v>342.71</v>
      </c>
      <c r="F6276" s="3">
        <f t="shared" si="194"/>
        <v>86.602817000000002</v>
      </c>
      <c r="G6276" s="3">
        <f t="shared" si="195"/>
        <v>429.312817</v>
      </c>
    </row>
    <row r="6277" spans="1:7" x14ac:dyDescent="0.3">
      <c r="A6277" t="s">
        <v>13039</v>
      </c>
      <c r="B6277" t="s">
        <v>12591</v>
      </c>
      <c r="C6277" t="s">
        <v>12592</v>
      </c>
      <c r="D6277" s="1" t="s">
        <v>427</v>
      </c>
      <c r="E6277" s="3">
        <v>158.36000000000001</v>
      </c>
      <c r="F6277" s="3">
        <f t="shared" si="194"/>
        <v>40.017572000000008</v>
      </c>
      <c r="G6277" s="3">
        <f t="shared" si="195"/>
        <v>198.37757200000001</v>
      </c>
    </row>
    <row r="6278" spans="1:7" x14ac:dyDescent="0.3">
      <c r="A6278" t="s">
        <v>13039</v>
      </c>
      <c r="B6278" t="s">
        <v>12593</v>
      </c>
      <c r="C6278" t="s">
        <v>12594</v>
      </c>
      <c r="D6278" s="1" t="s">
        <v>8767</v>
      </c>
      <c r="E6278" s="3">
        <v>209.47</v>
      </c>
      <c r="F6278" s="3">
        <f t="shared" si="194"/>
        <v>52.93306900000001</v>
      </c>
      <c r="G6278" s="3">
        <f t="shared" si="195"/>
        <v>262.40306900000002</v>
      </c>
    </row>
    <row r="6279" spans="1:7" x14ac:dyDescent="0.3">
      <c r="A6279" t="s">
        <v>13039</v>
      </c>
      <c r="B6279" t="s">
        <v>12595</v>
      </c>
      <c r="C6279" t="s">
        <v>12596</v>
      </c>
      <c r="D6279" s="1" t="s">
        <v>8767</v>
      </c>
      <c r="E6279" s="3">
        <v>129.6</v>
      </c>
      <c r="F6279" s="3">
        <f t="shared" ref="F6279:F6342" si="196">+E6279*$F$4</f>
        <v>32.749920000000003</v>
      </c>
      <c r="G6279" s="3">
        <f t="shared" ref="G6279:G6342" si="197">+E6279+F6279</f>
        <v>162.34992</v>
      </c>
    </row>
    <row r="6280" spans="1:7" x14ac:dyDescent="0.3">
      <c r="A6280" t="s">
        <v>13039</v>
      </c>
      <c r="B6280" t="s">
        <v>12597</v>
      </c>
      <c r="C6280" t="s">
        <v>12598</v>
      </c>
      <c r="D6280" s="1" t="s">
        <v>8767</v>
      </c>
      <c r="E6280" s="3">
        <v>198.58</v>
      </c>
      <c r="F6280" s="3">
        <f t="shared" si="196"/>
        <v>50.181166000000012</v>
      </c>
      <c r="G6280" s="3">
        <f t="shared" si="197"/>
        <v>248.76116600000003</v>
      </c>
    </row>
    <row r="6281" spans="1:7" x14ac:dyDescent="0.3">
      <c r="A6281" t="s">
        <v>13039</v>
      </c>
      <c r="B6281" t="s">
        <v>12599</v>
      </c>
      <c r="C6281" t="s">
        <v>12600</v>
      </c>
      <c r="D6281" s="1" t="s">
        <v>8767</v>
      </c>
      <c r="E6281" s="3">
        <v>116.85</v>
      </c>
      <c r="F6281" s="3">
        <f t="shared" si="196"/>
        <v>29.527995000000004</v>
      </c>
      <c r="G6281" s="3">
        <f t="shared" si="197"/>
        <v>146.377995</v>
      </c>
    </row>
    <row r="6282" spans="1:7" x14ac:dyDescent="0.3">
      <c r="A6282" t="s">
        <v>13039</v>
      </c>
      <c r="B6282" t="s">
        <v>12601</v>
      </c>
      <c r="C6282" t="s">
        <v>12602</v>
      </c>
      <c r="D6282" s="1" t="s">
        <v>8767</v>
      </c>
      <c r="E6282" s="3">
        <v>209.86</v>
      </c>
      <c r="F6282" s="3">
        <f t="shared" si="196"/>
        <v>53.031622000000013</v>
      </c>
      <c r="G6282" s="3">
        <f t="shared" si="197"/>
        <v>262.89162200000004</v>
      </c>
    </row>
    <row r="6283" spans="1:7" x14ac:dyDescent="0.3">
      <c r="A6283" t="s">
        <v>13039</v>
      </c>
      <c r="B6283" t="s">
        <v>12603</v>
      </c>
      <c r="C6283" t="s">
        <v>12604</v>
      </c>
      <c r="D6283" s="1" t="s">
        <v>8767</v>
      </c>
      <c r="E6283" s="3">
        <v>128.63</v>
      </c>
      <c r="F6283" s="3">
        <f t="shared" si="196"/>
        <v>32.504801</v>
      </c>
      <c r="G6283" s="3">
        <f t="shared" si="197"/>
        <v>161.13480099999998</v>
      </c>
    </row>
    <row r="6284" spans="1:7" x14ac:dyDescent="0.3">
      <c r="A6284" t="s">
        <v>13039</v>
      </c>
      <c r="B6284" t="s">
        <v>12605</v>
      </c>
      <c r="C6284" t="s">
        <v>12606</v>
      </c>
      <c r="D6284" s="1" t="s">
        <v>8767</v>
      </c>
      <c r="E6284" s="3">
        <v>213.4</v>
      </c>
      <c r="F6284" s="3">
        <f t="shared" si="196"/>
        <v>53.926180000000009</v>
      </c>
      <c r="G6284" s="3">
        <f t="shared" si="197"/>
        <v>267.32618000000002</v>
      </c>
    </row>
    <row r="6285" spans="1:7" x14ac:dyDescent="0.3">
      <c r="A6285" t="s">
        <v>13039</v>
      </c>
      <c r="B6285" t="s">
        <v>12607</v>
      </c>
      <c r="C6285" t="s">
        <v>12608</v>
      </c>
      <c r="D6285" s="1" t="s">
        <v>8767</v>
      </c>
      <c r="E6285" s="3">
        <v>134.87</v>
      </c>
      <c r="F6285" s="3">
        <f t="shared" si="196"/>
        <v>34.081649000000006</v>
      </c>
      <c r="G6285" s="3">
        <f t="shared" si="197"/>
        <v>168.951649</v>
      </c>
    </row>
    <row r="6286" spans="1:7" x14ac:dyDescent="0.3">
      <c r="A6286" t="s">
        <v>13039</v>
      </c>
      <c r="B6286" t="s">
        <v>12609</v>
      </c>
      <c r="C6286" t="s">
        <v>12610</v>
      </c>
      <c r="D6286" s="1" t="s">
        <v>8767</v>
      </c>
      <c r="E6286" s="3">
        <v>212.09</v>
      </c>
      <c r="F6286" s="3">
        <f t="shared" si="196"/>
        <v>53.595143000000007</v>
      </c>
      <c r="G6286" s="3">
        <f t="shared" si="197"/>
        <v>265.68514300000004</v>
      </c>
    </row>
    <row r="6287" spans="1:7" x14ac:dyDescent="0.3">
      <c r="A6287" t="s">
        <v>13039</v>
      </c>
      <c r="B6287" t="s">
        <v>12611</v>
      </c>
      <c r="C6287" t="s">
        <v>12612</v>
      </c>
      <c r="D6287" s="1" t="s">
        <v>8767</v>
      </c>
      <c r="E6287" s="3">
        <v>134.44999999999999</v>
      </c>
      <c r="F6287" s="3">
        <f t="shared" si="196"/>
        <v>33.975515000000001</v>
      </c>
      <c r="G6287" s="3">
        <f t="shared" si="197"/>
        <v>168.42551499999999</v>
      </c>
    </row>
    <row r="6288" spans="1:7" x14ac:dyDescent="0.3">
      <c r="A6288" t="s">
        <v>13039</v>
      </c>
      <c r="B6288" t="s">
        <v>12613</v>
      </c>
      <c r="C6288" t="s">
        <v>12614</v>
      </c>
      <c r="D6288" s="1" t="s">
        <v>427</v>
      </c>
      <c r="E6288" s="3">
        <v>78.62</v>
      </c>
      <c r="F6288" s="3">
        <f t="shared" si="196"/>
        <v>19.867274000000005</v>
      </c>
      <c r="G6288" s="3">
        <f t="shared" si="197"/>
        <v>98.487274000000014</v>
      </c>
    </row>
    <row r="6289" spans="1:7" x14ac:dyDescent="0.3">
      <c r="A6289" t="s">
        <v>13039</v>
      </c>
      <c r="B6289" t="s">
        <v>12615</v>
      </c>
      <c r="C6289" t="s">
        <v>12616</v>
      </c>
      <c r="D6289" s="1" t="s">
        <v>427</v>
      </c>
      <c r="E6289" s="3">
        <v>20.02</v>
      </c>
      <c r="F6289" s="3">
        <f t="shared" si="196"/>
        <v>5.0590540000000006</v>
      </c>
      <c r="G6289" s="3">
        <f t="shared" si="197"/>
        <v>25.079053999999999</v>
      </c>
    </row>
    <row r="6290" spans="1:7" x14ac:dyDescent="0.3">
      <c r="A6290" t="s">
        <v>13039</v>
      </c>
      <c r="B6290" t="s">
        <v>12617</v>
      </c>
      <c r="C6290" t="s">
        <v>12618</v>
      </c>
      <c r="D6290" s="1" t="s">
        <v>427</v>
      </c>
      <c r="E6290" s="3">
        <v>117.43</v>
      </c>
      <c r="F6290" s="3">
        <f t="shared" si="196"/>
        <v>29.674561000000004</v>
      </c>
      <c r="G6290" s="3">
        <f t="shared" si="197"/>
        <v>147.10456100000002</v>
      </c>
    </row>
    <row r="6291" spans="1:7" x14ac:dyDescent="0.3">
      <c r="A6291" t="s">
        <v>13039</v>
      </c>
      <c r="B6291" t="s">
        <v>12619</v>
      </c>
      <c r="C6291" t="s">
        <v>12620</v>
      </c>
      <c r="D6291" s="1" t="s">
        <v>427</v>
      </c>
      <c r="E6291" s="3">
        <v>72.459999999999994</v>
      </c>
      <c r="F6291" s="3">
        <f t="shared" si="196"/>
        <v>18.310642000000001</v>
      </c>
      <c r="G6291" s="3">
        <f t="shared" si="197"/>
        <v>90.770641999999995</v>
      </c>
    </row>
    <row r="6292" spans="1:7" x14ac:dyDescent="0.3">
      <c r="A6292" t="s">
        <v>13039</v>
      </c>
      <c r="B6292" t="s">
        <v>12621</v>
      </c>
      <c r="C6292" t="s">
        <v>12622</v>
      </c>
      <c r="D6292" s="1" t="s">
        <v>427</v>
      </c>
      <c r="E6292" s="3">
        <v>84.07</v>
      </c>
      <c r="F6292" s="3">
        <f t="shared" si="196"/>
        <v>21.244489000000002</v>
      </c>
      <c r="G6292" s="3">
        <f t="shared" si="197"/>
        <v>105.31448899999999</v>
      </c>
    </row>
    <row r="6293" spans="1:7" x14ac:dyDescent="0.3">
      <c r="A6293" t="s">
        <v>13039</v>
      </c>
      <c r="B6293" t="s">
        <v>12623</v>
      </c>
      <c r="C6293" t="s">
        <v>12624</v>
      </c>
      <c r="D6293" s="1" t="s">
        <v>427</v>
      </c>
      <c r="E6293" s="3">
        <v>37.700000000000003</v>
      </c>
      <c r="F6293" s="3">
        <f t="shared" si="196"/>
        <v>9.5267900000000019</v>
      </c>
      <c r="G6293" s="3">
        <f t="shared" si="197"/>
        <v>47.226790000000008</v>
      </c>
    </row>
    <row r="6294" spans="1:7" x14ac:dyDescent="0.3">
      <c r="A6294" t="s">
        <v>13039</v>
      </c>
      <c r="B6294" t="s">
        <v>12625</v>
      </c>
      <c r="C6294" t="s">
        <v>12626</v>
      </c>
      <c r="D6294" s="1" t="s">
        <v>427</v>
      </c>
      <c r="E6294" s="3">
        <v>86.5</v>
      </c>
      <c r="F6294" s="3">
        <f t="shared" si="196"/>
        <v>21.858550000000005</v>
      </c>
      <c r="G6294" s="3">
        <f t="shared" si="197"/>
        <v>108.35855000000001</v>
      </c>
    </row>
    <row r="6295" spans="1:7" x14ac:dyDescent="0.3">
      <c r="A6295" t="s">
        <v>13039</v>
      </c>
      <c r="B6295" t="s">
        <v>12627</v>
      </c>
      <c r="C6295" t="s">
        <v>12628</v>
      </c>
      <c r="D6295" s="1" t="s">
        <v>427</v>
      </c>
      <c r="E6295" s="3">
        <v>26.81</v>
      </c>
      <c r="F6295" s="3">
        <f t="shared" si="196"/>
        <v>6.7748870000000005</v>
      </c>
      <c r="G6295" s="3">
        <f t="shared" si="197"/>
        <v>33.584887000000002</v>
      </c>
    </row>
    <row r="6296" spans="1:7" x14ac:dyDescent="0.3">
      <c r="A6296" t="s">
        <v>13039</v>
      </c>
      <c r="B6296" t="s">
        <v>12629</v>
      </c>
      <c r="C6296" t="s">
        <v>12630</v>
      </c>
      <c r="D6296" s="1" t="s">
        <v>427</v>
      </c>
      <c r="E6296" s="3">
        <v>45.29</v>
      </c>
      <c r="F6296" s="3">
        <f t="shared" si="196"/>
        <v>11.444783000000001</v>
      </c>
      <c r="G6296" s="3">
        <f t="shared" si="197"/>
        <v>56.734783</v>
      </c>
    </row>
    <row r="6297" spans="1:7" x14ac:dyDescent="0.3">
      <c r="A6297" t="s">
        <v>13039</v>
      </c>
      <c r="B6297" t="s">
        <v>12631</v>
      </c>
      <c r="C6297" t="s">
        <v>12632</v>
      </c>
      <c r="D6297" s="1" t="s">
        <v>427</v>
      </c>
      <c r="E6297" s="3">
        <v>407.18</v>
      </c>
      <c r="F6297" s="3">
        <f t="shared" si="196"/>
        <v>102.89438600000001</v>
      </c>
      <c r="G6297" s="3">
        <f t="shared" si="197"/>
        <v>510.074386</v>
      </c>
    </row>
    <row r="6298" spans="1:7" x14ac:dyDescent="0.3">
      <c r="A6298" t="s">
        <v>13039</v>
      </c>
      <c r="B6298" t="s">
        <v>12633</v>
      </c>
      <c r="C6298" t="s">
        <v>12634</v>
      </c>
      <c r="D6298" s="1" t="s">
        <v>427</v>
      </c>
      <c r="E6298" s="3">
        <v>252.81</v>
      </c>
      <c r="F6298" s="3">
        <f t="shared" si="196"/>
        <v>63.885087000000013</v>
      </c>
      <c r="G6298" s="3">
        <f t="shared" si="197"/>
        <v>316.695087</v>
      </c>
    </row>
    <row r="6299" spans="1:7" x14ac:dyDescent="0.3">
      <c r="A6299" t="s">
        <v>13039</v>
      </c>
      <c r="B6299" t="s">
        <v>12635</v>
      </c>
      <c r="C6299" t="s">
        <v>12636</v>
      </c>
      <c r="D6299" s="1" t="s">
        <v>427</v>
      </c>
      <c r="E6299" s="3">
        <v>359.32</v>
      </c>
      <c r="F6299" s="3">
        <f t="shared" si="196"/>
        <v>90.800164000000009</v>
      </c>
      <c r="G6299" s="3">
        <f t="shared" si="197"/>
        <v>450.12016399999999</v>
      </c>
    </row>
    <row r="6300" spans="1:7" x14ac:dyDescent="0.3">
      <c r="A6300" t="s">
        <v>13039</v>
      </c>
      <c r="B6300" t="s">
        <v>12637</v>
      </c>
      <c r="C6300" t="s">
        <v>12638</v>
      </c>
      <c r="D6300" s="1" t="s">
        <v>427</v>
      </c>
      <c r="E6300" s="3">
        <v>203.42</v>
      </c>
      <c r="F6300" s="3">
        <f t="shared" si="196"/>
        <v>51.404234000000002</v>
      </c>
      <c r="G6300" s="3">
        <f t="shared" si="197"/>
        <v>254.82423399999999</v>
      </c>
    </row>
    <row r="6301" spans="1:7" x14ac:dyDescent="0.3">
      <c r="A6301" t="s">
        <v>13039</v>
      </c>
      <c r="B6301" t="s">
        <v>12639</v>
      </c>
      <c r="C6301" t="s">
        <v>12640</v>
      </c>
      <c r="D6301" s="1" t="s">
        <v>427</v>
      </c>
      <c r="E6301" s="3">
        <v>320.23</v>
      </c>
      <c r="F6301" s="3">
        <f t="shared" si="196"/>
        <v>80.922121000000018</v>
      </c>
      <c r="G6301" s="3">
        <f t="shared" si="197"/>
        <v>401.15212100000002</v>
      </c>
    </row>
    <row r="6302" spans="1:7" x14ac:dyDescent="0.3">
      <c r="A6302" t="s">
        <v>13039</v>
      </c>
      <c r="B6302" t="s">
        <v>12641</v>
      </c>
      <c r="C6302" t="s">
        <v>12642</v>
      </c>
      <c r="D6302" s="1" t="s">
        <v>427</v>
      </c>
      <c r="E6302" s="3">
        <v>157.24</v>
      </c>
      <c r="F6302" s="3">
        <f t="shared" si="196"/>
        <v>39.734548000000011</v>
      </c>
      <c r="G6302" s="3">
        <f t="shared" si="197"/>
        <v>196.97454800000003</v>
      </c>
    </row>
    <row r="6303" spans="1:7" x14ac:dyDescent="0.3">
      <c r="A6303" t="s">
        <v>13039</v>
      </c>
      <c r="B6303" t="s">
        <v>12643</v>
      </c>
      <c r="C6303" t="s">
        <v>12644</v>
      </c>
      <c r="D6303" s="1" t="s">
        <v>195</v>
      </c>
      <c r="E6303" s="3">
        <v>1061.17</v>
      </c>
      <c r="F6303" s="3">
        <f t="shared" si="196"/>
        <v>268.15765900000008</v>
      </c>
      <c r="G6303" s="3">
        <f t="shared" si="197"/>
        <v>1329.327659</v>
      </c>
    </row>
    <row r="6304" spans="1:7" x14ac:dyDescent="0.3">
      <c r="A6304" t="s">
        <v>13039</v>
      </c>
      <c r="B6304" t="s">
        <v>12645</v>
      </c>
      <c r="C6304" t="s">
        <v>12646</v>
      </c>
      <c r="D6304" s="1" t="s">
        <v>195</v>
      </c>
      <c r="E6304" s="3">
        <v>929.36</v>
      </c>
      <c r="F6304" s="3">
        <f t="shared" si="196"/>
        <v>234.84927200000004</v>
      </c>
      <c r="G6304" s="3">
        <f t="shared" si="197"/>
        <v>1164.2092720000001</v>
      </c>
    </row>
    <row r="6305" spans="1:7" x14ac:dyDescent="0.3">
      <c r="A6305" t="s">
        <v>13039</v>
      </c>
      <c r="B6305" t="s">
        <v>12647</v>
      </c>
      <c r="C6305" t="s">
        <v>12648</v>
      </c>
      <c r="D6305" s="1" t="s">
        <v>195</v>
      </c>
      <c r="E6305" s="3">
        <v>1135.02</v>
      </c>
      <c r="F6305" s="3">
        <f t="shared" si="196"/>
        <v>286.81955400000004</v>
      </c>
      <c r="G6305" s="3">
        <f t="shared" si="197"/>
        <v>1421.8395540000001</v>
      </c>
    </row>
    <row r="6306" spans="1:7" x14ac:dyDescent="0.3">
      <c r="A6306" t="s">
        <v>13039</v>
      </c>
      <c r="B6306" t="s">
        <v>12649</v>
      </c>
      <c r="C6306" t="s">
        <v>12650</v>
      </c>
      <c r="D6306" s="1" t="s">
        <v>195</v>
      </c>
      <c r="E6306" s="3">
        <v>989.34</v>
      </c>
      <c r="F6306" s="3">
        <f t="shared" si="196"/>
        <v>250.00621800000005</v>
      </c>
      <c r="G6306" s="3">
        <f t="shared" si="197"/>
        <v>1239.3462180000001</v>
      </c>
    </row>
    <row r="6307" spans="1:7" x14ac:dyDescent="0.3">
      <c r="A6307" t="s">
        <v>13039</v>
      </c>
      <c r="B6307" t="s">
        <v>12651</v>
      </c>
      <c r="C6307" t="s">
        <v>12652</v>
      </c>
      <c r="D6307" s="1" t="s">
        <v>195</v>
      </c>
      <c r="E6307" s="3">
        <v>1786.75</v>
      </c>
      <c r="F6307" s="3">
        <f t="shared" si="196"/>
        <v>451.51172500000007</v>
      </c>
      <c r="G6307" s="3">
        <f t="shared" si="197"/>
        <v>2238.2617250000003</v>
      </c>
    </row>
    <row r="6308" spans="1:7" x14ac:dyDescent="0.3">
      <c r="A6308" t="s">
        <v>13039</v>
      </c>
      <c r="B6308" t="s">
        <v>12653</v>
      </c>
      <c r="C6308" t="s">
        <v>12654</v>
      </c>
      <c r="D6308" s="1" t="s">
        <v>195</v>
      </c>
      <c r="E6308" s="3">
        <v>1557.83</v>
      </c>
      <c r="F6308" s="3">
        <f t="shared" si="196"/>
        <v>393.66364100000004</v>
      </c>
      <c r="G6308" s="3">
        <f t="shared" si="197"/>
        <v>1951.493641</v>
      </c>
    </row>
    <row r="6309" spans="1:7" x14ac:dyDescent="0.3">
      <c r="A6309" t="s">
        <v>13039</v>
      </c>
      <c r="B6309" t="s">
        <v>12655</v>
      </c>
      <c r="C6309" t="s">
        <v>12656</v>
      </c>
      <c r="D6309" s="1" t="s">
        <v>195</v>
      </c>
      <c r="E6309" s="3">
        <v>1506.52</v>
      </c>
      <c r="F6309" s="3">
        <f t="shared" si="196"/>
        <v>380.69760400000007</v>
      </c>
      <c r="G6309" s="3">
        <f t="shared" si="197"/>
        <v>1887.2176039999999</v>
      </c>
    </row>
    <row r="6310" spans="1:7" x14ac:dyDescent="0.3">
      <c r="A6310" t="s">
        <v>13039</v>
      </c>
      <c r="B6310" t="s">
        <v>12657</v>
      </c>
      <c r="C6310" t="s">
        <v>12658</v>
      </c>
      <c r="D6310" s="1" t="s">
        <v>195</v>
      </c>
      <c r="E6310" s="3">
        <v>1277.5899999999999</v>
      </c>
      <c r="F6310" s="3">
        <f t="shared" si="196"/>
        <v>322.846993</v>
      </c>
      <c r="G6310" s="3">
        <f t="shared" si="197"/>
        <v>1600.4369929999998</v>
      </c>
    </row>
    <row r="6311" spans="1:7" x14ac:dyDescent="0.3">
      <c r="A6311" t="s">
        <v>13039</v>
      </c>
      <c r="B6311" t="s">
        <v>12659</v>
      </c>
      <c r="C6311" t="s">
        <v>12660</v>
      </c>
      <c r="D6311" s="1" t="s">
        <v>195</v>
      </c>
      <c r="E6311" s="3">
        <v>1220.06</v>
      </c>
      <c r="F6311" s="3">
        <f t="shared" si="196"/>
        <v>308.30916200000001</v>
      </c>
      <c r="G6311" s="3">
        <f t="shared" si="197"/>
        <v>1528.369162</v>
      </c>
    </row>
    <row r="6312" spans="1:7" x14ac:dyDescent="0.3">
      <c r="A6312" t="s">
        <v>13039</v>
      </c>
      <c r="B6312" t="s">
        <v>12661</v>
      </c>
      <c r="C6312" t="s">
        <v>12662</v>
      </c>
      <c r="D6312" s="1" t="s">
        <v>195</v>
      </c>
      <c r="E6312" s="3">
        <v>1062.24</v>
      </c>
      <c r="F6312" s="3">
        <f t="shared" si="196"/>
        <v>268.42804800000005</v>
      </c>
      <c r="G6312" s="3">
        <f t="shared" si="197"/>
        <v>1330.668048</v>
      </c>
    </row>
    <row r="6313" spans="1:7" x14ac:dyDescent="0.3">
      <c r="A6313" t="s">
        <v>13039</v>
      </c>
      <c r="B6313" t="s">
        <v>12663</v>
      </c>
      <c r="C6313" t="s">
        <v>12664</v>
      </c>
      <c r="D6313" s="1" t="s">
        <v>195</v>
      </c>
      <c r="E6313" s="3">
        <v>1877.62</v>
      </c>
      <c r="F6313" s="3">
        <f t="shared" si="196"/>
        <v>474.47457400000002</v>
      </c>
      <c r="G6313" s="3">
        <f t="shared" si="197"/>
        <v>2352.0945739999997</v>
      </c>
    </row>
    <row r="6314" spans="1:7" x14ac:dyDescent="0.3">
      <c r="A6314" t="s">
        <v>13039</v>
      </c>
      <c r="B6314" t="s">
        <v>12665</v>
      </c>
      <c r="C6314" t="s">
        <v>12666</v>
      </c>
      <c r="D6314" s="1" t="s">
        <v>195</v>
      </c>
      <c r="E6314" s="3">
        <v>1631.35</v>
      </c>
      <c r="F6314" s="3">
        <f t="shared" si="196"/>
        <v>412.24214500000005</v>
      </c>
      <c r="G6314" s="3">
        <f t="shared" si="197"/>
        <v>2043.5921450000001</v>
      </c>
    </row>
    <row r="6315" spans="1:7" x14ac:dyDescent="0.3">
      <c r="A6315" t="s">
        <v>13039</v>
      </c>
      <c r="B6315" t="s">
        <v>12667</v>
      </c>
      <c r="C6315" t="s">
        <v>12668</v>
      </c>
      <c r="D6315" s="1" t="s">
        <v>195</v>
      </c>
      <c r="E6315" s="3">
        <v>1606.65</v>
      </c>
      <c r="F6315" s="3">
        <f t="shared" si="196"/>
        <v>406.0004550000001</v>
      </c>
      <c r="G6315" s="3">
        <f t="shared" si="197"/>
        <v>2012.6504550000002</v>
      </c>
    </row>
    <row r="6316" spans="1:7" x14ac:dyDescent="0.3">
      <c r="A6316" t="s">
        <v>13039</v>
      </c>
      <c r="B6316" t="s">
        <v>12669</v>
      </c>
      <c r="C6316" t="s">
        <v>12670</v>
      </c>
      <c r="D6316" s="1" t="s">
        <v>195</v>
      </c>
      <c r="E6316" s="3">
        <v>1360.38</v>
      </c>
      <c r="F6316" s="3">
        <f t="shared" si="196"/>
        <v>343.76802600000008</v>
      </c>
      <c r="G6316" s="3">
        <f t="shared" si="197"/>
        <v>1704.1480260000003</v>
      </c>
    </row>
    <row r="6317" spans="1:7" x14ac:dyDescent="0.3">
      <c r="A6317" t="s">
        <v>13039</v>
      </c>
      <c r="B6317" t="s">
        <v>12671</v>
      </c>
      <c r="C6317" t="s">
        <v>12672</v>
      </c>
      <c r="D6317" s="1" t="s">
        <v>195</v>
      </c>
      <c r="E6317" s="3">
        <v>1309.9000000000001</v>
      </c>
      <c r="F6317" s="3">
        <f t="shared" si="196"/>
        <v>331.01173000000006</v>
      </c>
      <c r="G6317" s="3">
        <f t="shared" si="197"/>
        <v>1640.9117300000003</v>
      </c>
    </row>
    <row r="6318" spans="1:7" x14ac:dyDescent="0.3">
      <c r="A6318" t="s">
        <v>13039</v>
      </c>
      <c r="B6318" t="s">
        <v>12673</v>
      </c>
      <c r="C6318" t="s">
        <v>12674</v>
      </c>
      <c r="D6318" s="1" t="s">
        <v>195</v>
      </c>
      <c r="E6318" s="3">
        <v>1138.21</v>
      </c>
      <c r="F6318" s="3">
        <f t="shared" si="196"/>
        <v>287.62566700000008</v>
      </c>
      <c r="G6318" s="3">
        <f t="shared" si="197"/>
        <v>1425.8356670000001</v>
      </c>
    </row>
    <row r="6319" spans="1:7" x14ac:dyDescent="0.3">
      <c r="A6319" t="s">
        <v>13039</v>
      </c>
      <c r="B6319" t="s">
        <v>12675</v>
      </c>
      <c r="C6319" t="s">
        <v>12676</v>
      </c>
      <c r="D6319" s="1" t="s">
        <v>195</v>
      </c>
      <c r="E6319" s="3">
        <v>1907.11</v>
      </c>
      <c r="F6319" s="3">
        <f t="shared" si="196"/>
        <v>481.92669700000005</v>
      </c>
      <c r="G6319" s="3">
        <f t="shared" si="197"/>
        <v>2389.036697</v>
      </c>
    </row>
    <row r="6320" spans="1:7" x14ac:dyDescent="0.3">
      <c r="A6320" t="s">
        <v>13039</v>
      </c>
      <c r="B6320" t="s">
        <v>12677</v>
      </c>
      <c r="C6320" t="s">
        <v>12678</v>
      </c>
      <c r="D6320" s="1" t="s">
        <v>195</v>
      </c>
      <c r="E6320" s="3">
        <v>1643.49</v>
      </c>
      <c r="F6320" s="3">
        <f t="shared" si="196"/>
        <v>415.30992300000008</v>
      </c>
      <c r="G6320" s="3">
        <f t="shared" si="197"/>
        <v>2058.799923</v>
      </c>
    </row>
    <row r="6321" spans="1:7" x14ac:dyDescent="0.3">
      <c r="A6321" t="s">
        <v>13039</v>
      </c>
      <c r="B6321" t="s">
        <v>12679</v>
      </c>
      <c r="C6321" t="s">
        <v>12680</v>
      </c>
      <c r="D6321" s="1" t="s">
        <v>195</v>
      </c>
      <c r="E6321" s="3">
        <v>1706.77</v>
      </c>
      <c r="F6321" s="3">
        <f t="shared" si="196"/>
        <v>431.30077900000003</v>
      </c>
      <c r="G6321" s="3">
        <f t="shared" si="197"/>
        <v>2138.0707790000001</v>
      </c>
    </row>
    <row r="6322" spans="1:7" x14ac:dyDescent="0.3">
      <c r="A6322" t="s">
        <v>13039</v>
      </c>
      <c r="B6322" t="s">
        <v>12681</v>
      </c>
      <c r="C6322" t="s">
        <v>12682</v>
      </c>
      <c r="D6322" s="1" t="s">
        <v>195</v>
      </c>
      <c r="E6322" s="3">
        <v>1443.15</v>
      </c>
      <c r="F6322" s="3">
        <f t="shared" si="196"/>
        <v>364.68400500000007</v>
      </c>
      <c r="G6322" s="3">
        <f t="shared" si="197"/>
        <v>1807.8340050000002</v>
      </c>
    </row>
    <row r="6323" spans="1:7" x14ac:dyDescent="0.3">
      <c r="A6323" t="s">
        <v>13039</v>
      </c>
      <c r="B6323" t="s">
        <v>12683</v>
      </c>
      <c r="C6323" t="s">
        <v>12684</v>
      </c>
      <c r="D6323" s="1" t="s">
        <v>195</v>
      </c>
      <c r="E6323" s="3">
        <v>1431.09</v>
      </c>
      <c r="F6323" s="3">
        <f t="shared" si="196"/>
        <v>361.63644300000004</v>
      </c>
      <c r="G6323" s="3">
        <f t="shared" si="197"/>
        <v>1792.726443</v>
      </c>
    </row>
    <row r="6324" spans="1:7" x14ac:dyDescent="0.3">
      <c r="A6324" t="s">
        <v>13039</v>
      </c>
      <c r="B6324" t="s">
        <v>12685</v>
      </c>
      <c r="C6324" t="s">
        <v>12686</v>
      </c>
      <c r="D6324" s="1" t="s">
        <v>195</v>
      </c>
      <c r="E6324" s="3">
        <v>1245.52</v>
      </c>
      <c r="F6324" s="3">
        <f t="shared" si="196"/>
        <v>314.74290400000007</v>
      </c>
      <c r="G6324" s="3">
        <f t="shared" si="197"/>
        <v>1560.2629040000002</v>
      </c>
    </row>
    <row r="6325" spans="1:7" x14ac:dyDescent="0.3">
      <c r="A6325" t="s">
        <v>13039</v>
      </c>
      <c r="B6325" t="s">
        <v>12687</v>
      </c>
      <c r="C6325" t="s">
        <v>12688</v>
      </c>
      <c r="D6325" s="1" t="s">
        <v>195</v>
      </c>
      <c r="E6325" s="3">
        <v>1369.18</v>
      </c>
      <c r="F6325" s="3">
        <f t="shared" si="196"/>
        <v>345.99178600000005</v>
      </c>
      <c r="G6325" s="3">
        <f t="shared" si="197"/>
        <v>1715.1717860000001</v>
      </c>
    </row>
    <row r="6326" spans="1:7" x14ac:dyDescent="0.3">
      <c r="A6326" t="s">
        <v>13039</v>
      </c>
      <c r="B6326" t="s">
        <v>12689</v>
      </c>
      <c r="C6326" t="s">
        <v>12690</v>
      </c>
      <c r="D6326" s="1" t="s">
        <v>195</v>
      </c>
      <c r="E6326" s="3">
        <v>1183.6099999999999</v>
      </c>
      <c r="F6326" s="3">
        <f t="shared" si="196"/>
        <v>299.09824700000001</v>
      </c>
      <c r="G6326" s="3">
        <f t="shared" si="197"/>
        <v>1482.708247</v>
      </c>
    </row>
    <row r="6327" spans="1:7" x14ac:dyDescent="0.3">
      <c r="A6327" t="s">
        <v>13039</v>
      </c>
      <c r="B6327" t="s">
        <v>12691</v>
      </c>
      <c r="C6327" t="s">
        <v>12692</v>
      </c>
      <c r="D6327" s="1" t="s">
        <v>195</v>
      </c>
      <c r="E6327" s="3">
        <v>1730.89</v>
      </c>
      <c r="F6327" s="3">
        <f t="shared" si="196"/>
        <v>437.39590300000009</v>
      </c>
      <c r="G6327" s="3">
        <f t="shared" si="197"/>
        <v>2168.285903</v>
      </c>
    </row>
    <row r="6328" spans="1:7" x14ac:dyDescent="0.3">
      <c r="A6328" t="s">
        <v>13039</v>
      </c>
      <c r="B6328" t="s">
        <v>12693</v>
      </c>
      <c r="C6328" t="s">
        <v>12694</v>
      </c>
      <c r="D6328" s="1" t="s">
        <v>195</v>
      </c>
      <c r="E6328" s="3">
        <v>1484.75</v>
      </c>
      <c r="F6328" s="3">
        <f t="shared" si="196"/>
        <v>375.19632500000006</v>
      </c>
      <c r="G6328" s="3">
        <f t="shared" si="197"/>
        <v>1859.9463250000001</v>
      </c>
    </row>
    <row r="6329" spans="1:7" x14ac:dyDescent="0.3">
      <c r="A6329" t="s">
        <v>13039</v>
      </c>
      <c r="B6329" t="s">
        <v>12695</v>
      </c>
      <c r="C6329" t="s">
        <v>12696</v>
      </c>
      <c r="D6329" s="1" t="s">
        <v>195</v>
      </c>
      <c r="E6329" s="3">
        <v>1994.07</v>
      </c>
      <c r="F6329" s="3">
        <f t="shared" si="196"/>
        <v>503.90148900000008</v>
      </c>
      <c r="G6329" s="3">
        <f t="shared" si="197"/>
        <v>2497.971489</v>
      </c>
    </row>
    <row r="6330" spans="1:7" x14ac:dyDescent="0.3">
      <c r="A6330" t="s">
        <v>13039</v>
      </c>
      <c r="B6330" t="s">
        <v>12697</v>
      </c>
      <c r="C6330" t="s">
        <v>12698</v>
      </c>
      <c r="D6330" s="1" t="s">
        <v>195</v>
      </c>
      <c r="E6330" s="3">
        <v>1766.7</v>
      </c>
      <c r="F6330" s="3">
        <f t="shared" si="196"/>
        <v>446.44509000000005</v>
      </c>
      <c r="G6330" s="3">
        <f t="shared" si="197"/>
        <v>2213.14509</v>
      </c>
    </row>
    <row r="6331" spans="1:7" x14ac:dyDescent="0.3">
      <c r="A6331" t="s">
        <v>13039</v>
      </c>
      <c r="B6331" t="s">
        <v>12699</v>
      </c>
      <c r="C6331" t="s">
        <v>12700</v>
      </c>
      <c r="D6331" s="1" t="s">
        <v>195</v>
      </c>
      <c r="E6331" s="3">
        <v>1369.18</v>
      </c>
      <c r="F6331" s="3">
        <f t="shared" si="196"/>
        <v>345.99178600000005</v>
      </c>
      <c r="G6331" s="3">
        <f t="shared" si="197"/>
        <v>1715.1717860000001</v>
      </c>
    </row>
    <row r="6332" spans="1:7" x14ac:dyDescent="0.3">
      <c r="A6332" t="s">
        <v>13039</v>
      </c>
      <c r="B6332" t="s">
        <v>12701</v>
      </c>
      <c r="C6332" t="s">
        <v>12702</v>
      </c>
      <c r="D6332" s="1" t="s">
        <v>195</v>
      </c>
      <c r="E6332" s="3">
        <v>1183.6099999999999</v>
      </c>
      <c r="F6332" s="3">
        <f t="shared" si="196"/>
        <v>299.09824700000001</v>
      </c>
      <c r="G6332" s="3">
        <f t="shared" si="197"/>
        <v>1482.708247</v>
      </c>
    </row>
    <row r="6333" spans="1:7" x14ac:dyDescent="0.3">
      <c r="A6333" t="s">
        <v>13039</v>
      </c>
      <c r="B6333" t="s">
        <v>12703</v>
      </c>
      <c r="C6333" t="s">
        <v>12704</v>
      </c>
      <c r="D6333" s="1" t="s">
        <v>195</v>
      </c>
      <c r="E6333" s="3">
        <v>1488.17</v>
      </c>
      <c r="F6333" s="3">
        <f t="shared" si="196"/>
        <v>376.06055900000007</v>
      </c>
      <c r="G6333" s="3">
        <f t="shared" si="197"/>
        <v>1864.2305590000001</v>
      </c>
    </row>
    <row r="6334" spans="1:7" x14ac:dyDescent="0.3">
      <c r="A6334" t="s">
        <v>13039</v>
      </c>
      <c r="B6334" t="s">
        <v>12705</v>
      </c>
      <c r="C6334" t="s">
        <v>12706</v>
      </c>
      <c r="D6334" s="1" t="s">
        <v>195</v>
      </c>
      <c r="E6334" s="3">
        <v>1305.27</v>
      </c>
      <c r="F6334" s="3">
        <f t="shared" si="196"/>
        <v>329.84172900000004</v>
      </c>
      <c r="G6334" s="3">
        <f t="shared" si="197"/>
        <v>1635.111729</v>
      </c>
    </row>
    <row r="6335" spans="1:7" x14ac:dyDescent="0.3">
      <c r="A6335" t="s">
        <v>13039</v>
      </c>
      <c r="B6335" t="s">
        <v>12707</v>
      </c>
      <c r="C6335" t="s">
        <v>12708</v>
      </c>
      <c r="D6335" s="1" t="s">
        <v>195</v>
      </c>
      <c r="E6335" s="3">
        <v>1833.64</v>
      </c>
      <c r="F6335" s="3">
        <f t="shared" si="196"/>
        <v>463.36082800000008</v>
      </c>
      <c r="G6335" s="3">
        <f t="shared" si="197"/>
        <v>2297.0008280000002</v>
      </c>
    </row>
    <row r="6336" spans="1:7" x14ac:dyDescent="0.3">
      <c r="A6336" t="s">
        <v>13039</v>
      </c>
      <c r="B6336" t="s">
        <v>12709</v>
      </c>
      <c r="C6336" t="s">
        <v>12710</v>
      </c>
      <c r="D6336" s="1" t="s">
        <v>195</v>
      </c>
      <c r="E6336" s="3">
        <v>1587.5</v>
      </c>
      <c r="F6336" s="3">
        <f t="shared" si="196"/>
        <v>401.16125000000005</v>
      </c>
      <c r="G6336" s="3">
        <f t="shared" si="197"/>
        <v>1988.6612500000001</v>
      </c>
    </row>
    <row r="6337" spans="1:7" x14ac:dyDescent="0.3">
      <c r="A6337" t="s">
        <v>13039</v>
      </c>
      <c r="B6337" t="s">
        <v>12711</v>
      </c>
      <c r="C6337" t="s">
        <v>12712</v>
      </c>
      <c r="D6337" s="1" t="s">
        <v>195</v>
      </c>
      <c r="E6337" s="3">
        <v>2096.17</v>
      </c>
      <c r="F6337" s="3">
        <f t="shared" si="196"/>
        <v>529.70215900000005</v>
      </c>
      <c r="G6337" s="3">
        <f t="shared" si="197"/>
        <v>2625.872159</v>
      </c>
    </row>
    <row r="6338" spans="1:7" x14ac:dyDescent="0.3">
      <c r="A6338" t="s">
        <v>13039</v>
      </c>
      <c r="B6338" t="s">
        <v>12713</v>
      </c>
      <c r="C6338" t="s">
        <v>12714</v>
      </c>
      <c r="D6338" s="1" t="s">
        <v>195</v>
      </c>
      <c r="E6338" s="3">
        <v>1858.57</v>
      </c>
      <c r="F6338" s="3">
        <f t="shared" si="196"/>
        <v>469.66063900000006</v>
      </c>
      <c r="G6338" s="3">
        <f t="shared" si="197"/>
        <v>2328.2306389999999</v>
      </c>
    </row>
    <row r="6339" spans="1:7" x14ac:dyDescent="0.3">
      <c r="A6339" t="s">
        <v>13039</v>
      </c>
      <c r="B6339" t="s">
        <v>12715</v>
      </c>
      <c r="C6339" t="s">
        <v>12716</v>
      </c>
      <c r="D6339" s="1" t="s">
        <v>195</v>
      </c>
      <c r="E6339" s="3">
        <v>1763.56</v>
      </c>
      <c r="F6339" s="3">
        <f t="shared" si="196"/>
        <v>445.65161200000006</v>
      </c>
      <c r="G6339" s="3">
        <f t="shared" si="197"/>
        <v>2209.2116120000001</v>
      </c>
    </row>
    <row r="6340" spans="1:7" x14ac:dyDescent="0.3">
      <c r="A6340" t="s">
        <v>13039</v>
      </c>
      <c r="B6340" t="s">
        <v>12717</v>
      </c>
      <c r="C6340" t="s">
        <v>12718</v>
      </c>
      <c r="D6340" s="1" t="s">
        <v>195</v>
      </c>
      <c r="E6340" s="3">
        <v>1525.96</v>
      </c>
      <c r="F6340" s="3">
        <f t="shared" si="196"/>
        <v>385.61009200000007</v>
      </c>
      <c r="G6340" s="3">
        <f t="shared" si="197"/>
        <v>1911.5700920000002</v>
      </c>
    </row>
    <row r="6341" spans="1:7" x14ac:dyDescent="0.3">
      <c r="A6341" t="s">
        <v>13039</v>
      </c>
      <c r="B6341" t="s">
        <v>12719</v>
      </c>
      <c r="C6341" t="s">
        <v>12720</v>
      </c>
      <c r="D6341" s="1" t="s">
        <v>195</v>
      </c>
      <c r="E6341" s="3">
        <v>2873.98</v>
      </c>
      <c r="F6341" s="3">
        <f t="shared" si="196"/>
        <v>726.25474600000007</v>
      </c>
      <c r="G6341" s="3">
        <f t="shared" si="197"/>
        <v>3600.2347460000001</v>
      </c>
    </row>
    <row r="6342" spans="1:7" x14ac:dyDescent="0.3">
      <c r="A6342" t="s">
        <v>13039</v>
      </c>
      <c r="B6342" t="s">
        <v>12721</v>
      </c>
      <c r="C6342" t="s">
        <v>12722</v>
      </c>
      <c r="D6342" s="1" t="s">
        <v>195</v>
      </c>
      <c r="E6342" s="3">
        <v>2591.08</v>
      </c>
      <c r="F6342" s="3">
        <f t="shared" si="196"/>
        <v>654.76591600000006</v>
      </c>
      <c r="G6342" s="3">
        <f t="shared" si="197"/>
        <v>3245.8459160000002</v>
      </c>
    </row>
    <row r="6343" spans="1:7" x14ac:dyDescent="0.3">
      <c r="A6343" t="s">
        <v>13039</v>
      </c>
      <c r="B6343" t="s">
        <v>12723</v>
      </c>
      <c r="C6343" t="s">
        <v>12724</v>
      </c>
      <c r="D6343" s="1" t="s">
        <v>195</v>
      </c>
      <c r="E6343" s="3">
        <v>3399.66</v>
      </c>
      <c r="F6343" s="3">
        <f t="shared" ref="F6343:F6406" si="198">+E6343*$F$4</f>
        <v>859.09408200000007</v>
      </c>
      <c r="G6343" s="3">
        <f t="shared" ref="G6343:G6406" si="199">+E6343+F6343</f>
        <v>4258.7540819999995</v>
      </c>
    </row>
    <row r="6344" spans="1:7" x14ac:dyDescent="0.3">
      <c r="A6344" t="s">
        <v>13039</v>
      </c>
      <c r="B6344" t="s">
        <v>12725</v>
      </c>
      <c r="C6344" t="s">
        <v>12726</v>
      </c>
      <c r="D6344" s="1" t="s">
        <v>195</v>
      </c>
      <c r="E6344" s="3">
        <v>3041.43</v>
      </c>
      <c r="F6344" s="3">
        <f t="shared" si="198"/>
        <v>768.56936100000007</v>
      </c>
      <c r="G6344" s="3">
        <f t="shared" si="199"/>
        <v>3809.9993610000001</v>
      </c>
    </row>
    <row r="6345" spans="1:7" x14ac:dyDescent="0.3">
      <c r="A6345" t="s">
        <v>13039</v>
      </c>
      <c r="B6345" t="s">
        <v>12727</v>
      </c>
      <c r="C6345" t="s">
        <v>12728</v>
      </c>
      <c r="D6345" s="1" t="s">
        <v>195</v>
      </c>
      <c r="E6345" s="3">
        <v>2019.43</v>
      </c>
      <c r="F6345" s="3">
        <f t="shared" si="198"/>
        <v>510.3099610000001</v>
      </c>
      <c r="G6345" s="3">
        <f t="shared" si="199"/>
        <v>2529.7399610000002</v>
      </c>
    </row>
    <row r="6346" spans="1:7" x14ac:dyDescent="0.3">
      <c r="A6346" t="s">
        <v>13039</v>
      </c>
      <c r="B6346" t="s">
        <v>12729</v>
      </c>
      <c r="C6346" t="s">
        <v>12730</v>
      </c>
      <c r="D6346" s="1" t="s">
        <v>195</v>
      </c>
      <c r="E6346" s="3">
        <v>1785.26</v>
      </c>
      <c r="F6346" s="3">
        <f t="shared" si="198"/>
        <v>451.13520200000005</v>
      </c>
      <c r="G6346" s="3">
        <f t="shared" si="199"/>
        <v>2236.3952020000002</v>
      </c>
    </row>
    <row r="6347" spans="1:7" x14ac:dyDescent="0.3">
      <c r="A6347" t="s">
        <v>13039</v>
      </c>
      <c r="B6347" t="s">
        <v>12731</v>
      </c>
      <c r="C6347" t="s">
        <v>12732</v>
      </c>
      <c r="D6347" s="1" t="s">
        <v>195</v>
      </c>
      <c r="E6347" s="3">
        <v>2435.31</v>
      </c>
      <c r="F6347" s="3">
        <f t="shared" si="198"/>
        <v>615.40283700000009</v>
      </c>
      <c r="G6347" s="3">
        <f t="shared" si="199"/>
        <v>3050.712837</v>
      </c>
    </row>
    <row r="6348" spans="1:7" x14ac:dyDescent="0.3">
      <c r="A6348" t="s">
        <v>13039</v>
      </c>
      <c r="B6348" t="s">
        <v>12733</v>
      </c>
      <c r="C6348" t="s">
        <v>12734</v>
      </c>
      <c r="D6348" s="1" t="s">
        <v>195</v>
      </c>
      <c r="E6348" s="3">
        <v>2120.8000000000002</v>
      </c>
      <c r="F6348" s="3">
        <f t="shared" si="198"/>
        <v>535.9261600000001</v>
      </c>
      <c r="G6348" s="3">
        <f t="shared" si="199"/>
        <v>2656.7261600000002</v>
      </c>
    </row>
    <row r="6349" spans="1:7" x14ac:dyDescent="0.3">
      <c r="A6349" t="s">
        <v>13039</v>
      </c>
      <c r="B6349" t="s">
        <v>12735</v>
      </c>
      <c r="C6349" t="s">
        <v>12736</v>
      </c>
      <c r="D6349" s="1" t="s">
        <v>195</v>
      </c>
      <c r="E6349" s="3">
        <v>2648.9</v>
      </c>
      <c r="F6349" s="3">
        <f t="shared" si="198"/>
        <v>669.3770300000001</v>
      </c>
      <c r="G6349" s="3">
        <f t="shared" si="199"/>
        <v>3318.2770300000002</v>
      </c>
    </row>
    <row r="6350" spans="1:7" x14ac:dyDescent="0.3">
      <c r="A6350" t="s">
        <v>13039</v>
      </c>
      <c r="B6350" t="s">
        <v>12737</v>
      </c>
      <c r="C6350" t="s">
        <v>12738</v>
      </c>
      <c r="D6350" s="1" t="s">
        <v>195</v>
      </c>
      <c r="E6350" s="3">
        <v>2358.36</v>
      </c>
      <c r="F6350" s="3">
        <f t="shared" si="198"/>
        <v>595.95757200000014</v>
      </c>
      <c r="G6350" s="3">
        <f t="shared" si="199"/>
        <v>2954.3175720000004</v>
      </c>
    </row>
    <row r="6351" spans="1:7" x14ac:dyDescent="0.3">
      <c r="A6351" t="s">
        <v>13039</v>
      </c>
      <c r="B6351" t="s">
        <v>12739</v>
      </c>
      <c r="C6351" t="s">
        <v>12740</v>
      </c>
      <c r="D6351" s="1" t="s">
        <v>195</v>
      </c>
      <c r="E6351" s="3">
        <v>2862.7</v>
      </c>
      <c r="F6351" s="3">
        <f t="shared" si="198"/>
        <v>723.40429000000006</v>
      </c>
      <c r="G6351" s="3">
        <f t="shared" si="199"/>
        <v>3586.1042899999998</v>
      </c>
    </row>
    <row r="6352" spans="1:7" x14ac:dyDescent="0.3">
      <c r="A6352" t="s">
        <v>13039</v>
      </c>
      <c r="B6352" t="s">
        <v>12741</v>
      </c>
      <c r="C6352" t="s">
        <v>12742</v>
      </c>
      <c r="D6352" s="1" t="s">
        <v>195</v>
      </c>
      <c r="E6352" s="3">
        <v>2573.0700000000002</v>
      </c>
      <c r="F6352" s="3">
        <f t="shared" si="198"/>
        <v>650.21478900000011</v>
      </c>
      <c r="G6352" s="3">
        <f t="shared" si="199"/>
        <v>3223.2847890000003</v>
      </c>
    </row>
    <row r="6353" spans="1:7" x14ac:dyDescent="0.3">
      <c r="A6353" t="s">
        <v>13039</v>
      </c>
      <c r="B6353" t="s">
        <v>12743</v>
      </c>
      <c r="C6353" t="s">
        <v>12744</v>
      </c>
      <c r="D6353" s="1" t="s">
        <v>195</v>
      </c>
      <c r="E6353" s="3">
        <v>2339.9</v>
      </c>
      <c r="F6353" s="3">
        <f t="shared" si="198"/>
        <v>591.29273000000012</v>
      </c>
      <c r="G6353" s="3">
        <f t="shared" si="199"/>
        <v>2931.1927300000002</v>
      </c>
    </row>
    <row r="6354" spans="1:7" x14ac:dyDescent="0.3">
      <c r="A6354" t="s">
        <v>13039</v>
      </c>
      <c r="B6354" t="s">
        <v>12745</v>
      </c>
      <c r="C6354" t="s">
        <v>12746</v>
      </c>
      <c r="D6354" s="1" t="s">
        <v>195</v>
      </c>
      <c r="E6354" s="3">
        <v>2050.27</v>
      </c>
      <c r="F6354" s="3">
        <f t="shared" si="198"/>
        <v>518.10322900000006</v>
      </c>
      <c r="G6354" s="3">
        <f t="shared" si="199"/>
        <v>2568.3732289999998</v>
      </c>
    </row>
    <row r="6355" spans="1:7" x14ac:dyDescent="0.3">
      <c r="A6355" t="s">
        <v>13039</v>
      </c>
      <c r="B6355" t="s">
        <v>12747</v>
      </c>
      <c r="C6355" t="s">
        <v>12748</v>
      </c>
      <c r="D6355" s="1" t="s">
        <v>195</v>
      </c>
      <c r="E6355" s="3">
        <v>4212.9799999999996</v>
      </c>
      <c r="F6355" s="3">
        <f t="shared" si="198"/>
        <v>1064.620046</v>
      </c>
      <c r="G6355" s="3">
        <f t="shared" si="199"/>
        <v>5277.6000459999996</v>
      </c>
    </row>
    <row r="6356" spans="1:7" x14ac:dyDescent="0.3">
      <c r="A6356" t="s">
        <v>13039</v>
      </c>
      <c r="B6356" t="s">
        <v>12749</v>
      </c>
      <c r="C6356" t="s">
        <v>12750</v>
      </c>
      <c r="D6356" s="1" t="s">
        <v>195</v>
      </c>
      <c r="E6356" s="3">
        <v>3777.86</v>
      </c>
      <c r="F6356" s="3">
        <f t="shared" si="198"/>
        <v>954.6652220000002</v>
      </c>
      <c r="G6356" s="3">
        <f t="shared" si="199"/>
        <v>4732.5252220000002</v>
      </c>
    </row>
    <row r="6357" spans="1:7" x14ac:dyDescent="0.3">
      <c r="A6357" t="s">
        <v>13039</v>
      </c>
      <c r="B6357" t="s">
        <v>12751</v>
      </c>
      <c r="C6357" t="s">
        <v>12752</v>
      </c>
      <c r="D6357" s="1" t="s">
        <v>195</v>
      </c>
      <c r="E6357" s="3">
        <v>4797.18</v>
      </c>
      <c r="F6357" s="3">
        <f t="shared" si="198"/>
        <v>1212.2473860000002</v>
      </c>
      <c r="G6357" s="3">
        <f t="shared" si="199"/>
        <v>6009.4273860000003</v>
      </c>
    </row>
    <row r="6358" spans="1:7" x14ac:dyDescent="0.3">
      <c r="A6358" t="s">
        <v>13039</v>
      </c>
      <c r="B6358" t="s">
        <v>12753</v>
      </c>
      <c r="C6358" t="s">
        <v>12754</v>
      </c>
      <c r="D6358" s="1" t="s">
        <v>195</v>
      </c>
      <c r="E6358" s="3">
        <v>4362.07</v>
      </c>
      <c r="F6358" s="3">
        <f t="shared" si="198"/>
        <v>1102.2950890000002</v>
      </c>
      <c r="G6358" s="3">
        <f t="shared" si="199"/>
        <v>5464.3650889999999</v>
      </c>
    </row>
    <row r="6359" spans="1:7" x14ac:dyDescent="0.3">
      <c r="A6359" t="s">
        <v>13039</v>
      </c>
      <c r="B6359" t="s">
        <v>12755</v>
      </c>
      <c r="C6359" t="s">
        <v>12756</v>
      </c>
      <c r="D6359" s="1" t="s">
        <v>195</v>
      </c>
      <c r="E6359" s="3">
        <v>2987.41</v>
      </c>
      <c r="F6359" s="3">
        <f t="shared" si="198"/>
        <v>754.91850700000009</v>
      </c>
      <c r="G6359" s="3">
        <f t="shared" si="199"/>
        <v>3742.3285070000002</v>
      </c>
    </row>
    <row r="6360" spans="1:7" x14ac:dyDescent="0.3">
      <c r="A6360" t="s">
        <v>13039</v>
      </c>
      <c r="B6360" t="s">
        <v>12757</v>
      </c>
      <c r="C6360" t="s">
        <v>12758</v>
      </c>
      <c r="D6360" s="1" t="s">
        <v>195</v>
      </c>
      <c r="E6360" s="3">
        <v>2604.5300000000002</v>
      </c>
      <c r="F6360" s="3">
        <f t="shared" si="198"/>
        <v>658.16473100000019</v>
      </c>
      <c r="G6360" s="3">
        <f t="shared" si="199"/>
        <v>3262.6947310000005</v>
      </c>
    </row>
    <row r="6361" spans="1:7" x14ac:dyDescent="0.3">
      <c r="A6361" t="s">
        <v>13039</v>
      </c>
      <c r="B6361" t="s">
        <v>12759</v>
      </c>
      <c r="C6361" t="s">
        <v>12760</v>
      </c>
      <c r="D6361" s="1" t="s">
        <v>195</v>
      </c>
      <c r="E6361" s="3">
        <v>3428.41</v>
      </c>
      <c r="F6361" s="3">
        <f t="shared" si="198"/>
        <v>866.35920700000008</v>
      </c>
      <c r="G6361" s="3">
        <f t="shared" si="199"/>
        <v>4294.7692070000003</v>
      </c>
    </row>
    <row r="6362" spans="1:7" x14ac:dyDescent="0.3">
      <c r="A6362" t="s">
        <v>13039</v>
      </c>
      <c r="B6362" t="s">
        <v>12761</v>
      </c>
      <c r="C6362" t="s">
        <v>12762</v>
      </c>
      <c r="D6362" s="1" t="s">
        <v>195</v>
      </c>
      <c r="E6362" s="3">
        <v>3074.71</v>
      </c>
      <c r="F6362" s="3">
        <f t="shared" si="198"/>
        <v>776.97921700000006</v>
      </c>
      <c r="G6362" s="3">
        <f t="shared" si="199"/>
        <v>3851.6892170000001</v>
      </c>
    </row>
    <row r="6363" spans="1:7" x14ac:dyDescent="0.3">
      <c r="A6363" t="s">
        <v>13039</v>
      </c>
      <c r="B6363" t="s">
        <v>12763</v>
      </c>
      <c r="C6363" t="s">
        <v>12764</v>
      </c>
      <c r="D6363" s="1" t="s">
        <v>195</v>
      </c>
      <c r="E6363" s="3">
        <v>3822.65</v>
      </c>
      <c r="F6363" s="3">
        <f t="shared" si="198"/>
        <v>965.98365500000011</v>
      </c>
      <c r="G6363" s="3">
        <f t="shared" si="199"/>
        <v>4788.6336550000005</v>
      </c>
    </row>
    <row r="6364" spans="1:7" x14ac:dyDescent="0.3">
      <c r="A6364" t="s">
        <v>13039</v>
      </c>
      <c r="B6364" t="s">
        <v>12765</v>
      </c>
      <c r="C6364" t="s">
        <v>12766</v>
      </c>
      <c r="D6364" s="1" t="s">
        <v>195</v>
      </c>
      <c r="E6364" s="3">
        <v>3478.25</v>
      </c>
      <c r="F6364" s="3">
        <f t="shared" si="198"/>
        <v>878.95377500000018</v>
      </c>
      <c r="G6364" s="3">
        <f t="shared" si="199"/>
        <v>4357.203775</v>
      </c>
    </row>
    <row r="6365" spans="1:7" x14ac:dyDescent="0.3">
      <c r="A6365" t="s">
        <v>13039</v>
      </c>
      <c r="B6365" t="s">
        <v>12767</v>
      </c>
      <c r="C6365" t="s">
        <v>12768</v>
      </c>
      <c r="D6365" s="1" t="s">
        <v>195</v>
      </c>
      <c r="E6365" s="3">
        <v>3683.92</v>
      </c>
      <c r="F6365" s="3">
        <f t="shared" si="198"/>
        <v>930.92658400000016</v>
      </c>
      <c r="G6365" s="3">
        <f t="shared" si="199"/>
        <v>4614.8465839999999</v>
      </c>
    </row>
    <row r="6366" spans="1:7" x14ac:dyDescent="0.3">
      <c r="A6366" t="s">
        <v>13039</v>
      </c>
      <c r="B6366" t="s">
        <v>12769</v>
      </c>
      <c r="C6366" t="s">
        <v>12770</v>
      </c>
      <c r="D6366" s="1" t="s">
        <v>195</v>
      </c>
      <c r="E6366" s="3">
        <v>3347.19</v>
      </c>
      <c r="F6366" s="3">
        <f t="shared" si="198"/>
        <v>845.83491300000014</v>
      </c>
      <c r="G6366" s="3">
        <f t="shared" si="199"/>
        <v>4193.0249130000002</v>
      </c>
    </row>
    <row r="6367" spans="1:7" x14ac:dyDescent="0.3">
      <c r="A6367" t="s">
        <v>13039</v>
      </c>
      <c r="B6367" t="s">
        <v>12771</v>
      </c>
      <c r="C6367" t="s">
        <v>12772</v>
      </c>
      <c r="D6367" s="1" t="s">
        <v>195</v>
      </c>
      <c r="E6367" s="3">
        <v>3133.56</v>
      </c>
      <c r="F6367" s="3">
        <f t="shared" si="198"/>
        <v>791.85061200000007</v>
      </c>
      <c r="G6367" s="3">
        <f t="shared" si="199"/>
        <v>3925.4106120000001</v>
      </c>
    </row>
    <row r="6368" spans="1:7" x14ac:dyDescent="0.3">
      <c r="A6368" t="s">
        <v>13039</v>
      </c>
      <c r="B6368" t="s">
        <v>12773</v>
      </c>
      <c r="C6368" t="s">
        <v>12774</v>
      </c>
      <c r="D6368" s="1" t="s">
        <v>195</v>
      </c>
      <c r="E6368" s="3">
        <v>2796.82</v>
      </c>
      <c r="F6368" s="3">
        <f t="shared" si="198"/>
        <v>706.75641400000018</v>
      </c>
      <c r="G6368" s="3">
        <f t="shared" si="199"/>
        <v>3503.5764140000001</v>
      </c>
    </row>
    <row r="6369" spans="1:7" x14ac:dyDescent="0.3">
      <c r="A6369" t="s">
        <v>13039</v>
      </c>
      <c r="B6369" t="s">
        <v>12775</v>
      </c>
      <c r="C6369" t="s">
        <v>12776</v>
      </c>
      <c r="D6369" s="1" t="s">
        <v>195</v>
      </c>
      <c r="E6369" s="3">
        <v>5941.14</v>
      </c>
      <c r="F6369" s="3">
        <f t="shared" si="198"/>
        <v>1501.3260780000003</v>
      </c>
      <c r="G6369" s="3">
        <f t="shared" si="199"/>
        <v>7442.4660780000004</v>
      </c>
    </row>
    <row r="6370" spans="1:7" x14ac:dyDescent="0.3">
      <c r="A6370" t="s">
        <v>13039</v>
      </c>
      <c r="B6370" t="s">
        <v>12777</v>
      </c>
      <c r="C6370" t="s">
        <v>12778</v>
      </c>
      <c r="D6370" s="1" t="s">
        <v>195</v>
      </c>
      <c r="E6370" s="3">
        <v>5429.15</v>
      </c>
      <c r="F6370" s="3">
        <f t="shared" si="198"/>
        <v>1371.9462050000002</v>
      </c>
      <c r="G6370" s="3">
        <f t="shared" si="199"/>
        <v>6801.0962049999998</v>
      </c>
    </row>
    <row r="6371" spans="1:7" x14ac:dyDescent="0.3">
      <c r="A6371" t="s">
        <v>13039</v>
      </c>
      <c r="B6371" t="s">
        <v>12779</v>
      </c>
      <c r="C6371" t="s">
        <v>12780</v>
      </c>
      <c r="D6371" s="1" t="s">
        <v>195</v>
      </c>
      <c r="E6371" s="3">
        <v>6586.06</v>
      </c>
      <c r="F6371" s="3">
        <f t="shared" si="198"/>
        <v>1664.2973620000002</v>
      </c>
      <c r="G6371" s="3">
        <f t="shared" si="199"/>
        <v>8250.3573620000006</v>
      </c>
    </row>
    <row r="6372" spans="1:7" x14ac:dyDescent="0.3">
      <c r="A6372" t="s">
        <v>13039</v>
      </c>
      <c r="B6372" t="s">
        <v>12781</v>
      </c>
      <c r="C6372" t="s">
        <v>12782</v>
      </c>
      <c r="D6372" s="1" t="s">
        <v>195</v>
      </c>
      <c r="E6372" s="3">
        <v>6074.08</v>
      </c>
      <c r="F6372" s="3">
        <f t="shared" si="198"/>
        <v>1534.9200160000003</v>
      </c>
      <c r="G6372" s="3">
        <f t="shared" si="199"/>
        <v>7609.000016</v>
      </c>
    </row>
    <row r="6373" spans="1:7" x14ac:dyDescent="0.3">
      <c r="A6373" t="s">
        <v>13039</v>
      </c>
      <c r="B6373" t="s">
        <v>12783</v>
      </c>
      <c r="C6373" t="s">
        <v>12784</v>
      </c>
      <c r="D6373" s="1" t="s">
        <v>195</v>
      </c>
      <c r="E6373" s="3">
        <v>3934.73</v>
      </c>
      <c r="F6373" s="3">
        <f t="shared" si="198"/>
        <v>994.30627100000015</v>
      </c>
      <c r="G6373" s="3">
        <f t="shared" si="199"/>
        <v>4929.0362709999999</v>
      </c>
    </row>
    <row r="6374" spans="1:7" x14ac:dyDescent="0.3">
      <c r="A6374" t="s">
        <v>13039</v>
      </c>
      <c r="B6374" t="s">
        <v>12785</v>
      </c>
      <c r="C6374" t="s">
        <v>12786</v>
      </c>
      <c r="D6374" s="1" t="s">
        <v>195</v>
      </c>
      <c r="E6374" s="3">
        <v>3483.47</v>
      </c>
      <c r="F6374" s="3">
        <f t="shared" si="198"/>
        <v>880.27286900000013</v>
      </c>
      <c r="G6374" s="3">
        <f t="shared" si="199"/>
        <v>4363.7428689999997</v>
      </c>
    </row>
    <row r="6375" spans="1:7" x14ac:dyDescent="0.3">
      <c r="A6375" t="s">
        <v>13039</v>
      </c>
      <c r="B6375" t="s">
        <v>12787</v>
      </c>
      <c r="C6375" t="s">
        <v>12788</v>
      </c>
      <c r="D6375" s="1" t="s">
        <v>195</v>
      </c>
      <c r="E6375" s="3">
        <v>4740.17</v>
      </c>
      <c r="F6375" s="3">
        <f t="shared" si="198"/>
        <v>1197.8409590000001</v>
      </c>
      <c r="G6375" s="3">
        <f t="shared" si="199"/>
        <v>5938.0109590000002</v>
      </c>
    </row>
    <row r="6376" spans="1:7" x14ac:dyDescent="0.3">
      <c r="A6376" t="s">
        <v>13039</v>
      </c>
      <c r="B6376" t="s">
        <v>12789</v>
      </c>
      <c r="C6376" t="s">
        <v>12790</v>
      </c>
      <c r="D6376" s="1" t="s">
        <v>195</v>
      </c>
      <c r="E6376" s="3">
        <v>4334.2700000000004</v>
      </c>
      <c r="F6376" s="3">
        <f t="shared" si="198"/>
        <v>1095.2700290000002</v>
      </c>
      <c r="G6376" s="3">
        <f t="shared" si="199"/>
        <v>5429.5400290000007</v>
      </c>
    </row>
    <row r="6377" spans="1:7" x14ac:dyDescent="0.3">
      <c r="A6377" t="s">
        <v>13039</v>
      </c>
      <c r="B6377" t="s">
        <v>12791</v>
      </c>
      <c r="C6377" t="s">
        <v>12792</v>
      </c>
      <c r="D6377" s="1" t="s">
        <v>195</v>
      </c>
      <c r="E6377" s="3">
        <v>5368.61</v>
      </c>
      <c r="F6377" s="3">
        <f t="shared" si="198"/>
        <v>1356.6477470000002</v>
      </c>
      <c r="G6377" s="3">
        <f t="shared" si="199"/>
        <v>6725.2577469999997</v>
      </c>
    </row>
    <row r="6378" spans="1:7" x14ac:dyDescent="0.3">
      <c r="A6378" t="s">
        <v>13039</v>
      </c>
      <c r="B6378" t="s">
        <v>12793</v>
      </c>
      <c r="C6378" t="s">
        <v>12794</v>
      </c>
      <c r="D6378" s="1" t="s">
        <v>195</v>
      </c>
      <c r="E6378" s="3">
        <v>4856.62</v>
      </c>
      <c r="F6378" s="3">
        <f t="shared" si="198"/>
        <v>1227.2678740000001</v>
      </c>
      <c r="G6378" s="3">
        <f t="shared" si="199"/>
        <v>6083.887874</v>
      </c>
    </row>
    <row r="6379" spans="1:7" x14ac:dyDescent="0.3">
      <c r="A6379" t="s">
        <v>13039</v>
      </c>
      <c r="B6379" t="s">
        <v>12795</v>
      </c>
      <c r="C6379" t="s">
        <v>12796</v>
      </c>
      <c r="D6379" s="1" t="s">
        <v>195</v>
      </c>
      <c r="E6379" s="3">
        <v>1333.88</v>
      </c>
      <c r="F6379" s="3">
        <f t="shared" si="198"/>
        <v>337.07147600000008</v>
      </c>
      <c r="G6379" s="3">
        <f t="shared" si="199"/>
        <v>1670.9514760000002</v>
      </c>
    </row>
    <row r="6380" spans="1:7" x14ac:dyDescent="0.3">
      <c r="A6380" t="s">
        <v>13039</v>
      </c>
      <c r="B6380" t="s">
        <v>12797</v>
      </c>
      <c r="C6380" t="s">
        <v>12798</v>
      </c>
      <c r="D6380" s="1" t="s">
        <v>195</v>
      </c>
      <c r="E6380" s="3">
        <v>1153.7</v>
      </c>
      <c r="F6380" s="3">
        <f t="shared" si="198"/>
        <v>291.53999000000005</v>
      </c>
      <c r="G6380" s="3">
        <f t="shared" si="199"/>
        <v>1445.23999</v>
      </c>
    </row>
    <row r="6381" spans="1:7" x14ac:dyDescent="0.3">
      <c r="A6381" t="s">
        <v>13039</v>
      </c>
      <c r="B6381" t="s">
        <v>12799</v>
      </c>
      <c r="C6381" t="s">
        <v>12800</v>
      </c>
      <c r="D6381" s="1" t="s">
        <v>195</v>
      </c>
      <c r="E6381" s="3">
        <v>1452.26</v>
      </c>
      <c r="F6381" s="3">
        <f t="shared" si="198"/>
        <v>366.98610200000007</v>
      </c>
      <c r="G6381" s="3">
        <f t="shared" si="199"/>
        <v>1819.2461020000001</v>
      </c>
    </row>
    <row r="6382" spans="1:7" x14ac:dyDescent="0.3">
      <c r="A6382" t="s">
        <v>13039</v>
      </c>
      <c r="B6382" t="s">
        <v>12801</v>
      </c>
      <c r="C6382" t="s">
        <v>12802</v>
      </c>
      <c r="D6382" s="1" t="s">
        <v>195</v>
      </c>
      <c r="E6382" s="3">
        <v>1246.75</v>
      </c>
      <c r="F6382" s="3">
        <f t="shared" si="198"/>
        <v>315.05372500000004</v>
      </c>
      <c r="G6382" s="3">
        <f t="shared" si="199"/>
        <v>1561.803725</v>
      </c>
    </row>
    <row r="6383" spans="1:7" x14ac:dyDescent="0.3">
      <c r="A6383" t="s">
        <v>13039</v>
      </c>
      <c r="B6383" t="s">
        <v>12803</v>
      </c>
      <c r="C6383" t="s">
        <v>12804</v>
      </c>
      <c r="D6383" s="1" t="s">
        <v>195</v>
      </c>
      <c r="E6383" s="3">
        <v>2149.92</v>
      </c>
      <c r="F6383" s="3">
        <f t="shared" si="198"/>
        <v>543.28478400000006</v>
      </c>
      <c r="G6383" s="3">
        <f t="shared" si="199"/>
        <v>2693.204784</v>
      </c>
    </row>
    <row r="6384" spans="1:7" x14ac:dyDescent="0.3">
      <c r="A6384" t="s">
        <v>13039</v>
      </c>
      <c r="B6384" t="s">
        <v>12805</v>
      </c>
      <c r="C6384" t="s">
        <v>12806</v>
      </c>
      <c r="D6384" s="1" t="s">
        <v>195</v>
      </c>
      <c r="E6384" s="3">
        <v>1859.17</v>
      </c>
      <c r="F6384" s="3">
        <f t="shared" si="198"/>
        <v>469.8122590000001</v>
      </c>
      <c r="G6384" s="3">
        <f t="shared" si="199"/>
        <v>2328.9822590000003</v>
      </c>
    </row>
    <row r="6385" spans="1:7" x14ac:dyDescent="0.3">
      <c r="A6385" t="s">
        <v>13039</v>
      </c>
      <c r="B6385" t="s">
        <v>12807</v>
      </c>
      <c r="C6385" t="s">
        <v>12808</v>
      </c>
      <c r="D6385" s="1" t="s">
        <v>195</v>
      </c>
      <c r="E6385" s="3">
        <v>1869.69</v>
      </c>
      <c r="F6385" s="3">
        <f t="shared" si="198"/>
        <v>472.47066300000006</v>
      </c>
      <c r="G6385" s="3">
        <f t="shared" si="199"/>
        <v>2342.1606630000001</v>
      </c>
    </row>
    <row r="6386" spans="1:7" x14ac:dyDescent="0.3">
      <c r="A6386" t="s">
        <v>13039</v>
      </c>
      <c r="B6386" t="s">
        <v>12809</v>
      </c>
      <c r="C6386" t="s">
        <v>12810</v>
      </c>
      <c r="D6386" s="1" t="s">
        <v>195</v>
      </c>
      <c r="E6386" s="3">
        <v>1578.93</v>
      </c>
      <c r="F6386" s="3">
        <f t="shared" si="198"/>
        <v>398.99561100000005</v>
      </c>
      <c r="G6386" s="3">
        <f t="shared" si="199"/>
        <v>1977.9256110000001</v>
      </c>
    </row>
    <row r="6387" spans="1:7" x14ac:dyDescent="0.3">
      <c r="A6387" t="s">
        <v>13039</v>
      </c>
      <c r="B6387" t="s">
        <v>12811</v>
      </c>
      <c r="C6387" t="s">
        <v>12812</v>
      </c>
      <c r="D6387" s="1" t="s">
        <v>195</v>
      </c>
      <c r="E6387" s="3">
        <v>1626.05</v>
      </c>
      <c r="F6387" s="3">
        <f t="shared" si="198"/>
        <v>410.90283500000004</v>
      </c>
      <c r="G6387" s="3">
        <f t="shared" si="199"/>
        <v>2036.9528350000001</v>
      </c>
    </row>
    <row r="6388" spans="1:7" x14ac:dyDescent="0.3">
      <c r="A6388" t="s">
        <v>13039</v>
      </c>
      <c r="B6388" t="s">
        <v>12813</v>
      </c>
      <c r="C6388" t="s">
        <v>12814</v>
      </c>
      <c r="D6388" s="1" t="s">
        <v>195</v>
      </c>
      <c r="E6388" s="3">
        <v>1393.78</v>
      </c>
      <c r="F6388" s="3">
        <f t="shared" si="198"/>
        <v>352.20820600000002</v>
      </c>
      <c r="G6388" s="3">
        <f t="shared" si="199"/>
        <v>1745.988206</v>
      </c>
    </row>
    <row r="6389" spans="1:7" x14ac:dyDescent="0.3">
      <c r="A6389" t="s">
        <v>13039</v>
      </c>
      <c r="B6389" t="s">
        <v>12815</v>
      </c>
      <c r="C6389" t="s">
        <v>12816</v>
      </c>
      <c r="D6389" s="1" t="s">
        <v>195</v>
      </c>
      <c r="E6389" s="3">
        <v>2313.39</v>
      </c>
      <c r="F6389" s="3">
        <f t="shared" si="198"/>
        <v>584.59365300000002</v>
      </c>
      <c r="G6389" s="3">
        <f t="shared" si="199"/>
        <v>2897.9836529999998</v>
      </c>
    </row>
    <row r="6390" spans="1:7" x14ac:dyDescent="0.3">
      <c r="A6390" t="s">
        <v>13039</v>
      </c>
      <c r="B6390" t="s">
        <v>12817</v>
      </c>
      <c r="C6390" t="s">
        <v>12818</v>
      </c>
      <c r="D6390" s="1" t="s">
        <v>195</v>
      </c>
      <c r="E6390" s="3">
        <v>1992.35</v>
      </c>
      <c r="F6390" s="3">
        <f t="shared" si="198"/>
        <v>503.46684500000003</v>
      </c>
      <c r="G6390" s="3">
        <f t="shared" si="199"/>
        <v>2495.8168449999998</v>
      </c>
    </row>
    <row r="6391" spans="1:7" x14ac:dyDescent="0.3">
      <c r="A6391" t="s">
        <v>13039</v>
      </c>
      <c r="B6391" t="s">
        <v>12819</v>
      </c>
      <c r="C6391" t="s">
        <v>12820</v>
      </c>
      <c r="D6391" s="1" t="s">
        <v>195</v>
      </c>
      <c r="E6391" s="3">
        <v>2042.42</v>
      </c>
      <c r="F6391" s="3">
        <f t="shared" si="198"/>
        <v>516.11953400000004</v>
      </c>
      <c r="G6391" s="3">
        <f t="shared" si="199"/>
        <v>2558.539534</v>
      </c>
    </row>
    <row r="6392" spans="1:7" x14ac:dyDescent="0.3">
      <c r="A6392" t="s">
        <v>13039</v>
      </c>
      <c r="B6392" t="s">
        <v>12821</v>
      </c>
      <c r="C6392" t="s">
        <v>12822</v>
      </c>
      <c r="D6392" s="1" t="s">
        <v>195</v>
      </c>
      <c r="E6392" s="3">
        <v>1721.38</v>
      </c>
      <c r="F6392" s="3">
        <f t="shared" si="198"/>
        <v>434.99272600000006</v>
      </c>
      <c r="G6392" s="3">
        <f t="shared" si="199"/>
        <v>2156.3727260000001</v>
      </c>
    </row>
    <row r="6393" spans="1:7" x14ac:dyDescent="0.3">
      <c r="A6393" t="s">
        <v>13039</v>
      </c>
      <c r="B6393" t="s">
        <v>12823</v>
      </c>
      <c r="C6393" t="s">
        <v>12824</v>
      </c>
      <c r="D6393" s="1" t="s">
        <v>195</v>
      </c>
      <c r="E6393" s="3">
        <v>1788.15</v>
      </c>
      <c r="F6393" s="3">
        <f t="shared" si="198"/>
        <v>451.8655050000001</v>
      </c>
      <c r="G6393" s="3">
        <f t="shared" si="199"/>
        <v>2240.0155050000003</v>
      </c>
    </row>
    <row r="6394" spans="1:7" x14ac:dyDescent="0.3">
      <c r="A6394" t="s">
        <v>13039</v>
      </c>
      <c r="B6394" t="s">
        <v>12825</v>
      </c>
      <c r="C6394" t="s">
        <v>12826</v>
      </c>
      <c r="D6394" s="1" t="s">
        <v>195</v>
      </c>
      <c r="E6394" s="3">
        <v>1528.87</v>
      </c>
      <c r="F6394" s="3">
        <f t="shared" si="198"/>
        <v>386.34544900000003</v>
      </c>
      <c r="G6394" s="3">
        <f t="shared" si="199"/>
        <v>1915.2154489999998</v>
      </c>
    </row>
    <row r="6395" spans="1:7" x14ac:dyDescent="0.3">
      <c r="A6395" t="s">
        <v>13039</v>
      </c>
      <c r="B6395" t="s">
        <v>12827</v>
      </c>
      <c r="C6395" t="s">
        <v>12828</v>
      </c>
      <c r="D6395" s="1" t="s">
        <v>195</v>
      </c>
      <c r="E6395" s="3">
        <v>2419.7199999999998</v>
      </c>
      <c r="F6395" s="3">
        <f t="shared" si="198"/>
        <v>611.46324400000003</v>
      </c>
      <c r="G6395" s="3">
        <f t="shared" si="199"/>
        <v>3031.1832439999998</v>
      </c>
    </row>
    <row r="6396" spans="1:7" x14ac:dyDescent="0.3">
      <c r="A6396" t="s">
        <v>13039</v>
      </c>
      <c r="B6396" t="s">
        <v>12829</v>
      </c>
      <c r="C6396" t="s">
        <v>12830</v>
      </c>
      <c r="D6396" s="1" t="s">
        <v>195</v>
      </c>
      <c r="E6396" s="3">
        <v>2066.5</v>
      </c>
      <c r="F6396" s="3">
        <f t="shared" si="198"/>
        <v>522.20455000000004</v>
      </c>
      <c r="G6396" s="3">
        <f t="shared" si="199"/>
        <v>2588.7045499999999</v>
      </c>
    </row>
    <row r="6397" spans="1:7" x14ac:dyDescent="0.3">
      <c r="A6397" t="s">
        <v>13039</v>
      </c>
      <c r="B6397" t="s">
        <v>12831</v>
      </c>
      <c r="C6397" t="s">
        <v>12832</v>
      </c>
      <c r="D6397" s="1" t="s">
        <v>195</v>
      </c>
      <c r="E6397" s="3">
        <v>2219.38</v>
      </c>
      <c r="F6397" s="3">
        <f t="shared" si="198"/>
        <v>560.83732600000008</v>
      </c>
      <c r="G6397" s="3">
        <f t="shared" si="199"/>
        <v>2780.217326</v>
      </c>
    </row>
    <row r="6398" spans="1:7" x14ac:dyDescent="0.3">
      <c r="A6398" t="s">
        <v>13039</v>
      </c>
      <c r="B6398" t="s">
        <v>12833</v>
      </c>
      <c r="C6398" t="s">
        <v>12834</v>
      </c>
      <c r="D6398" s="1" t="s">
        <v>195</v>
      </c>
      <c r="E6398" s="3">
        <v>1866.16</v>
      </c>
      <c r="F6398" s="3">
        <f t="shared" si="198"/>
        <v>471.57863200000008</v>
      </c>
      <c r="G6398" s="3">
        <f t="shared" si="199"/>
        <v>2337.7386320000001</v>
      </c>
    </row>
    <row r="6399" spans="1:7" x14ac:dyDescent="0.3">
      <c r="A6399" t="s">
        <v>13039</v>
      </c>
      <c r="B6399" t="s">
        <v>12835</v>
      </c>
      <c r="C6399" t="s">
        <v>12836</v>
      </c>
      <c r="D6399" s="1" t="s">
        <v>195</v>
      </c>
      <c r="E6399" s="3">
        <v>1773.78</v>
      </c>
      <c r="F6399" s="3">
        <f t="shared" si="198"/>
        <v>448.23420600000003</v>
      </c>
      <c r="G6399" s="3">
        <f t="shared" si="199"/>
        <v>2222.0142059999998</v>
      </c>
    </row>
    <row r="6400" spans="1:7" x14ac:dyDescent="0.3">
      <c r="A6400" t="s">
        <v>13039</v>
      </c>
      <c r="B6400" t="s">
        <v>12837</v>
      </c>
      <c r="C6400" t="s">
        <v>12838</v>
      </c>
      <c r="D6400" s="1" t="s">
        <v>195</v>
      </c>
      <c r="E6400" s="3">
        <v>1539.4</v>
      </c>
      <c r="F6400" s="3">
        <f t="shared" si="198"/>
        <v>389.00638000000009</v>
      </c>
      <c r="G6400" s="3">
        <f t="shared" si="199"/>
        <v>1928.4063800000001</v>
      </c>
    </row>
    <row r="6401" spans="1:7" x14ac:dyDescent="0.3">
      <c r="A6401" t="s">
        <v>13039</v>
      </c>
      <c r="B6401" t="s">
        <v>12839</v>
      </c>
      <c r="C6401" t="s">
        <v>12840</v>
      </c>
      <c r="D6401" s="1" t="s">
        <v>195</v>
      </c>
      <c r="E6401" s="3">
        <v>1711.87</v>
      </c>
      <c r="F6401" s="3">
        <f t="shared" si="198"/>
        <v>432.58954900000003</v>
      </c>
      <c r="G6401" s="3">
        <f t="shared" si="199"/>
        <v>2144.4595490000002</v>
      </c>
    </row>
    <row r="6402" spans="1:7" x14ac:dyDescent="0.3">
      <c r="A6402" t="s">
        <v>13039</v>
      </c>
      <c r="B6402" t="s">
        <v>12841</v>
      </c>
      <c r="C6402" t="s">
        <v>12842</v>
      </c>
      <c r="D6402" s="1" t="s">
        <v>195</v>
      </c>
      <c r="E6402" s="3">
        <v>1477.49</v>
      </c>
      <c r="F6402" s="3">
        <f t="shared" si="198"/>
        <v>373.36172300000004</v>
      </c>
      <c r="G6402" s="3">
        <f t="shared" si="199"/>
        <v>1850.851723</v>
      </c>
    </row>
    <row r="6403" spans="1:7" x14ac:dyDescent="0.3">
      <c r="A6403" t="s">
        <v>13039</v>
      </c>
      <c r="B6403" t="s">
        <v>12843</v>
      </c>
      <c r="C6403" t="s">
        <v>12844</v>
      </c>
      <c r="D6403" s="1" t="s">
        <v>195</v>
      </c>
      <c r="E6403" s="3">
        <v>2079.8200000000002</v>
      </c>
      <c r="F6403" s="3">
        <f t="shared" si="198"/>
        <v>525.57051400000012</v>
      </c>
      <c r="G6403" s="3">
        <f t="shared" si="199"/>
        <v>2605.3905140000002</v>
      </c>
    </row>
    <row r="6404" spans="1:7" x14ac:dyDescent="0.3">
      <c r="A6404" t="s">
        <v>13039</v>
      </c>
      <c r="B6404" t="s">
        <v>12845</v>
      </c>
      <c r="C6404" t="s">
        <v>12846</v>
      </c>
      <c r="D6404" s="1" t="s">
        <v>195</v>
      </c>
      <c r="E6404" s="3">
        <v>1783.14</v>
      </c>
      <c r="F6404" s="3">
        <f t="shared" si="198"/>
        <v>450.59947800000009</v>
      </c>
      <c r="G6404" s="3">
        <f t="shared" si="199"/>
        <v>2233.7394780000004</v>
      </c>
    </row>
    <row r="6405" spans="1:7" x14ac:dyDescent="0.3">
      <c r="A6405" t="s">
        <v>13039</v>
      </c>
      <c r="B6405" t="s">
        <v>12847</v>
      </c>
      <c r="C6405" t="s">
        <v>12848</v>
      </c>
      <c r="D6405" s="1" t="s">
        <v>195</v>
      </c>
      <c r="E6405" s="3">
        <v>2343</v>
      </c>
      <c r="F6405" s="3">
        <f t="shared" si="198"/>
        <v>592.07610000000011</v>
      </c>
      <c r="G6405" s="3">
        <f t="shared" si="199"/>
        <v>2935.0761000000002</v>
      </c>
    </row>
    <row r="6406" spans="1:7" x14ac:dyDescent="0.3">
      <c r="A6406" t="s">
        <v>13039</v>
      </c>
      <c r="B6406" t="s">
        <v>12849</v>
      </c>
      <c r="C6406" t="s">
        <v>12850</v>
      </c>
      <c r="D6406" s="1" t="s">
        <v>195</v>
      </c>
      <c r="E6406" s="3">
        <v>2065.09</v>
      </c>
      <c r="F6406" s="3">
        <f t="shared" si="198"/>
        <v>521.84824300000014</v>
      </c>
      <c r="G6406" s="3">
        <f t="shared" si="199"/>
        <v>2586.9382430000005</v>
      </c>
    </row>
    <row r="6407" spans="1:7" x14ac:dyDescent="0.3">
      <c r="A6407" t="s">
        <v>13039</v>
      </c>
      <c r="B6407" t="s">
        <v>12851</v>
      </c>
      <c r="C6407" t="s">
        <v>12852</v>
      </c>
      <c r="D6407" s="1" t="s">
        <v>195</v>
      </c>
      <c r="E6407" s="3">
        <v>1711.87</v>
      </c>
      <c r="F6407" s="3">
        <f t="shared" ref="F6407:F6470" si="200">+E6407*$F$4</f>
        <v>432.58954900000003</v>
      </c>
      <c r="G6407" s="3">
        <f t="shared" ref="G6407:G6470" si="201">+E6407+F6407</f>
        <v>2144.4595490000002</v>
      </c>
    </row>
    <row r="6408" spans="1:7" x14ac:dyDescent="0.3">
      <c r="A6408" t="s">
        <v>13039</v>
      </c>
      <c r="B6408" t="s">
        <v>12853</v>
      </c>
      <c r="C6408" t="s">
        <v>12854</v>
      </c>
      <c r="D6408" s="1" t="s">
        <v>195</v>
      </c>
      <c r="E6408" s="3">
        <v>1477.49</v>
      </c>
      <c r="F6408" s="3">
        <f t="shared" si="200"/>
        <v>373.36172300000004</v>
      </c>
      <c r="G6408" s="3">
        <f t="shared" si="201"/>
        <v>1850.851723</v>
      </c>
    </row>
    <row r="6409" spans="1:7" x14ac:dyDescent="0.3">
      <c r="A6409" t="s">
        <v>13039</v>
      </c>
      <c r="B6409" t="s">
        <v>12855</v>
      </c>
      <c r="C6409" t="s">
        <v>12856</v>
      </c>
      <c r="D6409" s="1" t="s">
        <v>195</v>
      </c>
      <c r="E6409" s="3">
        <v>1830.86</v>
      </c>
      <c r="F6409" s="3">
        <f t="shared" si="200"/>
        <v>462.65832200000006</v>
      </c>
      <c r="G6409" s="3">
        <f t="shared" si="201"/>
        <v>2293.5183219999999</v>
      </c>
    </row>
    <row r="6410" spans="1:7" x14ac:dyDescent="0.3">
      <c r="A6410" t="s">
        <v>13039</v>
      </c>
      <c r="B6410" t="s">
        <v>12857</v>
      </c>
      <c r="C6410" t="s">
        <v>12858</v>
      </c>
      <c r="D6410" s="1" t="s">
        <v>195</v>
      </c>
      <c r="E6410" s="3">
        <v>1599.15</v>
      </c>
      <c r="F6410" s="3">
        <f t="shared" si="200"/>
        <v>404.10520500000007</v>
      </c>
      <c r="G6410" s="3">
        <f t="shared" si="201"/>
        <v>2003.2552050000002</v>
      </c>
    </row>
    <row r="6411" spans="1:7" x14ac:dyDescent="0.3">
      <c r="A6411" t="s">
        <v>13039</v>
      </c>
      <c r="B6411" t="s">
        <v>12859</v>
      </c>
      <c r="C6411" t="s">
        <v>12860</v>
      </c>
      <c r="D6411" s="1" t="s">
        <v>195</v>
      </c>
      <c r="E6411" s="3">
        <v>2182.5700000000002</v>
      </c>
      <c r="F6411" s="3">
        <f t="shared" si="200"/>
        <v>551.53543900000011</v>
      </c>
      <c r="G6411" s="3">
        <f t="shared" si="201"/>
        <v>2734.1054390000004</v>
      </c>
    </row>
    <row r="6412" spans="1:7" x14ac:dyDescent="0.3">
      <c r="A6412" t="s">
        <v>13039</v>
      </c>
      <c r="B6412" t="s">
        <v>12861</v>
      </c>
      <c r="C6412" t="s">
        <v>12862</v>
      </c>
      <c r="D6412" s="1" t="s">
        <v>195</v>
      </c>
      <c r="E6412" s="3">
        <v>1885.89</v>
      </c>
      <c r="F6412" s="3">
        <f t="shared" si="200"/>
        <v>476.56440300000008</v>
      </c>
      <c r="G6412" s="3">
        <f t="shared" si="201"/>
        <v>2362.4544030000002</v>
      </c>
    </row>
    <row r="6413" spans="1:7" x14ac:dyDescent="0.3">
      <c r="A6413" t="s">
        <v>13039</v>
      </c>
      <c r="B6413" t="s">
        <v>12863</v>
      </c>
      <c r="C6413" t="s">
        <v>12864</v>
      </c>
      <c r="D6413" s="1" t="s">
        <v>195</v>
      </c>
      <c r="E6413" s="3">
        <v>2509.7800000000002</v>
      </c>
      <c r="F6413" s="3">
        <f t="shared" si="200"/>
        <v>634.22140600000012</v>
      </c>
      <c r="G6413" s="3">
        <f t="shared" si="201"/>
        <v>3144.0014060000003</v>
      </c>
    </row>
    <row r="6414" spans="1:7" x14ac:dyDescent="0.3">
      <c r="A6414" t="s">
        <v>13039</v>
      </c>
      <c r="B6414" t="s">
        <v>12865</v>
      </c>
      <c r="C6414" t="s">
        <v>12866</v>
      </c>
      <c r="D6414" s="1" t="s">
        <v>195</v>
      </c>
      <c r="E6414" s="3">
        <v>2211.48</v>
      </c>
      <c r="F6414" s="3">
        <f t="shared" si="200"/>
        <v>558.84099600000013</v>
      </c>
      <c r="G6414" s="3">
        <f t="shared" si="201"/>
        <v>2770.3209960000004</v>
      </c>
    </row>
    <row r="6415" spans="1:7" x14ac:dyDescent="0.3">
      <c r="A6415" t="s">
        <v>13039</v>
      </c>
      <c r="B6415" t="s">
        <v>12867</v>
      </c>
      <c r="C6415" t="s">
        <v>12868</v>
      </c>
      <c r="D6415" s="1" t="s">
        <v>195</v>
      </c>
      <c r="E6415" s="3">
        <v>2177.17</v>
      </c>
      <c r="F6415" s="3">
        <f t="shared" si="200"/>
        <v>550.17085900000006</v>
      </c>
      <c r="G6415" s="3">
        <f t="shared" si="201"/>
        <v>2727.3408589999999</v>
      </c>
    </row>
    <row r="6416" spans="1:7" x14ac:dyDescent="0.3">
      <c r="A6416" t="s">
        <v>13039</v>
      </c>
      <c r="B6416" t="s">
        <v>12869</v>
      </c>
      <c r="C6416" t="s">
        <v>12870</v>
      </c>
      <c r="D6416" s="1" t="s">
        <v>195</v>
      </c>
      <c r="E6416" s="3">
        <v>1878.87</v>
      </c>
      <c r="F6416" s="3">
        <f t="shared" si="200"/>
        <v>474.79044900000002</v>
      </c>
      <c r="G6416" s="3">
        <f t="shared" si="201"/>
        <v>2353.660449</v>
      </c>
    </row>
    <row r="6417" spans="1:7" x14ac:dyDescent="0.3">
      <c r="A6417" t="s">
        <v>13039</v>
      </c>
      <c r="B6417" t="s">
        <v>12871</v>
      </c>
      <c r="C6417" t="s">
        <v>12872</v>
      </c>
      <c r="D6417" s="1" t="s">
        <v>195</v>
      </c>
      <c r="E6417" s="3">
        <v>3298.4</v>
      </c>
      <c r="F6417" s="3">
        <f t="shared" si="200"/>
        <v>833.5056800000001</v>
      </c>
      <c r="G6417" s="3">
        <f t="shared" si="201"/>
        <v>4131.9056799999998</v>
      </c>
    </row>
    <row r="6418" spans="1:7" x14ac:dyDescent="0.3">
      <c r="A6418" t="s">
        <v>13039</v>
      </c>
      <c r="B6418" t="s">
        <v>12873</v>
      </c>
      <c r="C6418" t="s">
        <v>12874</v>
      </c>
      <c r="D6418" s="1" t="s">
        <v>195</v>
      </c>
      <c r="E6418" s="3">
        <v>2951.38</v>
      </c>
      <c r="F6418" s="3">
        <f t="shared" si="200"/>
        <v>745.81372600000009</v>
      </c>
      <c r="G6418" s="3">
        <f t="shared" si="201"/>
        <v>3697.1937260000004</v>
      </c>
    </row>
    <row r="6419" spans="1:7" x14ac:dyDescent="0.3">
      <c r="A6419" t="s">
        <v>13039</v>
      </c>
      <c r="B6419" t="s">
        <v>12875</v>
      </c>
      <c r="C6419" t="s">
        <v>12876</v>
      </c>
      <c r="D6419" s="1" t="s">
        <v>195</v>
      </c>
      <c r="E6419" s="3">
        <v>3825.74</v>
      </c>
      <c r="F6419" s="3">
        <f t="shared" si="200"/>
        <v>966.76449800000012</v>
      </c>
      <c r="G6419" s="3">
        <f t="shared" si="201"/>
        <v>4792.5044980000002</v>
      </c>
    </row>
    <row r="6420" spans="1:7" x14ac:dyDescent="0.3">
      <c r="A6420" t="s">
        <v>13039</v>
      </c>
      <c r="B6420" t="s">
        <v>12877</v>
      </c>
      <c r="C6420" t="s">
        <v>12878</v>
      </c>
      <c r="D6420" s="1" t="s">
        <v>195</v>
      </c>
      <c r="E6420" s="3">
        <v>3403.35</v>
      </c>
      <c r="F6420" s="3">
        <f t="shared" si="200"/>
        <v>860.02654500000006</v>
      </c>
      <c r="G6420" s="3">
        <f t="shared" si="201"/>
        <v>4263.3765450000001</v>
      </c>
    </row>
    <row r="6421" spans="1:7" x14ac:dyDescent="0.3">
      <c r="A6421" t="s">
        <v>13039</v>
      </c>
      <c r="B6421" t="s">
        <v>12879</v>
      </c>
      <c r="C6421" t="s">
        <v>12880</v>
      </c>
      <c r="D6421" s="1" t="s">
        <v>195</v>
      </c>
      <c r="E6421" s="3">
        <v>2437.61</v>
      </c>
      <c r="F6421" s="3">
        <f t="shared" si="200"/>
        <v>615.98404700000015</v>
      </c>
      <c r="G6421" s="3">
        <f t="shared" si="201"/>
        <v>3053.5940470000005</v>
      </c>
    </row>
    <row r="6422" spans="1:7" x14ac:dyDescent="0.3">
      <c r="A6422" t="s">
        <v>13039</v>
      </c>
      <c r="B6422" t="s">
        <v>12881</v>
      </c>
      <c r="C6422" t="s">
        <v>12882</v>
      </c>
      <c r="D6422" s="1" t="s">
        <v>195</v>
      </c>
      <c r="E6422" s="3">
        <v>2141.06</v>
      </c>
      <c r="F6422" s="3">
        <f t="shared" si="200"/>
        <v>541.04586200000006</v>
      </c>
      <c r="G6422" s="3">
        <f t="shared" si="201"/>
        <v>2682.1058619999999</v>
      </c>
    </row>
    <row r="6423" spans="1:7" x14ac:dyDescent="0.3">
      <c r="A6423" t="s">
        <v>13039</v>
      </c>
      <c r="B6423" t="s">
        <v>12883</v>
      </c>
      <c r="C6423" t="s">
        <v>12884</v>
      </c>
      <c r="D6423" s="1" t="s">
        <v>195</v>
      </c>
      <c r="E6423" s="3">
        <v>2855.15</v>
      </c>
      <c r="F6423" s="3">
        <f t="shared" si="200"/>
        <v>721.4964050000001</v>
      </c>
      <c r="G6423" s="3">
        <f t="shared" si="201"/>
        <v>3576.6464050000004</v>
      </c>
    </row>
    <row r="6424" spans="1:7" x14ac:dyDescent="0.3">
      <c r="A6424" t="s">
        <v>13039</v>
      </c>
      <c r="B6424" t="s">
        <v>12885</v>
      </c>
      <c r="C6424" t="s">
        <v>12886</v>
      </c>
      <c r="D6424" s="1" t="s">
        <v>195</v>
      </c>
      <c r="E6424" s="3">
        <v>2478.21</v>
      </c>
      <c r="F6424" s="3">
        <f t="shared" si="200"/>
        <v>626.24366700000007</v>
      </c>
      <c r="G6424" s="3">
        <f t="shared" si="201"/>
        <v>3104.4536670000002</v>
      </c>
    </row>
    <row r="6425" spans="1:7" x14ac:dyDescent="0.3">
      <c r="A6425" t="s">
        <v>13039</v>
      </c>
      <c r="B6425" t="s">
        <v>12887</v>
      </c>
      <c r="C6425" t="s">
        <v>12888</v>
      </c>
      <c r="D6425" s="1" t="s">
        <v>195</v>
      </c>
      <c r="E6425" s="3">
        <v>3073.32</v>
      </c>
      <c r="F6425" s="3">
        <f t="shared" si="200"/>
        <v>776.62796400000013</v>
      </c>
      <c r="G6425" s="3">
        <f t="shared" si="201"/>
        <v>3849.9479640000004</v>
      </c>
    </row>
    <row r="6426" spans="1:7" x14ac:dyDescent="0.3">
      <c r="A6426" t="s">
        <v>13039</v>
      </c>
      <c r="B6426" t="s">
        <v>12889</v>
      </c>
      <c r="C6426" t="s">
        <v>12890</v>
      </c>
      <c r="D6426" s="1" t="s">
        <v>195</v>
      </c>
      <c r="E6426" s="3">
        <v>2718.66</v>
      </c>
      <c r="F6426" s="3">
        <f t="shared" si="200"/>
        <v>687.00538200000005</v>
      </c>
      <c r="G6426" s="3">
        <f t="shared" si="201"/>
        <v>3405.6653820000001</v>
      </c>
    </row>
    <row r="6427" spans="1:7" x14ac:dyDescent="0.3">
      <c r="A6427" t="s">
        <v>13039</v>
      </c>
      <c r="B6427" t="s">
        <v>12891</v>
      </c>
      <c r="C6427" t="s">
        <v>12892</v>
      </c>
      <c r="D6427" s="1" t="s">
        <v>195</v>
      </c>
      <c r="E6427" s="3">
        <v>3356.71</v>
      </c>
      <c r="F6427" s="3">
        <f t="shared" si="200"/>
        <v>848.24061700000016</v>
      </c>
      <c r="G6427" s="3">
        <f t="shared" si="201"/>
        <v>4204.9506170000004</v>
      </c>
    </row>
    <row r="6428" spans="1:7" x14ac:dyDescent="0.3">
      <c r="A6428" t="s">
        <v>13039</v>
      </c>
      <c r="B6428" t="s">
        <v>12893</v>
      </c>
      <c r="C6428" t="s">
        <v>12894</v>
      </c>
      <c r="D6428" s="1" t="s">
        <v>195</v>
      </c>
      <c r="E6428" s="3">
        <v>2991.33</v>
      </c>
      <c r="F6428" s="3">
        <f t="shared" si="200"/>
        <v>755.9090910000001</v>
      </c>
      <c r="G6428" s="3">
        <f t="shared" si="201"/>
        <v>3747.2390909999999</v>
      </c>
    </row>
    <row r="6429" spans="1:7" x14ac:dyDescent="0.3">
      <c r="A6429" t="s">
        <v>13039</v>
      </c>
      <c r="B6429" t="s">
        <v>12895</v>
      </c>
      <c r="C6429" t="s">
        <v>12896</v>
      </c>
      <c r="D6429" s="1" t="s">
        <v>195</v>
      </c>
      <c r="E6429" s="3">
        <v>2833.91</v>
      </c>
      <c r="F6429" s="3">
        <f t="shared" si="200"/>
        <v>716.1290570000001</v>
      </c>
      <c r="G6429" s="3">
        <f t="shared" si="201"/>
        <v>3550.039057</v>
      </c>
    </row>
    <row r="6430" spans="1:7" x14ac:dyDescent="0.3">
      <c r="A6430" t="s">
        <v>13039</v>
      </c>
      <c r="B6430" t="s">
        <v>12897</v>
      </c>
      <c r="C6430" t="s">
        <v>12898</v>
      </c>
      <c r="D6430" s="1" t="s">
        <v>195</v>
      </c>
      <c r="E6430" s="3">
        <v>2468.5300000000002</v>
      </c>
      <c r="F6430" s="3">
        <f t="shared" si="200"/>
        <v>623.79753100000016</v>
      </c>
      <c r="G6430" s="3">
        <f t="shared" si="201"/>
        <v>3092.3275310000004</v>
      </c>
    </row>
    <row r="6431" spans="1:7" x14ac:dyDescent="0.3">
      <c r="A6431" t="s">
        <v>13039</v>
      </c>
      <c r="B6431" t="s">
        <v>12899</v>
      </c>
      <c r="C6431" t="s">
        <v>12900</v>
      </c>
      <c r="D6431" s="1" t="s">
        <v>195</v>
      </c>
      <c r="E6431" s="3">
        <v>4719.47</v>
      </c>
      <c r="F6431" s="3">
        <f t="shared" si="200"/>
        <v>1192.6100690000003</v>
      </c>
      <c r="G6431" s="3">
        <f t="shared" si="201"/>
        <v>5912.0800690000005</v>
      </c>
    </row>
    <row r="6432" spans="1:7" x14ac:dyDescent="0.3">
      <c r="A6432" t="s">
        <v>13039</v>
      </c>
      <c r="B6432" t="s">
        <v>12901</v>
      </c>
      <c r="C6432" t="s">
        <v>12902</v>
      </c>
      <c r="D6432" s="1" t="s">
        <v>195</v>
      </c>
      <c r="E6432" s="3">
        <v>4205.13</v>
      </c>
      <c r="F6432" s="3">
        <f t="shared" si="200"/>
        <v>1062.6363510000001</v>
      </c>
      <c r="G6432" s="3">
        <f t="shared" si="201"/>
        <v>5267.7663510000002</v>
      </c>
    </row>
    <row r="6433" spans="1:7" x14ac:dyDescent="0.3">
      <c r="A6433" t="s">
        <v>13039</v>
      </c>
      <c r="B6433" t="s">
        <v>12903</v>
      </c>
      <c r="C6433" t="s">
        <v>12904</v>
      </c>
      <c r="D6433" s="1" t="s">
        <v>195</v>
      </c>
      <c r="E6433" s="3">
        <v>5308.24</v>
      </c>
      <c r="F6433" s="3">
        <f t="shared" si="200"/>
        <v>1341.3922480000001</v>
      </c>
      <c r="G6433" s="3">
        <f t="shared" si="201"/>
        <v>6649.6322479999999</v>
      </c>
    </row>
    <row r="6434" spans="1:7" x14ac:dyDescent="0.3">
      <c r="A6434" t="s">
        <v>13039</v>
      </c>
      <c r="B6434" t="s">
        <v>12905</v>
      </c>
      <c r="C6434" t="s">
        <v>12906</v>
      </c>
      <c r="D6434" s="1" t="s">
        <v>195</v>
      </c>
      <c r="E6434" s="3">
        <v>4792.2299999999996</v>
      </c>
      <c r="F6434" s="3">
        <f t="shared" si="200"/>
        <v>1210.996521</v>
      </c>
      <c r="G6434" s="3">
        <f t="shared" si="201"/>
        <v>6003.2265209999996</v>
      </c>
    </row>
    <row r="6435" spans="1:7" x14ac:dyDescent="0.3">
      <c r="A6435" t="s">
        <v>13039</v>
      </c>
      <c r="B6435" t="s">
        <v>12907</v>
      </c>
      <c r="C6435" t="s">
        <v>12908</v>
      </c>
      <c r="D6435" s="1" t="s">
        <v>195</v>
      </c>
      <c r="E6435" s="3">
        <v>3483.09</v>
      </c>
      <c r="F6435" s="3">
        <f t="shared" si="200"/>
        <v>880.17684300000019</v>
      </c>
      <c r="G6435" s="3">
        <f t="shared" si="201"/>
        <v>4363.2668430000003</v>
      </c>
    </row>
    <row r="6436" spans="1:7" x14ac:dyDescent="0.3">
      <c r="A6436" t="s">
        <v>13039</v>
      </c>
      <c r="B6436" t="s">
        <v>12909</v>
      </c>
      <c r="C6436" t="s">
        <v>12910</v>
      </c>
      <c r="D6436" s="1" t="s">
        <v>195</v>
      </c>
      <c r="E6436" s="3">
        <v>3024.41</v>
      </c>
      <c r="F6436" s="3">
        <f t="shared" si="200"/>
        <v>764.26840700000002</v>
      </c>
      <c r="G6436" s="3">
        <f t="shared" si="201"/>
        <v>3788.6784069999999</v>
      </c>
    </row>
    <row r="6437" spans="1:7" x14ac:dyDescent="0.3">
      <c r="A6437" t="s">
        <v>13039</v>
      </c>
      <c r="B6437" t="s">
        <v>12911</v>
      </c>
      <c r="C6437" t="s">
        <v>12912</v>
      </c>
      <c r="D6437" s="1" t="s">
        <v>195</v>
      </c>
      <c r="E6437" s="3">
        <v>3928.66</v>
      </c>
      <c r="F6437" s="3">
        <f t="shared" si="200"/>
        <v>992.77238200000011</v>
      </c>
      <c r="G6437" s="3">
        <f t="shared" si="201"/>
        <v>4921.432382</v>
      </c>
    </row>
    <row r="6438" spans="1:7" x14ac:dyDescent="0.3">
      <c r="A6438" t="s">
        <v>13039</v>
      </c>
      <c r="B6438" t="s">
        <v>12913</v>
      </c>
      <c r="C6438" t="s">
        <v>12914</v>
      </c>
      <c r="D6438" s="1" t="s">
        <v>195</v>
      </c>
      <c r="E6438" s="3">
        <v>3497.48</v>
      </c>
      <c r="F6438" s="3">
        <f t="shared" si="200"/>
        <v>883.81319600000018</v>
      </c>
      <c r="G6438" s="3">
        <f t="shared" si="201"/>
        <v>4381.2931960000005</v>
      </c>
    </row>
    <row r="6439" spans="1:7" x14ac:dyDescent="0.3">
      <c r="A6439" t="s">
        <v>13039</v>
      </c>
      <c r="B6439" t="s">
        <v>12915</v>
      </c>
      <c r="C6439" t="s">
        <v>12916</v>
      </c>
      <c r="D6439" s="1" t="s">
        <v>195</v>
      </c>
      <c r="E6439" s="3">
        <v>4322.8999999999996</v>
      </c>
      <c r="F6439" s="3">
        <f t="shared" si="200"/>
        <v>1092.3968300000001</v>
      </c>
      <c r="G6439" s="3">
        <f t="shared" si="201"/>
        <v>5415.2968299999993</v>
      </c>
    </row>
    <row r="6440" spans="1:7" x14ac:dyDescent="0.3">
      <c r="A6440" t="s">
        <v>13039</v>
      </c>
      <c r="B6440" t="s">
        <v>12917</v>
      </c>
      <c r="C6440" t="s">
        <v>12918</v>
      </c>
      <c r="D6440" s="1" t="s">
        <v>195</v>
      </c>
      <c r="E6440" s="3">
        <v>3901.02</v>
      </c>
      <c r="F6440" s="3">
        <f t="shared" si="200"/>
        <v>985.78775400000018</v>
      </c>
      <c r="G6440" s="3">
        <f t="shared" si="201"/>
        <v>4886.8077540000004</v>
      </c>
    </row>
    <row r="6441" spans="1:7" x14ac:dyDescent="0.3">
      <c r="A6441" t="s">
        <v>13039</v>
      </c>
      <c r="B6441" t="s">
        <v>12919</v>
      </c>
      <c r="C6441" t="s">
        <v>12920</v>
      </c>
      <c r="D6441" s="1" t="s">
        <v>195</v>
      </c>
      <c r="E6441" s="3">
        <v>4282.37</v>
      </c>
      <c r="F6441" s="3">
        <f t="shared" si="200"/>
        <v>1082.1548990000001</v>
      </c>
      <c r="G6441" s="3">
        <f t="shared" si="201"/>
        <v>5364.524899</v>
      </c>
    </row>
    <row r="6442" spans="1:7" x14ac:dyDescent="0.3">
      <c r="A6442" t="s">
        <v>13039</v>
      </c>
      <c r="B6442" t="s">
        <v>12921</v>
      </c>
      <c r="C6442" t="s">
        <v>12922</v>
      </c>
      <c r="D6442" s="1" t="s">
        <v>195</v>
      </c>
      <c r="E6442" s="3">
        <v>3856.31</v>
      </c>
      <c r="F6442" s="3">
        <f t="shared" si="200"/>
        <v>974.48953700000015</v>
      </c>
      <c r="G6442" s="3">
        <f t="shared" si="201"/>
        <v>4830.7995369999999</v>
      </c>
    </row>
    <row r="6443" spans="1:7" x14ac:dyDescent="0.3">
      <c r="A6443" t="s">
        <v>13039</v>
      </c>
      <c r="B6443" t="s">
        <v>12923</v>
      </c>
      <c r="C6443" t="s">
        <v>12924</v>
      </c>
      <c r="D6443" s="1" t="s">
        <v>195</v>
      </c>
      <c r="E6443" s="3">
        <v>3732.01</v>
      </c>
      <c r="F6443" s="3">
        <f t="shared" si="200"/>
        <v>943.07892700000014</v>
      </c>
      <c r="G6443" s="3">
        <f t="shared" si="201"/>
        <v>4675.0889270000007</v>
      </c>
    </row>
    <row r="6444" spans="1:7" x14ac:dyDescent="0.3">
      <c r="A6444" t="s">
        <v>13039</v>
      </c>
      <c r="B6444" t="s">
        <v>12925</v>
      </c>
      <c r="C6444" t="s">
        <v>12926</v>
      </c>
      <c r="D6444" s="1" t="s">
        <v>195</v>
      </c>
      <c r="E6444" s="3">
        <v>3305.94</v>
      </c>
      <c r="F6444" s="3">
        <f t="shared" si="200"/>
        <v>835.41103800000008</v>
      </c>
      <c r="G6444" s="3">
        <f t="shared" si="201"/>
        <v>4141.3510379999998</v>
      </c>
    </row>
    <row r="6445" spans="1:7" x14ac:dyDescent="0.3">
      <c r="A6445" t="s">
        <v>13039</v>
      </c>
      <c r="B6445" t="s">
        <v>12927</v>
      </c>
      <c r="C6445" t="s">
        <v>12928</v>
      </c>
      <c r="D6445" s="1" t="s">
        <v>195</v>
      </c>
      <c r="E6445" s="3">
        <v>6551.95</v>
      </c>
      <c r="F6445" s="3">
        <f t="shared" si="200"/>
        <v>1655.6777650000001</v>
      </c>
      <c r="G6445" s="3">
        <f t="shared" si="201"/>
        <v>8207.6277649999993</v>
      </c>
    </row>
    <row r="6446" spans="1:7" x14ac:dyDescent="0.3">
      <c r="A6446" t="s">
        <v>13039</v>
      </c>
      <c r="B6446" t="s">
        <v>12929</v>
      </c>
      <c r="C6446" t="s">
        <v>12930</v>
      </c>
      <c r="D6446" s="1" t="s">
        <v>195</v>
      </c>
      <c r="E6446" s="3">
        <v>5947.2</v>
      </c>
      <c r="F6446" s="3">
        <f t="shared" si="200"/>
        <v>1502.8574400000002</v>
      </c>
      <c r="G6446" s="3">
        <f t="shared" si="201"/>
        <v>7450.0574400000005</v>
      </c>
    </row>
    <row r="6447" spans="1:7" x14ac:dyDescent="0.3">
      <c r="A6447" t="s">
        <v>13039</v>
      </c>
      <c r="B6447" t="s">
        <v>12931</v>
      </c>
      <c r="C6447" t="s">
        <v>12932</v>
      </c>
      <c r="D6447" s="1" t="s">
        <v>195</v>
      </c>
      <c r="E6447" s="3">
        <v>7201.45</v>
      </c>
      <c r="F6447" s="3">
        <f t="shared" si="200"/>
        <v>1819.8064150000002</v>
      </c>
      <c r="G6447" s="3">
        <f t="shared" si="201"/>
        <v>9021.2564149999998</v>
      </c>
    </row>
    <row r="6448" spans="1:7" x14ac:dyDescent="0.3">
      <c r="A6448" t="s">
        <v>13039</v>
      </c>
      <c r="B6448" t="s">
        <v>12933</v>
      </c>
      <c r="C6448" t="s">
        <v>12934</v>
      </c>
      <c r="D6448" s="1" t="s">
        <v>195</v>
      </c>
      <c r="E6448" s="3">
        <v>6595.02</v>
      </c>
      <c r="F6448" s="3">
        <f t="shared" si="200"/>
        <v>1666.5615540000003</v>
      </c>
      <c r="G6448" s="3">
        <f t="shared" si="201"/>
        <v>8261.5815540000003</v>
      </c>
    </row>
    <row r="6449" spans="1:7" x14ac:dyDescent="0.3">
      <c r="A6449" t="s">
        <v>13039</v>
      </c>
      <c r="B6449" t="s">
        <v>12935</v>
      </c>
      <c r="C6449" t="s">
        <v>12936</v>
      </c>
      <c r="D6449" s="1" t="s">
        <v>195</v>
      </c>
      <c r="E6449" s="3">
        <v>4539.42</v>
      </c>
      <c r="F6449" s="3">
        <f t="shared" si="200"/>
        <v>1147.1114340000001</v>
      </c>
      <c r="G6449" s="3">
        <f t="shared" si="201"/>
        <v>5686.5314340000004</v>
      </c>
    </row>
    <row r="6450" spans="1:7" x14ac:dyDescent="0.3">
      <c r="A6450" t="s">
        <v>13039</v>
      </c>
      <c r="B6450" t="s">
        <v>12937</v>
      </c>
      <c r="C6450" t="s">
        <v>12938</v>
      </c>
      <c r="D6450" s="1" t="s">
        <v>195</v>
      </c>
      <c r="E6450" s="3">
        <v>3997.1</v>
      </c>
      <c r="F6450" s="3">
        <f t="shared" si="200"/>
        <v>1010.0671700000001</v>
      </c>
      <c r="G6450" s="3">
        <f t="shared" si="201"/>
        <v>5007.1671699999997</v>
      </c>
    </row>
    <row r="6451" spans="1:7" x14ac:dyDescent="0.3">
      <c r="A6451" t="s">
        <v>13039</v>
      </c>
      <c r="B6451" t="s">
        <v>12939</v>
      </c>
      <c r="C6451" t="s">
        <v>12940</v>
      </c>
      <c r="D6451" s="1" t="s">
        <v>195</v>
      </c>
      <c r="E6451" s="3">
        <v>5344.86</v>
      </c>
      <c r="F6451" s="3">
        <f t="shared" si="200"/>
        <v>1350.6461220000001</v>
      </c>
      <c r="G6451" s="3">
        <f t="shared" si="201"/>
        <v>6695.5061219999998</v>
      </c>
    </row>
    <row r="6452" spans="1:7" x14ac:dyDescent="0.3">
      <c r="A6452" t="s">
        <v>13039</v>
      </c>
      <c r="B6452" t="s">
        <v>12941</v>
      </c>
      <c r="C6452" t="s">
        <v>12942</v>
      </c>
      <c r="D6452" s="1" t="s">
        <v>195</v>
      </c>
      <c r="E6452" s="3">
        <v>4847.8999999999996</v>
      </c>
      <c r="F6452" s="3">
        <f t="shared" si="200"/>
        <v>1225.0643300000002</v>
      </c>
      <c r="G6452" s="3">
        <f t="shared" si="201"/>
        <v>6072.9643299999998</v>
      </c>
    </row>
    <row r="6453" spans="1:7" x14ac:dyDescent="0.3">
      <c r="A6453" t="s">
        <v>13039</v>
      </c>
      <c r="B6453" t="s">
        <v>12943</v>
      </c>
      <c r="C6453" t="s">
        <v>12944</v>
      </c>
      <c r="D6453" s="1" t="s">
        <v>195</v>
      </c>
      <c r="E6453" s="3">
        <v>5979.53</v>
      </c>
      <c r="F6453" s="3">
        <f t="shared" si="200"/>
        <v>1511.0272310000003</v>
      </c>
      <c r="G6453" s="3">
        <f t="shared" si="201"/>
        <v>7490.5572309999998</v>
      </c>
    </row>
    <row r="6454" spans="1:7" x14ac:dyDescent="0.3">
      <c r="A6454" t="s">
        <v>13039</v>
      </c>
      <c r="B6454" t="s">
        <v>12945</v>
      </c>
      <c r="C6454" t="s">
        <v>12946</v>
      </c>
      <c r="D6454" s="1" t="s">
        <v>195</v>
      </c>
      <c r="E6454" s="3">
        <v>5374.75</v>
      </c>
      <c r="F6454" s="3">
        <f t="shared" si="200"/>
        <v>1358.1993250000003</v>
      </c>
      <c r="G6454" s="3">
        <f t="shared" si="201"/>
        <v>6732.9493250000005</v>
      </c>
    </row>
    <row r="6455" spans="1:7" x14ac:dyDescent="0.3">
      <c r="A6455" t="s">
        <v>13039</v>
      </c>
      <c r="B6455" t="s">
        <v>12947</v>
      </c>
      <c r="C6455" t="s">
        <v>12948</v>
      </c>
      <c r="D6455" s="1" t="s">
        <v>12949</v>
      </c>
      <c r="E6455" s="3">
        <v>323903.84000000003</v>
      </c>
      <c r="F6455" s="3">
        <f t="shared" si="200"/>
        <v>81850.500368000023</v>
      </c>
      <c r="G6455" s="3">
        <f t="shared" si="201"/>
        <v>405754.34036800003</v>
      </c>
    </row>
    <row r="6456" spans="1:7" x14ac:dyDescent="0.3">
      <c r="A6456" t="s">
        <v>13039</v>
      </c>
      <c r="B6456" t="s">
        <v>12950</v>
      </c>
      <c r="C6456" t="s">
        <v>12951</v>
      </c>
      <c r="D6456" s="1" t="s">
        <v>38</v>
      </c>
      <c r="E6456" s="3">
        <v>2522.12</v>
      </c>
      <c r="F6456" s="3">
        <f t="shared" si="200"/>
        <v>637.33972400000005</v>
      </c>
      <c r="G6456" s="3">
        <f t="shared" si="201"/>
        <v>3159.4597239999998</v>
      </c>
    </row>
    <row r="6457" spans="1:7" x14ac:dyDescent="0.3">
      <c r="A6457" t="s">
        <v>13039</v>
      </c>
      <c r="B6457" t="s">
        <v>12952</v>
      </c>
      <c r="C6457" t="s">
        <v>12953</v>
      </c>
      <c r="D6457" s="1" t="s">
        <v>38</v>
      </c>
      <c r="E6457" s="3">
        <v>1498.76</v>
      </c>
      <c r="F6457" s="3">
        <f t="shared" si="200"/>
        <v>378.73665200000005</v>
      </c>
      <c r="G6457" s="3">
        <f t="shared" si="201"/>
        <v>1877.496652</v>
      </c>
    </row>
    <row r="6458" spans="1:7" x14ac:dyDescent="0.3">
      <c r="A6458" t="s">
        <v>13039</v>
      </c>
      <c r="B6458" t="s">
        <v>12954</v>
      </c>
      <c r="C6458" t="s">
        <v>12955</v>
      </c>
      <c r="D6458" s="1" t="s">
        <v>8767</v>
      </c>
      <c r="E6458" s="3">
        <v>10147.629999999999</v>
      </c>
      <c r="F6458" s="3">
        <f t="shared" si="200"/>
        <v>2564.3061010000001</v>
      </c>
      <c r="G6458" s="3">
        <f t="shared" si="201"/>
        <v>12711.936100999999</v>
      </c>
    </row>
    <row r="6459" spans="1:7" x14ac:dyDescent="0.3">
      <c r="A6459" t="s">
        <v>13039</v>
      </c>
      <c r="B6459" t="s">
        <v>12956</v>
      </c>
      <c r="C6459" t="s">
        <v>12957</v>
      </c>
      <c r="D6459" s="1" t="s">
        <v>38</v>
      </c>
      <c r="E6459" s="3">
        <v>9423.99</v>
      </c>
      <c r="F6459" s="3">
        <f t="shared" si="200"/>
        <v>2381.4422730000001</v>
      </c>
      <c r="G6459" s="3">
        <f t="shared" si="201"/>
        <v>11805.432273</v>
      </c>
    </row>
    <row r="6460" spans="1:7" x14ac:dyDescent="0.3">
      <c r="A6460" t="s">
        <v>13039</v>
      </c>
      <c r="B6460" t="s">
        <v>12958</v>
      </c>
      <c r="C6460" t="s">
        <v>12959</v>
      </c>
      <c r="D6460" s="1" t="s">
        <v>38</v>
      </c>
      <c r="E6460" s="3">
        <v>7897.56</v>
      </c>
      <c r="F6460" s="3">
        <f t="shared" si="200"/>
        <v>1995.7134120000003</v>
      </c>
      <c r="G6460" s="3">
        <f t="shared" si="201"/>
        <v>9893.2734120000005</v>
      </c>
    </row>
    <row r="6461" spans="1:7" x14ac:dyDescent="0.3">
      <c r="A6461" t="s">
        <v>13039</v>
      </c>
      <c r="B6461" t="s">
        <v>12960</v>
      </c>
      <c r="C6461" t="s">
        <v>12961</v>
      </c>
      <c r="D6461" s="1" t="s">
        <v>38</v>
      </c>
      <c r="E6461" s="3">
        <v>8594.6200000000008</v>
      </c>
      <c r="F6461" s="3">
        <f t="shared" si="200"/>
        <v>2171.8604740000005</v>
      </c>
      <c r="G6461" s="3">
        <f t="shared" si="201"/>
        <v>10766.480474000002</v>
      </c>
    </row>
    <row r="6462" spans="1:7" x14ac:dyDescent="0.3">
      <c r="A6462" t="s">
        <v>13039</v>
      </c>
      <c r="B6462" t="s">
        <v>12962</v>
      </c>
      <c r="C6462" t="s">
        <v>12963</v>
      </c>
      <c r="D6462" s="1" t="s">
        <v>38</v>
      </c>
      <c r="E6462" s="3">
        <v>13816.2</v>
      </c>
      <c r="F6462" s="3">
        <f t="shared" si="200"/>
        <v>3491.3537400000005</v>
      </c>
      <c r="G6462" s="3">
        <f t="shared" si="201"/>
        <v>17307.553740000003</v>
      </c>
    </row>
    <row r="6463" spans="1:7" x14ac:dyDescent="0.3">
      <c r="A6463" t="s">
        <v>13039</v>
      </c>
      <c r="B6463" t="s">
        <v>12964</v>
      </c>
      <c r="C6463" t="s">
        <v>12965</v>
      </c>
      <c r="D6463" s="1" t="s">
        <v>38</v>
      </c>
      <c r="E6463" s="3">
        <v>22049.42</v>
      </c>
      <c r="F6463" s="3">
        <f t="shared" si="200"/>
        <v>5571.8884340000004</v>
      </c>
      <c r="G6463" s="3">
        <f t="shared" si="201"/>
        <v>27621.308433999999</v>
      </c>
    </row>
    <row r="6464" spans="1:7" x14ac:dyDescent="0.3">
      <c r="A6464" t="s">
        <v>13039</v>
      </c>
      <c r="B6464" t="s">
        <v>12966</v>
      </c>
      <c r="C6464" t="s">
        <v>12967</v>
      </c>
      <c r="D6464" s="1" t="s">
        <v>38</v>
      </c>
      <c r="E6464" s="3">
        <v>28139.67</v>
      </c>
      <c r="F6464" s="3">
        <f t="shared" si="200"/>
        <v>7110.8946090000009</v>
      </c>
      <c r="G6464" s="3">
        <f t="shared" si="201"/>
        <v>35250.564609000001</v>
      </c>
    </row>
    <row r="6465" spans="1:7" x14ac:dyDescent="0.3">
      <c r="A6465" t="s">
        <v>13039</v>
      </c>
      <c r="B6465" t="s">
        <v>12968</v>
      </c>
      <c r="C6465" t="s">
        <v>12969</v>
      </c>
      <c r="D6465" s="1" t="s">
        <v>38</v>
      </c>
      <c r="E6465" s="3">
        <v>8244.6200000000008</v>
      </c>
      <c r="F6465" s="3">
        <f t="shared" si="200"/>
        <v>2083.4154740000004</v>
      </c>
      <c r="G6465" s="3">
        <f t="shared" si="201"/>
        <v>10328.035474</v>
      </c>
    </row>
    <row r="6466" spans="1:7" x14ac:dyDescent="0.3">
      <c r="A6466" t="s">
        <v>13039</v>
      </c>
      <c r="B6466" t="s">
        <v>12970</v>
      </c>
      <c r="C6466" t="s">
        <v>12971</v>
      </c>
      <c r="D6466" s="1" t="s">
        <v>38</v>
      </c>
      <c r="E6466" s="3">
        <v>15847.72</v>
      </c>
      <c r="F6466" s="3">
        <f t="shared" si="200"/>
        <v>4004.7188440000004</v>
      </c>
      <c r="G6466" s="3">
        <f t="shared" si="201"/>
        <v>19852.438844</v>
      </c>
    </row>
    <row r="6467" spans="1:7" x14ac:dyDescent="0.3">
      <c r="A6467" t="s">
        <v>13039</v>
      </c>
      <c r="B6467" t="s">
        <v>12972</v>
      </c>
      <c r="C6467" t="s">
        <v>12973</v>
      </c>
      <c r="D6467" s="1" t="s">
        <v>38</v>
      </c>
      <c r="E6467" s="3">
        <v>18914.599999999999</v>
      </c>
      <c r="F6467" s="3">
        <f t="shared" si="200"/>
        <v>4779.7194200000004</v>
      </c>
      <c r="G6467" s="3">
        <f t="shared" si="201"/>
        <v>23694.31942</v>
      </c>
    </row>
    <row r="6468" spans="1:7" x14ac:dyDescent="0.3">
      <c r="A6468" t="s">
        <v>13039</v>
      </c>
      <c r="B6468" t="s">
        <v>12974</v>
      </c>
      <c r="C6468" t="s">
        <v>12975</v>
      </c>
      <c r="D6468" s="1" t="s">
        <v>38</v>
      </c>
      <c r="E6468" s="3">
        <v>26200.59</v>
      </c>
      <c r="F6468" s="3">
        <f t="shared" si="200"/>
        <v>6620.8890930000007</v>
      </c>
      <c r="G6468" s="3">
        <f t="shared" si="201"/>
        <v>32821.479093000002</v>
      </c>
    </row>
    <row r="6469" spans="1:7" x14ac:dyDescent="0.3">
      <c r="A6469" t="s">
        <v>13039</v>
      </c>
      <c r="B6469" t="s">
        <v>12976</v>
      </c>
      <c r="C6469" t="s">
        <v>12977</v>
      </c>
      <c r="D6469" s="1" t="s">
        <v>38</v>
      </c>
      <c r="E6469" s="3">
        <v>28800.42</v>
      </c>
      <c r="F6469" s="3">
        <f t="shared" si="200"/>
        <v>7277.8661340000008</v>
      </c>
      <c r="G6469" s="3">
        <f t="shared" si="201"/>
        <v>36078.286134000002</v>
      </c>
    </row>
    <row r="6470" spans="1:7" x14ac:dyDescent="0.3">
      <c r="A6470" t="s">
        <v>13039</v>
      </c>
      <c r="B6470" t="s">
        <v>12978</v>
      </c>
      <c r="C6470" t="s">
        <v>12979</v>
      </c>
      <c r="D6470" s="1" t="s">
        <v>38</v>
      </c>
      <c r="E6470" s="3">
        <v>36591.379999999997</v>
      </c>
      <c r="F6470" s="3">
        <f t="shared" si="200"/>
        <v>9246.6417259999998</v>
      </c>
      <c r="G6470" s="3">
        <f t="shared" si="201"/>
        <v>45838.021725999999</v>
      </c>
    </row>
    <row r="6471" spans="1:7" x14ac:dyDescent="0.3">
      <c r="A6471" t="s">
        <v>13039</v>
      </c>
      <c r="B6471" t="s">
        <v>12980</v>
      </c>
      <c r="C6471" t="s">
        <v>12981</v>
      </c>
      <c r="D6471" s="1" t="s">
        <v>38</v>
      </c>
      <c r="E6471" s="3">
        <v>4328.96</v>
      </c>
      <c r="F6471" s="3">
        <f t="shared" ref="F6471:F6498" si="202">+E6471*$F$4</f>
        <v>1093.9281920000001</v>
      </c>
      <c r="G6471" s="3">
        <f t="shared" ref="G6471:G6498" si="203">+E6471+F6471</f>
        <v>5422.8881920000003</v>
      </c>
    </row>
    <row r="6472" spans="1:7" x14ac:dyDescent="0.3">
      <c r="A6472" t="s">
        <v>13039</v>
      </c>
      <c r="B6472" t="s">
        <v>12982</v>
      </c>
      <c r="C6472" t="s">
        <v>12983</v>
      </c>
      <c r="D6472" s="1" t="s">
        <v>38</v>
      </c>
      <c r="E6472" s="3">
        <v>9295.35</v>
      </c>
      <c r="F6472" s="3">
        <f t="shared" si="202"/>
        <v>2348.9349450000004</v>
      </c>
      <c r="G6472" s="3">
        <f t="shared" si="203"/>
        <v>11644.284945000001</v>
      </c>
    </row>
    <row r="6473" spans="1:7" x14ac:dyDescent="0.3">
      <c r="A6473" t="s">
        <v>13039</v>
      </c>
      <c r="B6473" t="s">
        <v>12984</v>
      </c>
      <c r="C6473" t="s">
        <v>12985</v>
      </c>
      <c r="D6473" s="1" t="s">
        <v>38</v>
      </c>
      <c r="E6473" s="3">
        <v>17771.73</v>
      </c>
      <c r="F6473" s="3">
        <f t="shared" si="202"/>
        <v>4490.9161710000008</v>
      </c>
      <c r="G6473" s="3">
        <f t="shared" si="203"/>
        <v>22262.646171</v>
      </c>
    </row>
    <row r="6474" spans="1:7" x14ac:dyDescent="0.3">
      <c r="A6474" t="s">
        <v>13039</v>
      </c>
      <c r="B6474" t="s">
        <v>12986</v>
      </c>
      <c r="C6474" t="s">
        <v>12987</v>
      </c>
      <c r="D6474" s="1" t="s">
        <v>38</v>
      </c>
      <c r="E6474" s="3">
        <v>21212.57</v>
      </c>
      <c r="F6474" s="3">
        <f t="shared" si="202"/>
        <v>5360.4164390000005</v>
      </c>
      <c r="G6474" s="3">
        <f t="shared" si="203"/>
        <v>26572.986439</v>
      </c>
    </row>
    <row r="6475" spans="1:7" x14ac:dyDescent="0.3">
      <c r="A6475" t="s">
        <v>13039</v>
      </c>
      <c r="B6475" t="s">
        <v>12988</v>
      </c>
      <c r="C6475" t="s">
        <v>12989</v>
      </c>
      <c r="D6475" s="1" t="s">
        <v>38</v>
      </c>
      <c r="E6475" s="3">
        <v>29361.84</v>
      </c>
      <c r="F6475" s="3">
        <f t="shared" si="202"/>
        <v>7419.7369680000011</v>
      </c>
      <c r="G6475" s="3">
        <f t="shared" si="203"/>
        <v>36781.576968000001</v>
      </c>
    </row>
    <row r="6476" spans="1:7" x14ac:dyDescent="0.3">
      <c r="A6476" t="s">
        <v>13039</v>
      </c>
      <c r="B6476" t="s">
        <v>12990</v>
      </c>
      <c r="C6476" t="s">
        <v>12991</v>
      </c>
      <c r="D6476" s="1" t="s">
        <v>38</v>
      </c>
      <c r="E6476" s="3">
        <v>32269.31</v>
      </c>
      <c r="F6476" s="3">
        <f t="shared" si="202"/>
        <v>8154.4546370000016</v>
      </c>
      <c r="G6476" s="3">
        <f t="shared" si="203"/>
        <v>40423.764637</v>
      </c>
    </row>
    <row r="6477" spans="1:7" x14ac:dyDescent="0.3">
      <c r="A6477" t="s">
        <v>13039</v>
      </c>
      <c r="B6477" t="s">
        <v>12992</v>
      </c>
      <c r="C6477" t="s">
        <v>12993</v>
      </c>
      <c r="D6477" s="1" t="s">
        <v>38</v>
      </c>
      <c r="E6477" s="3">
        <v>40986.370000000003</v>
      </c>
      <c r="F6477" s="3">
        <f t="shared" si="202"/>
        <v>10357.255699000003</v>
      </c>
      <c r="G6477" s="3">
        <f t="shared" si="203"/>
        <v>51343.625699000004</v>
      </c>
    </row>
    <row r="6478" spans="1:7" x14ac:dyDescent="0.3">
      <c r="A6478" t="s">
        <v>13039</v>
      </c>
      <c r="B6478" t="s">
        <v>12994</v>
      </c>
      <c r="C6478" t="s">
        <v>12995</v>
      </c>
      <c r="D6478" s="1" t="s">
        <v>38</v>
      </c>
      <c r="E6478" s="3">
        <v>4868.6099999999997</v>
      </c>
      <c r="F6478" s="3">
        <f t="shared" si="202"/>
        <v>1230.2977470000001</v>
      </c>
      <c r="G6478" s="3">
        <f t="shared" si="203"/>
        <v>6098.9077469999993</v>
      </c>
    </row>
    <row r="6479" spans="1:7" x14ac:dyDescent="0.3">
      <c r="A6479" t="s">
        <v>13039</v>
      </c>
      <c r="B6479" t="s">
        <v>12996</v>
      </c>
      <c r="C6479" t="s">
        <v>12997</v>
      </c>
      <c r="D6479" s="1" t="s">
        <v>38</v>
      </c>
      <c r="E6479" s="3">
        <v>761.44</v>
      </c>
      <c r="F6479" s="3">
        <f t="shared" si="202"/>
        <v>192.41588800000005</v>
      </c>
      <c r="G6479" s="3">
        <f t="shared" si="203"/>
        <v>953.85588800000005</v>
      </c>
    </row>
    <row r="6480" spans="1:7" x14ac:dyDescent="0.3">
      <c r="A6480" t="s">
        <v>13039</v>
      </c>
      <c r="B6480" t="s">
        <v>12998</v>
      </c>
      <c r="C6480" t="s">
        <v>12999</v>
      </c>
      <c r="D6480" s="1" t="s">
        <v>38</v>
      </c>
      <c r="E6480" s="3">
        <v>24095.93</v>
      </c>
      <c r="F6480" s="3">
        <f t="shared" si="202"/>
        <v>6089.0415110000013</v>
      </c>
      <c r="G6480" s="3">
        <f t="shared" si="203"/>
        <v>30184.971511000003</v>
      </c>
    </row>
    <row r="6481" spans="1:7" x14ac:dyDescent="0.3">
      <c r="A6481" t="s">
        <v>13039</v>
      </c>
      <c r="B6481" t="s">
        <v>13000</v>
      </c>
      <c r="C6481" t="s">
        <v>13001</v>
      </c>
      <c r="D6481" s="1" t="s">
        <v>38</v>
      </c>
      <c r="E6481" s="3">
        <v>38905.050000000003</v>
      </c>
      <c r="F6481" s="3">
        <f t="shared" si="202"/>
        <v>9831.3061350000025</v>
      </c>
      <c r="G6481" s="3">
        <f t="shared" si="203"/>
        <v>48736.356135000009</v>
      </c>
    </row>
    <row r="6482" spans="1:7" x14ac:dyDescent="0.3">
      <c r="A6482" t="s">
        <v>13039</v>
      </c>
      <c r="B6482" t="s">
        <v>13002</v>
      </c>
      <c r="C6482" t="s">
        <v>13003</v>
      </c>
      <c r="D6482" s="1" t="s">
        <v>38</v>
      </c>
      <c r="E6482" s="3">
        <v>57525.120000000003</v>
      </c>
      <c r="F6482" s="3">
        <f t="shared" si="202"/>
        <v>14536.597824000002</v>
      </c>
      <c r="G6482" s="3">
        <f t="shared" si="203"/>
        <v>72061.717824000007</v>
      </c>
    </row>
    <row r="6483" spans="1:7" x14ac:dyDescent="0.3">
      <c r="A6483" t="s">
        <v>13039</v>
      </c>
      <c r="B6483" t="s">
        <v>13004</v>
      </c>
      <c r="C6483" t="s">
        <v>13005</v>
      </c>
      <c r="D6483" s="1" t="s">
        <v>38</v>
      </c>
      <c r="E6483" s="3">
        <v>17164.59</v>
      </c>
      <c r="F6483" s="3">
        <f t="shared" si="202"/>
        <v>4337.4918930000003</v>
      </c>
      <c r="G6483" s="3">
        <f t="shared" si="203"/>
        <v>21502.081893000002</v>
      </c>
    </row>
    <row r="6484" spans="1:7" x14ac:dyDescent="0.3">
      <c r="A6484" t="s">
        <v>13039</v>
      </c>
      <c r="B6484" t="s">
        <v>13006</v>
      </c>
      <c r="C6484" t="s">
        <v>13007</v>
      </c>
      <c r="D6484" s="1" t="s">
        <v>38</v>
      </c>
      <c r="E6484" s="3">
        <v>205229.37</v>
      </c>
      <c r="F6484" s="3">
        <f t="shared" si="202"/>
        <v>51861.461799000004</v>
      </c>
      <c r="G6484" s="3">
        <f t="shared" si="203"/>
        <v>257090.83179900001</v>
      </c>
    </row>
    <row r="6485" spans="1:7" x14ac:dyDescent="0.3">
      <c r="A6485" t="s">
        <v>13039</v>
      </c>
      <c r="B6485" t="s">
        <v>13008</v>
      </c>
      <c r="C6485" t="s">
        <v>13009</v>
      </c>
      <c r="D6485" s="1" t="s">
        <v>38</v>
      </c>
      <c r="E6485" s="3">
        <v>322829.90000000002</v>
      </c>
      <c r="F6485" s="3">
        <f t="shared" si="202"/>
        <v>81579.11573000002</v>
      </c>
      <c r="G6485" s="3">
        <f t="shared" si="203"/>
        <v>404409.01573000004</v>
      </c>
    </row>
    <row r="6486" spans="1:7" x14ac:dyDescent="0.3">
      <c r="A6486" t="s">
        <v>13039</v>
      </c>
      <c r="B6486" t="s">
        <v>13010</v>
      </c>
      <c r="C6486" t="s">
        <v>13011</v>
      </c>
      <c r="D6486" s="1" t="s">
        <v>38</v>
      </c>
      <c r="E6486" s="3">
        <v>55340.41</v>
      </c>
      <c r="F6486" s="3">
        <f t="shared" si="202"/>
        <v>13984.521607000002</v>
      </c>
      <c r="G6486" s="3">
        <f t="shared" si="203"/>
        <v>69324.931607000006</v>
      </c>
    </row>
    <row r="6487" spans="1:7" x14ac:dyDescent="0.3">
      <c r="A6487" t="s">
        <v>13039</v>
      </c>
      <c r="B6487" t="s">
        <v>13012</v>
      </c>
      <c r="C6487" t="s">
        <v>13013</v>
      </c>
      <c r="D6487" s="1" t="s">
        <v>38</v>
      </c>
      <c r="E6487" s="3">
        <v>128741.39</v>
      </c>
      <c r="F6487" s="3">
        <f t="shared" si="202"/>
        <v>32532.949253000006</v>
      </c>
      <c r="G6487" s="3">
        <f t="shared" si="203"/>
        <v>161274.33925300001</v>
      </c>
    </row>
    <row r="6488" spans="1:7" x14ac:dyDescent="0.3">
      <c r="A6488" t="s">
        <v>13039</v>
      </c>
      <c r="B6488" t="s">
        <v>13014</v>
      </c>
      <c r="C6488" t="s">
        <v>13015</v>
      </c>
      <c r="D6488" s="1" t="s">
        <v>2904</v>
      </c>
      <c r="E6488" s="3">
        <v>369.42</v>
      </c>
      <c r="F6488" s="3">
        <f t="shared" si="202"/>
        <v>93.352434000000017</v>
      </c>
      <c r="G6488" s="3">
        <f t="shared" si="203"/>
        <v>462.77243400000003</v>
      </c>
    </row>
    <row r="6489" spans="1:7" x14ac:dyDescent="0.3">
      <c r="A6489" t="s">
        <v>13039</v>
      </c>
      <c r="B6489" t="s">
        <v>13016</v>
      </c>
      <c r="C6489" t="s">
        <v>13017</v>
      </c>
      <c r="D6489" s="1" t="s">
        <v>38</v>
      </c>
      <c r="E6489" s="3">
        <v>3434.89</v>
      </c>
      <c r="F6489" s="3">
        <f t="shared" si="202"/>
        <v>867.99670300000014</v>
      </c>
      <c r="G6489" s="3">
        <f t="shared" si="203"/>
        <v>4302.8867030000001</v>
      </c>
    </row>
    <row r="6490" spans="1:7" x14ac:dyDescent="0.3">
      <c r="A6490" t="s">
        <v>13039</v>
      </c>
      <c r="B6490" t="s">
        <v>13018</v>
      </c>
      <c r="C6490" t="s">
        <v>13019</v>
      </c>
      <c r="D6490" s="1" t="s">
        <v>8767</v>
      </c>
      <c r="E6490" s="3">
        <v>49.01</v>
      </c>
      <c r="F6490" s="3">
        <f t="shared" si="202"/>
        <v>12.384827000000001</v>
      </c>
      <c r="G6490" s="3">
        <f t="shared" si="203"/>
        <v>61.394826999999999</v>
      </c>
    </row>
    <row r="6491" spans="1:7" x14ac:dyDescent="0.3">
      <c r="A6491" t="s">
        <v>13039</v>
      </c>
      <c r="B6491" t="s">
        <v>13020</v>
      </c>
      <c r="C6491" t="s">
        <v>13021</v>
      </c>
      <c r="D6491" s="1" t="s">
        <v>38</v>
      </c>
      <c r="E6491" s="3">
        <v>859.35</v>
      </c>
      <c r="F6491" s="3">
        <f t="shared" si="202"/>
        <v>217.15774500000003</v>
      </c>
      <c r="G6491" s="3">
        <f t="shared" si="203"/>
        <v>1076.5077450000001</v>
      </c>
    </row>
    <row r="6492" spans="1:7" x14ac:dyDescent="0.3">
      <c r="A6492" t="s">
        <v>13039</v>
      </c>
      <c r="B6492" t="s">
        <v>13022</v>
      </c>
      <c r="C6492" t="s">
        <v>13023</v>
      </c>
      <c r="D6492" s="1" t="s">
        <v>2904</v>
      </c>
      <c r="E6492" s="3">
        <v>50.54</v>
      </c>
      <c r="F6492" s="3">
        <f t="shared" si="202"/>
        <v>12.771458000000001</v>
      </c>
      <c r="G6492" s="3">
        <f t="shared" si="203"/>
        <v>63.311458000000002</v>
      </c>
    </row>
    <row r="6493" spans="1:7" x14ac:dyDescent="0.3">
      <c r="A6493" t="s">
        <v>13039</v>
      </c>
      <c r="B6493" t="s">
        <v>13024</v>
      </c>
      <c r="C6493" t="s">
        <v>13025</v>
      </c>
      <c r="D6493" s="1" t="s">
        <v>2904</v>
      </c>
      <c r="E6493" s="3">
        <v>51.86</v>
      </c>
      <c r="F6493" s="3">
        <f t="shared" si="202"/>
        <v>13.105022000000002</v>
      </c>
      <c r="G6493" s="3">
        <f t="shared" si="203"/>
        <v>64.965022000000005</v>
      </c>
    </row>
    <row r="6494" spans="1:7" x14ac:dyDescent="0.3">
      <c r="A6494" t="s">
        <v>13039</v>
      </c>
      <c r="B6494" t="s">
        <v>13026</v>
      </c>
      <c r="C6494" t="s">
        <v>13027</v>
      </c>
      <c r="D6494" s="1" t="s">
        <v>2904</v>
      </c>
      <c r="E6494" s="3">
        <v>56.6</v>
      </c>
      <c r="F6494" s="3">
        <f t="shared" si="202"/>
        <v>14.302820000000002</v>
      </c>
      <c r="G6494" s="3">
        <f t="shared" si="203"/>
        <v>70.902820000000006</v>
      </c>
    </row>
    <row r="6495" spans="1:7" x14ac:dyDescent="0.3">
      <c r="A6495" t="s">
        <v>13039</v>
      </c>
      <c r="B6495" t="s">
        <v>13028</v>
      </c>
      <c r="C6495" t="s">
        <v>13029</v>
      </c>
      <c r="D6495" s="1" t="s">
        <v>2904</v>
      </c>
      <c r="E6495" s="3">
        <v>139.54</v>
      </c>
      <c r="F6495" s="3">
        <f t="shared" si="202"/>
        <v>35.261758</v>
      </c>
      <c r="G6495" s="3">
        <f t="shared" si="203"/>
        <v>174.80175800000001</v>
      </c>
    </row>
    <row r="6496" spans="1:7" x14ac:dyDescent="0.3">
      <c r="A6496" t="s">
        <v>13039</v>
      </c>
      <c r="B6496" t="s">
        <v>13030</v>
      </c>
      <c r="C6496" t="s">
        <v>13031</v>
      </c>
      <c r="D6496" s="1" t="s">
        <v>38</v>
      </c>
      <c r="E6496" s="3">
        <v>320276.74</v>
      </c>
      <c r="F6496" s="3">
        <f t="shared" si="202"/>
        <v>80933.93219800001</v>
      </c>
      <c r="G6496" s="3">
        <f t="shared" si="203"/>
        <v>401210.67219800001</v>
      </c>
    </row>
    <row r="6497" spans="1:7" x14ac:dyDescent="0.3">
      <c r="A6497" t="s">
        <v>13039</v>
      </c>
      <c r="B6497" t="s">
        <v>13032</v>
      </c>
      <c r="C6497" t="s">
        <v>13033</v>
      </c>
      <c r="D6497" s="1" t="s">
        <v>8767</v>
      </c>
      <c r="E6497" s="3">
        <v>1237.33</v>
      </c>
      <c r="F6497" s="3">
        <f t="shared" si="202"/>
        <v>312.67329100000001</v>
      </c>
      <c r="G6497" s="3">
        <f t="shared" si="203"/>
        <v>1550.003291</v>
      </c>
    </row>
    <row r="6498" spans="1:7" x14ac:dyDescent="0.3">
      <c r="A6498" t="s">
        <v>13039</v>
      </c>
      <c r="B6498" t="s">
        <v>13034</v>
      </c>
      <c r="C6498" t="s">
        <v>13035</v>
      </c>
      <c r="D6498" s="1" t="s">
        <v>2904</v>
      </c>
      <c r="E6498" s="3">
        <v>115.41</v>
      </c>
      <c r="F6498" s="3">
        <f t="shared" si="202"/>
        <v>29.164107000000005</v>
      </c>
      <c r="G6498" s="3">
        <f t="shared" si="203"/>
        <v>144.574107</v>
      </c>
    </row>
    <row r="6499" spans="1:7" x14ac:dyDescent="0.3">
      <c r="A6499" t="s">
        <v>13039</v>
      </c>
      <c r="B6499" t="s">
        <v>13036</v>
      </c>
      <c r="C6499" t="s">
        <v>13037</v>
      </c>
      <c r="D6499" s="1" t="s">
        <v>2904</v>
      </c>
      <c r="E6499" s="3">
        <v>190.02</v>
      </c>
      <c r="F6499" s="3">
        <f>+E6499*$F$4</f>
        <v>48.018054000000006</v>
      </c>
      <c r="G6499" s="3">
        <f>+E6499+F6499</f>
        <v>238.03805400000002</v>
      </c>
    </row>
  </sheetData>
  <autoFilter ref="A5:G6499" xr:uid="{35C99AF4-DE84-4C8C-9C9D-4EA4B36DF494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8190-17D9-4BBE-BEA8-3360123862CB}">
  <dimension ref="B2:C16"/>
  <sheetViews>
    <sheetView workbookViewId="0"/>
  </sheetViews>
  <sheetFormatPr defaultRowHeight="14.4" x14ac:dyDescent="0.3"/>
  <cols>
    <col min="2" max="2" width="57.6640625" customWidth="1"/>
    <col min="3" max="3" width="9.109375" style="13"/>
  </cols>
  <sheetData>
    <row r="2" spans="2:3" x14ac:dyDescent="0.3">
      <c r="B2" s="14" t="s">
        <v>13041</v>
      </c>
      <c r="C2" s="15">
        <v>0.08</v>
      </c>
    </row>
    <row r="4" spans="2:3" x14ac:dyDescent="0.3">
      <c r="B4" s="14" t="s">
        <v>13042</v>
      </c>
      <c r="C4" s="15">
        <f>SUM(C5:C8)</f>
        <v>8.9400000000000007E-2</v>
      </c>
    </row>
    <row r="5" spans="2:3" x14ac:dyDescent="0.3">
      <c r="B5" t="s">
        <v>13043</v>
      </c>
      <c r="C5" s="13">
        <v>7.0000000000000007E-2</v>
      </c>
    </row>
    <row r="6" spans="2:3" x14ac:dyDescent="0.3">
      <c r="B6" t="s">
        <v>13044</v>
      </c>
      <c r="C6" s="13">
        <v>3.0999999999999999E-3</v>
      </c>
    </row>
    <row r="7" spans="2:3" x14ac:dyDescent="0.3">
      <c r="B7" t="s">
        <v>13045</v>
      </c>
      <c r="C7" s="13">
        <v>6.3E-3</v>
      </c>
    </row>
    <row r="8" spans="2:3" x14ac:dyDescent="0.3">
      <c r="B8" t="s">
        <v>13046</v>
      </c>
      <c r="C8" s="13">
        <v>0.01</v>
      </c>
    </row>
    <row r="10" spans="2:3" x14ac:dyDescent="0.3">
      <c r="B10" s="14" t="s">
        <v>13047</v>
      </c>
      <c r="C10" s="15">
        <f>SUM(C11:C14)</f>
        <v>8.3300000000000013E-2</v>
      </c>
    </row>
    <row r="11" spans="2:3" x14ac:dyDescent="0.3">
      <c r="B11" t="s">
        <v>13051</v>
      </c>
      <c r="C11" s="13">
        <v>8.0999999999999996E-3</v>
      </c>
    </row>
    <row r="12" spans="2:3" x14ac:dyDescent="0.3">
      <c r="B12" t="s">
        <v>13048</v>
      </c>
      <c r="C12" s="13">
        <v>3.7600000000000001E-2</v>
      </c>
    </row>
    <row r="13" spans="2:3" x14ac:dyDescent="0.3">
      <c r="B13" t="s">
        <v>13052</v>
      </c>
      <c r="C13" s="13">
        <v>3.7600000000000001E-2</v>
      </c>
    </row>
    <row r="14" spans="2:3" x14ac:dyDescent="0.3">
      <c r="B14" t="s">
        <v>13049</v>
      </c>
      <c r="C14" s="13">
        <v>0</v>
      </c>
    </row>
    <row r="16" spans="2:3" x14ac:dyDescent="0.3">
      <c r="B16" s="14" t="s">
        <v>13050</v>
      </c>
      <c r="C16" s="15">
        <f>+C2+C4+C10</f>
        <v>0.25270000000000004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D47ED-9A6E-47E8-B20F-7F9C79678A6E}">
  <dimension ref="A1:H500"/>
  <sheetViews>
    <sheetView zoomScaleNormal="100" workbookViewId="0"/>
  </sheetViews>
  <sheetFormatPr defaultRowHeight="14.4" x14ac:dyDescent="0.3"/>
  <cols>
    <col min="1" max="1" width="16.109375" customWidth="1"/>
    <col min="2" max="2" width="28.33203125" customWidth="1"/>
    <col min="3" max="3" width="13.5546875" style="1" customWidth="1"/>
    <col min="4" max="4" width="15.88671875" customWidth="1"/>
    <col min="5" max="5" width="13.88671875" customWidth="1"/>
    <col min="6" max="6" width="18.6640625" customWidth="1"/>
    <col min="8" max="8" width="9" customWidth="1"/>
  </cols>
  <sheetData>
    <row r="1" spans="1:8" x14ac:dyDescent="0.3">
      <c r="A1" s="18" t="s">
        <v>13175</v>
      </c>
      <c r="D1" s="1"/>
      <c r="F1" s="19" t="s">
        <v>13190</v>
      </c>
      <c r="G1" s="14"/>
      <c r="H1" s="14"/>
    </row>
    <row r="2" spans="1:8" x14ac:dyDescent="0.3">
      <c r="A2" s="18"/>
      <c r="D2" s="1"/>
      <c r="F2" s="19"/>
      <c r="G2" s="14"/>
      <c r="H2" s="14"/>
    </row>
    <row r="3" spans="1:8" x14ac:dyDescent="0.3">
      <c r="A3" s="18" t="s">
        <v>13176</v>
      </c>
      <c r="B3" s="320" t="s">
        <v>13191</v>
      </c>
      <c r="C3" s="320"/>
      <c r="D3" s="320"/>
      <c r="E3" s="19" t="s">
        <v>13177</v>
      </c>
      <c r="F3" s="5" t="s">
        <v>13192</v>
      </c>
      <c r="G3" s="14"/>
      <c r="H3" s="14"/>
    </row>
    <row r="4" spans="1:8" x14ac:dyDescent="0.3">
      <c r="A4" s="18"/>
      <c r="B4" s="320"/>
      <c r="C4" s="320"/>
      <c r="D4" s="320"/>
      <c r="E4" s="19" t="s">
        <v>13178</v>
      </c>
      <c r="F4" s="5" t="s">
        <v>2904</v>
      </c>
      <c r="G4" s="14"/>
      <c r="H4" s="14"/>
    </row>
    <row r="5" spans="1:8" x14ac:dyDescent="0.3">
      <c r="A5" s="1"/>
      <c r="D5" s="1"/>
    </row>
    <row r="6" spans="1:8" s="25" customFormat="1" ht="10.8" x14ac:dyDescent="0.3">
      <c r="A6" s="24" t="s">
        <v>13179</v>
      </c>
      <c r="B6" s="24" t="s">
        <v>13193</v>
      </c>
      <c r="C6" s="24" t="s">
        <v>4</v>
      </c>
      <c r="D6" s="24" t="s">
        <v>13180</v>
      </c>
      <c r="E6" s="24" t="s">
        <v>13181</v>
      </c>
      <c r="F6" s="24" t="s">
        <v>13182</v>
      </c>
    </row>
    <row r="7" spans="1:8" s="25" customFormat="1" ht="10.8" x14ac:dyDescent="0.3">
      <c r="A7" s="24"/>
      <c r="B7" s="24"/>
      <c r="C7" s="24"/>
      <c r="D7" s="24"/>
      <c r="E7" s="24"/>
      <c r="F7" s="24"/>
    </row>
    <row r="8" spans="1:8" s="25" customFormat="1" ht="10.8" x14ac:dyDescent="0.3">
      <c r="A8" s="24" t="s">
        <v>13183</v>
      </c>
      <c r="B8" s="24"/>
      <c r="C8" s="24"/>
      <c r="D8" s="24"/>
      <c r="E8" s="24"/>
      <c r="F8" s="24"/>
    </row>
    <row r="9" spans="1:8" s="25" customFormat="1" ht="32.4" x14ac:dyDescent="0.3">
      <c r="A9" s="24" t="s">
        <v>13194</v>
      </c>
      <c r="B9" s="32" t="s">
        <v>13201</v>
      </c>
      <c r="C9" s="24" t="s">
        <v>2904</v>
      </c>
      <c r="D9" s="26">
        <v>46.22</v>
      </c>
      <c r="E9" s="37">
        <v>1.05</v>
      </c>
      <c r="F9" s="26">
        <f t="shared" ref="F9" si="0">+D9*E9</f>
        <v>48.530999999999999</v>
      </c>
    </row>
    <row r="10" spans="1:8" s="25" customFormat="1" ht="10.8" x14ac:dyDescent="0.3">
      <c r="A10" s="24"/>
      <c r="B10" s="33"/>
      <c r="C10" s="24"/>
      <c r="D10" s="26"/>
      <c r="E10" s="34"/>
      <c r="F10" s="26">
        <f t="shared" ref="F10:F13" si="1">+D10*E10</f>
        <v>0</v>
      </c>
    </row>
    <row r="11" spans="1:8" s="25" customFormat="1" ht="10.8" x14ac:dyDescent="0.3">
      <c r="A11" s="24"/>
      <c r="B11" s="33"/>
      <c r="C11" s="24"/>
      <c r="D11" s="26"/>
      <c r="E11" s="34"/>
      <c r="F11" s="26">
        <f t="shared" si="1"/>
        <v>0</v>
      </c>
    </row>
    <row r="12" spans="1:8" s="25" customFormat="1" ht="10.8" x14ac:dyDescent="0.3">
      <c r="A12" s="24"/>
      <c r="B12" s="33"/>
      <c r="C12" s="24"/>
      <c r="D12" s="26"/>
      <c r="E12" s="34"/>
      <c r="F12" s="26">
        <f t="shared" si="1"/>
        <v>0</v>
      </c>
    </row>
    <row r="13" spans="1:8" s="25" customFormat="1" ht="10.8" x14ac:dyDescent="0.3">
      <c r="A13" s="24"/>
      <c r="B13" s="33"/>
      <c r="C13" s="24"/>
      <c r="D13" s="26"/>
      <c r="E13" s="34"/>
      <c r="F13" s="26">
        <f t="shared" si="1"/>
        <v>0</v>
      </c>
    </row>
    <row r="14" spans="1:8" s="25" customFormat="1" ht="10.8" x14ac:dyDescent="0.3">
      <c r="A14" s="24"/>
      <c r="B14" s="24"/>
      <c r="C14" s="24"/>
      <c r="D14" s="27"/>
      <c r="E14" s="28"/>
      <c r="F14" s="27"/>
    </row>
    <row r="15" spans="1:8" s="25" customFormat="1" ht="10.8" x14ac:dyDescent="0.3">
      <c r="A15" s="24" t="s">
        <v>13184</v>
      </c>
      <c r="B15" s="24"/>
      <c r="C15" s="24"/>
      <c r="D15" s="27"/>
      <c r="E15" s="28"/>
      <c r="F15" s="27"/>
    </row>
    <row r="16" spans="1:8" s="25" customFormat="1" ht="10.8" x14ac:dyDescent="0.3">
      <c r="A16" s="24" t="s">
        <v>13195</v>
      </c>
      <c r="B16" s="33" t="s">
        <v>13197</v>
      </c>
      <c r="C16" s="24" t="s">
        <v>13199</v>
      </c>
      <c r="D16" s="35">
        <v>27.552299999999999</v>
      </c>
      <c r="E16" s="35">
        <v>0.2</v>
      </c>
      <c r="F16" s="26">
        <f t="shared" ref="F16:F19" si="2">+D16*E16</f>
        <v>5.5104600000000001</v>
      </c>
    </row>
    <row r="17" spans="1:6" s="25" customFormat="1" ht="10.8" x14ac:dyDescent="0.3">
      <c r="A17" s="24" t="s">
        <v>13196</v>
      </c>
      <c r="B17" s="33" t="s">
        <v>13198</v>
      </c>
      <c r="C17" s="24" t="s">
        <v>13199</v>
      </c>
      <c r="D17" s="35">
        <v>21.634</v>
      </c>
      <c r="E17" s="35">
        <v>0.2</v>
      </c>
      <c r="F17" s="26">
        <f t="shared" si="2"/>
        <v>4.3268000000000004</v>
      </c>
    </row>
    <row r="18" spans="1:6" s="25" customFormat="1" ht="10.8" x14ac:dyDescent="0.3">
      <c r="A18" s="24"/>
      <c r="B18" s="24"/>
      <c r="C18" s="24"/>
      <c r="D18" s="27"/>
      <c r="E18" s="28"/>
      <c r="F18" s="27">
        <f t="shared" si="2"/>
        <v>0</v>
      </c>
    </row>
    <row r="19" spans="1:6" s="25" customFormat="1" ht="10.8" x14ac:dyDescent="0.3">
      <c r="A19" s="24"/>
      <c r="B19" s="24"/>
      <c r="C19" s="24"/>
      <c r="D19" s="27"/>
      <c r="E19" s="28"/>
      <c r="F19" s="27">
        <f t="shared" si="2"/>
        <v>0</v>
      </c>
    </row>
    <row r="20" spans="1:6" s="25" customFormat="1" ht="10.8" x14ac:dyDescent="0.3">
      <c r="A20" s="24"/>
      <c r="B20" s="24"/>
      <c r="C20" s="24"/>
      <c r="D20" s="27"/>
      <c r="E20" s="28"/>
      <c r="F20" s="27"/>
    </row>
    <row r="21" spans="1:6" s="25" customFormat="1" ht="10.8" x14ac:dyDescent="0.3">
      <c r="A21" s="24" t="s">
        <v>13185</v>
      </c>
      <c r="B21" s="24"/>
      <c r="C21" s="24"/>
      <c r="D21" s="27"/>
      <c r="E21" s="28"/>
      <c r="F21" s="27"/>
    </row>
    <row r="22" spans="1:6" s="25" customFormat="1" ht="10.8" x14ac:dyDescent="0.3">
      <c r="A22" s="24"/>
      <c r="B22" s="24"/>
      <c r="C22" s="24"/>
      <c r="D22" s="27"/>
      <c r="E22" s="28"/>
      <c r="F22" s="27"/>
    </row>
    <row r="23" spans="1:6" s="25" customFormat="1" ht="10.8" x14ac:dyDescent="0.3">
      <c r="A23" s="24"/>
      <c r="B23" s="24"/>
      <c r="C23" s="24"/>
      <c r="D23" s="27"/>
      <c r="E23" s="28"/>
      <c r="F23" s="27">
        <f t="shared" ref="F23:F26" si="3">+D23*E23</f>
        <v>0</v>
      </c>
    </row>
    <row r="24" spans="1:6" s="25" customFormat="1" ht="10.8" x14ac:dyDescent="0.3">
      <c r="A24" s="24"/>
      <c r="B24" s="24"/>
      <c r="C24" s="24"/>
      <c r="D24" s="27"/>
      <c r="E24" s="28"/>
      <c r="F24" s="27">
        <f t="shared" si="3"/>
        <v>0</v>
      </c>
    </row>
    <row r="25" spans="1:6" s="25" customFormat="1" ht="10.8" x14ac:dyDescent="0.3">
      <c r="A25" s="24"/>
      <c r="B25" s="24"/>
      <c r="C25" s="24"/>
      <c r="D25" s="27"/>
      <c r="E25" s="28"/>
      <c r="F25" s="27">
        <f t="shared" si="3"/>
        <v>0</v>
      </c>
    </row>
    <row r="26" spans="1:6" s="25" customFormat="1" ht="10.8" x14ac:dyDescent="0.3">
      <c r="A26" s="24"/>
      <c r="B26" s="24"/>
      <c r="C26" s="24"/>
      <c r="D26" s="27"/>
      <c r="E26" s="28"/>
      <c r="F26" s="27">
        <f t="shared" si="3"/>
        <v>0</v>
      </c>
    </row>
    <row r="27" spans="1:6" s="25" customFormat="1" ht="10.8" x14ac:dyDescent="0.3">
      <c r="A27" s="24"/>
      <c r="B27" s="24"/>
      <c r="C27" s="24"/>
      <c r="D27" s="27"/>
      <c r="E27" s="28"/>
      <c r="F27" s="27"/>
    </row>
    <row r="28" spans="1:6" s="25" customFormat="1" ht="10.8" x14ac:dyDescent="0.3">
      <c r="A28" s="24" t="s">
        <v>13186</v>
      </c>
      <c r="B28" s="24"/>
      <c r="C28" s="24"/>
      <c r="D28" s="27"/>
      <c r="E28" s="28"/>
      <c r="F28" s="27"/>
    </row>
    <row r="29" spans="1:6" s="25" customFormat="1" ht="10.8" x14ac:dyDescent="0.3">
      <c r="A29" s="24"/>
      <c r="B29" s="24"/>
      <c r="C29" s="24"/>
      <c r="D29" s="27"/>
      <c r="E29" s="28"/>
      <c r="F29" s="27"/>
    </row>
    <row r="30" spans="1:6" s="25" customFormat="1" ht="10.8" x14ac:dyDescent="0.3">
      <c r="A30" s="24"/>
      <c r="B30" s="24"/>
      <c r="C30" s="24"/>
      <c r="D30" s="27"/>
      <c r="E30" s="28"/>
      <c r="F30" s="27">
        <f t="shared" ref="F30:F33" si="4">+D30*E30</f>
        <v>0</v>
      </c>
    </row>
    <row r="31" spans="1:6" s="25" customFormat="1" ht="10.8" x14ac:dyDescent="0.3">
      <c r="A31" s="24"/>
      <c r="B31" s="24"/>
      <c r="C31" s="24"/>
      <c r="D31" s="27"/>
      <c r="E31" s="28"/>
      <c r="F31" s="27">
        <f t="shared" si="4"/>
        <v>0</v>
      </c>
    </row>
    <row r="32" spans="1:6" s="25" customFormat="1" ht="10.8" x14ac:dyDescent="0.3">
      <c r="A32" s="24"/>
      <c r="B32" s="24"/>
      <c r="C32" s="24"/>
      <c r="D32" s="27"/>
      <c r="E32" s="28"/>
      <c r="F32" s="27">
        <f t="shared" si="4"/>
        <v>0</v>
      </c>
    </row>
    <row r="33" spans="1:8" s="25" customFormat="1" ht="10.8" x14ac:dyDescent="0.3">
      <c r="A33" s="24"/>
      <c r="B33" s="24"/>
      <c r="C33" s="24"/>
      <c r="D33" s="27"/>
      <c r="E33" s="28"/>
      <c r="F33" s="27">
        <f t="shared" si="4"/>
        <v>0</v>
      </c>
    </row>
    <row r="34" spans="1:8" s="25" customFormat="1" ht="10.8" x14ac:dyDescent="0.3">
      <c r="D34" s="29"/>
      <c r="E34" s="30"/>
      <c r="F34" s="29"/>
    </row>
    <row r="35" spans="1:8" s="25" customFormat="1" ht="10.8" x14ac:dyDescent="0.3">
      <c r="D35" s="321" t="s">
        <v>13187</v>
      </c>
      <c r="E35" s="322"/>
      <c r="F35" s="323"/>
    </row>
    <row r="36" spans="1:8" s="25" customFormat="1" ht="10.8" x14ac:dyDescent="0.3">
      <c r="D36" s="27" t="s">
        <v>13183</v>
      </c>
      <c r="E36" s="31">
        <f>+F36/F$41</f>
        <v>0.83146216796594585</v>
      </c>
      <c r="F36" s="27">
        <f>SUM(F9:F14)</f>
        <v>48.530999999999999</v>
      </c>
    </row>
    <row r="37" spans="1:8" s="25" customFormat="1" ht="10.8" x14ac:dyDescent="0.3">
      <c r="D37" s="27" t="s">
        <v>13184</v>
      </c>
      <c r="E37" s="31">
        <f t="shared" ref="E37:E39" si="5">+F37/F$41</f>
        <v>0.16853783203405415</v>
      </c>
      <c r="F37" s="27">
        <f>SUM(F16:F20)</f>
        <v>9.8372600000000006</v>
      </c>
    </row>
    <row r="38" spans="1:8" s="25" customFormat="1" ht="10.8" x14ac:dyDescent="0.3">
      <c r="D38" s="27" t="s">
        <v>13185</v>
      </c>
      <c r="E38" s="31">
        <f t="shared" si="5"/>
        <v>0</v>
      </c>
      <c r="F38" s="27">
        <f>SUM(F23:F27)</f>
        <v>0</v>
      </c>
    </row>
    <row r="39" spans="1:8" s="25" customFormat="1" ht="10.8" x14ac:dyDescent="0.3">
      <c r="D39" s="27" t="s">
        <v>13186</v>
      </c>
      <c r="E39" s="31">
        <f t="shared" si="5"/>
        <v>0</v>
      </c>
      <c r="F39" s="27">
        <f>SUM(F30:F33)</f>
        <v>0</v>
      </c>
    </row>
    <row r="40" spans="1:8" s="25" customFormat="1" ht="10.8" x14ac:dyDescent="0.3">
      <c r="D40" s="27"/>
      <c r="E40" s="31"/>
      <c r="F40" s="27"/>
    </row>
    <row r="41" spans="1:8" s="25" customFormat="1" ht="10.8" x14ac:dyDescent="0.3">
      <c r="D41" s="27" t="s">
        <v>13188</v>
      </c>
      <c r="E41" s="31">
        <f>SUM(E36:E40)</f>
        <v>1</v>
      </c>
      <c r="F41" s="27">
        <f>SUM(F36:F40)</f>
        <v>58.368259999999999</v>
      </c>
    </row>
    <row r="42" spans="1:8" s="25" customFormat="1" ht="10.8" x14ac:dyDescent="0.3">
      <c r="D42" s="27" t="s">
        <v>13050</v>
      </c>
      <c r="E42" s="31">
        <v>0.25270000000000004</v>
      </c>
      <c r="F42" s="27">
        <f>+F41*E42</f>
        <v>14.749659302000001</v>
      </c>
    </row>
    <row r="43" spans="1:8" s="25" customFormat="1" ht="10.8" x14ac:dyDescent="0.3">
      <c r="D43" s="27"/>
      <c r="E43" s="28"/>
      <c r="F43" s="27"/>
    </row>
    <row r="44" spans="1:8" s="25" customFormat="1" ht="10.8" x14ac:dyDescent="0.3">
      <c r="D44" s="27" t="s">
        <v>13189</v>
      </c>
      <c r="E44" s="28"/>
      <c r="F44" s="27">
        <f>SUM(F41:F43)</f>
        <v>73.117919302000004</v>
      </c>
    </row>
    <row r="45" spans="1:8" s="21" customFormat="1" ht="10.8" x14ac:dyDescent="0.25">
      <c r="C45" s="20"/>
      <c r="D45" s="22"/>
      <c r="E45" s="23"/>
      <c r="F45" s="22"/>
    </row>
    <row r="46" spans="1:8" x14ac:dyDescent="0.3">
      <c r="A46" s="18" t="s">
        <v>13176</v>
      </c>
      <c r="B46" s="320" t="s">
        <v>13204</v>
      </c>
      <c r="C46" s="320"/>
      <c r="D46" s="320"/>
      <c r="E46" s="19" t="s">
        <v>13177</v>
      </c>
      <c r="F46" s="5" t="s">
        <v>13205</v>
      </c>
      <c r="G46" s="14"/>
      <c r="H46" s="14"/>
    </row>
    <row r="47" spans="1:8" x14ac:dyDescent="0.3">
      <c r="A47" s="18"/>
      <c r="B47" s="320"/>
      <c r="C47" s="320"/>
      <c r="D47" s="320"/>
      <c r="E47" s="19" t="s">
        <v>13178</v>
      </c>
      <c r="F47" s="5" t="s">
        <v>2904</v>
      </c>
      <c r="G47" s="14"/>
      <c r="H47" s="14"/>
    </row>
    <row r="48" spans="1:8" x14ac:dyDescent="0.3">
      <c r="A48" s="1"/>
      <c r="D48" s="1"/>
    </row>
    <row r="49" spans="1:6" s="25" customFormat="1" ht="10.8" x14ac:dyDescent="0.3">
      <c r="A49" s="24" t="s">
        <v>13179</v>
      </c>
      <c r="B49" s="24" t="s">
        <v>13193</v>
      </c>
      <c r="C49" s="24" t="s">
        <v>4</v>
      </c>
      <c r="D49" s="24" t="s">
        <v>13180</v>
      </c>
      <c r="E49" s="24" t="s">
        <v>13181</v>
      </c>
      <c r="F49" s="24" t="s">
        <v>13182</v>
      </c>
    </row>
    <row r="50" spans="1:6" s="25" customFormat="1" ht="10.8" x14ac:dyDescent="0.3">
      <c r="A50" s="24"/>
      <c r="B50" s="24"/>
      <c r="C50" s="24"/>
      <c r="D50" s="24"/>
      <c r="E50" s="24"/>
      <c r="F50" s="24"/>
    </row>
    <row r="51" spans="1:6" s="25" customFormat="1" ht="10.8" x14ac:dyDescent="0.3">
      <c r="A51" s="24" t="s">
        <v>13183</v>
      </c>
      <c r="B51" s="24"/>
      <c r="C51" s="24"/>
      <c r="D51" s="24"/>
      <c r="E51" s="24"/>
      <c r="F51" s="24"/>
    </row>
    <row r="52" spans="1:6" s="25" customFormat="1" ht="10.8" x14ac:dyDescent="0.3">
      <c r="A52" s="24" t="s">
        <v>13206</v>
      </c>
      <c r="B52" s="32" t="s">
        <v>13207</v>
      </c>
      <c r="C52" s="24" t="s">
        <v>2904</v>
      </c>
      <c r="D52" s="26">
        <v>43.022500000000001</v>
      </c>
      <c r="E52" s="36">
        <v>1.1000000000000001</v>
      </c>
      <c r="F52" s="26">
        <f t="shared" ref="F52:F56" si="6">+D52*E52</f>
        <v>47.324750000000002</v>
      </c>
    </row>
    <row r="53" spans="1:6" s="25" customFormat="1" ht="10.8" x14ac:dyDescent="0.3">
      <c r="A53" s="24"/>
      <c r="B53" s="33"/>
      <c r="C53" s="24"/>
      <c r="D53" s="26"/>
      <c r="E53" s="34"/>
      <c r="F53" s="26">
        <f t="shared" si="6"/>
        <v>0</v>
      </c>
    </row>
    <row r="54" spans="1:6" s="25" customFormat="1" ht="10.8" x14ac:dyDescent="0.3">
      <c r="A54" s="24"/>
      <c r="B54" s="33"/>
      <c r="C54" s="24"/>
      <c r="D54" s="26"/>
      <c r="E54" s="34"/>
      <c r="F54" s="26">
        <f t="shared" si="6"/>
        <v>0</v>
      </c>
    </row>
    <row r="55" spans="1:6" s="25" customFormat="1" ht="10.8" x14ac:dyDescent="0.3">
      <c r="A55" s="24"/>
      <c r="B55" s="33"/>
      <c r="C55" s="24"/>
      <c r="D55" s="26"/>
      <c r="E55" s="34"/>
      <c r="F55" s="26">
        <f t="shared" si="6"/>
        <v>0</v>
      </c>
    </row>
    <row r="56" spans="1:6" s="25" customFormat="1" ht="10.8" x14ac:dyDescent="0.3">
      <c r="A56" s="24"/>
      <c r="B56" s="33"/>
      <c r="C56" s="24"/>
      <c r="D56" s="26"/>
      <c r="E56" s="34"/>
      <c r="F56" s="26">
        <f t="shared" si="6"/>
        <v>0</v>
      </c>
    </row>
    <row r="57" spans="1:6" s="25" customFormat="1" ht="10.8" x14ac:dyDescent="0.3">
      <c r="A57" s="24"/>
      <c r="B57" s="24"/>
      <c r="C57" s="24"/>
      <c r="D57" s="27"/>
      <c r="E57" s="28"/>
      <c r="F57" s="27"/>
    </row>
    <row r="58" spans="1:6" s="25" customFormat="1" ht="10.8" x14ac:dyDescent="0.3">
      <c r="A58" s="24" t="s">
        <v>13184</v>
      </c>
      <c r="B58" s="24"/>
      <c r="C58" s="24"/>
      <c r="D58" s="27"/>
      <c r="E58" s="28"/>
      <c r="F58" s="27"/>
    </row>
    <row r="59" spans="1:6" s="25" customFormat="1" ht="10.8" x14ac:dyDescent="0.3">
      <c r="A59" s="24" t="s">
        <v>13196</v>
      </c>
      <c r="B59" s="33" t="s">
        <v>13198</v>
      </c>
      <c r="C59" s="24" t="s">
        <v>13199</v>
      </c>
      <c r="D59" s="35">
        <v>21.634</v>
      </c>
      <c r="E59" s="35">
        <f>2/520</f>
        <v>3.8461538461538464E-3</v>
      </c>
      <c r="F59" s="26">
        <f t="shared" ref="F59:F62" si="7">+D59*E59</f>
        <v>8.3207692307692316E-2</v>
      </c>
    </row>
    <row r="60" spans="1:6" s="25" customFormat="1" ht="10.8" x14ac:dyDescent="0.3">
      <c r="A60" s="24"/>
      <c r="B60" s="33"/>
      <c r="C60" s="24"/>
      <c r="D60" s="35"/>
      <c r="E60" s="26"/>
      <c r="F60" s="26">
        <f t="shared" si="7"/>
        <v>0</v>
      </c>
    </row>
    <row r="61" spans="1:6" s="25" customFormat="1" ht="10.8" x14ac:dyDescent="0.3">
      <c r="A61" s="24"/>
      <c r="B61" s="24"/>
      <c r="C61" s="24"/>
      <c r="D61" s="27"/>
      <c r="E61" s="28"/>
      <c r="F61" s="27">
        <f t="shared" si="7"/>
        <v>0</v>
      </c>
    </row>
    <row r="62" spans="1:6" s="25" customFormat="1" ht="10.8" x14ac:dyDescent="0.3">
      <c r="A62" s="24"/>
      <c r="B62" s="24"/>
      <c r="C62" s="24"/>
      <c r="D62" s="27"/>
      <c r="E62" s="28"/>
      <c r="F62" s="27">
        <f t="shared" si="7"/>
        <v>0</v>
      </c>
    </row>
    <row r="63" spans="1:6" s="25" customFormat="1" ht="10.8" x14ac:dyDescent="0.3">
      <c r="A63" s="24"/>
      <c r="B63" s="24"/>
      <c r="C63" s="24"/>
      <c r="D63" s="27"/>
      <c r="E63" s="28"/>
      <c r="F63" s="27"/>
    </row>
    <row r="64" spans="1:6" s="25" customFormat="1" ht="10.8" x14ac:dyDescent="0.3">
      <c r="A64" s="24" t="s">
        <v>13185</v>
      </c>
      <c r="B64" s="24"/>
      <c r="C64" s="24"/>
      <c r="D64" s="27"/>
      <c r="E64" s="28"/>
      <c r="F64" s="27"/>
    </row>
    <row r="65" spans="1:6" s="25" customFormat="1" ht="10.8" x14ac:dyDescent="0.3">
      <c r="A65" s="24"/>
      <c r="B65" s="24"/>
      <c r="C65" s="24"/>
      <c r="D65" s="27"/>
      <c r="E65" s="28"/>
      <c r="F65" s="27"/>
    </row>
    <row r="66" spans="1:6" s="25" customFormat="1" ht="10.8" x14ac:dyDescent="0.3">
      <c r="A66" s="24"/>
      <c r="B66" s="24"/>
      <c r="C66" s="24"/>
      <c r="D66" s="27"/>
      <c r="E66" s="28"/>
      <c r="F66" s="27">
        <f t="shared" ref="F66:F69" si="8">+D66*E66</f>
        <v>0</v>
      </c>
    </row>
    <row r="67" spans="1:6" s="25" customFormat="1" ht="10.8" x14ac:dyDescent="0.3">
      <c r="A67" s="24"/>
      <c r="B67" s="24"/>
      <c r="C67" s="24"/>
      <c r="D67" s="27"/>
      <c r="E67" s="28"/>
      <c r="F67" s="27">
        <f t="shared" si="8"/>
        <v>0</v>
      </c>
    </row>
    <row r="68" spans="1:6" s="25" customFormat="1" ht="10.8" x14ac:dyDescent="0.3">
      <c r="A68" s="24"/>
      <c r="B68" s="24"/>
      <c r="C68" s="24"/>
      <c r="D68" s="27"/>
      <c r="E68" s="28"/>
      <c r="F68" s="27">
        <f t="shared" si="8"/>
        <v>0</v>
      </c>
    </row>
    <row r="69" spans="1:6" s="25" customFormat="1" ht="10.8" x14ac:dyDescent="0.3">
      <c r="A69" s="24"/>
      <c r="B69" s="24"/>
      <c r="C69" s="24"/>
      <c r="D69" s="27"/>
      <c r="E69" s="28"/>
      <c r="F69" s="27">
        <f t="shared" si="8"/>
        <v>0</v>
      </c>
    </row>
    <row r="70" spans="1:6" s="25" customFormat="1" ht="10.8" x14ac:dyDescent="0.3">
      <c r="A70" s="24"/>
      <c r="B70" s="24"/>
      <c r="C70" s="24"/>
      <c r="D70" s="27"/>
      <c r="E70" s="28"/>
      <c r="F70" s="27"/>
    </row>
    <row r="71" spans="1:6" s="25" customFormat="1" ht="10.8" x14ac:dyDescent="0.3">
      <c r="A71" s="24" t="s">
        <v>13186</v>
      </c>
      <c r="B71" s="24"/>
      <c r="C71" s="24"/>
      <c r="D71" s="27"/>
      <c r="E71" s="28"/>
      <c r="F71" s="27"/>
    </row>
    <row r="72" spans="1:6" s="25" customFormat="1" ht="10.8" x14ac:dyDescent="0.3">
      <c r="A72" s="24"/>
      <c r="B72" s="24"/>
      <c r="C72" s="24"/>
      <c r="D72" s="27"/>
      <c r="E72" s="28"/>
      <c r="F72" s="27"/>
    </row>
    <row r="73" spans="1:6" s="25" customFormat="1" ht="10.8" x14ac:dyDescent="0.3">
      <c r="A73" s="24"/>
      <c r="B73" s="24"/>
      <c r="C73" s="24"/>
      <c r="D73" s="27"/>
      <c r="E73" s="28"/>
      <c r="F73" s="27">
        <f t="shared" ref="F73:F76" si="9">+D73*E73</f>
        <v>0</v>
      </c>
    </row>
    <row r="74" spans="1:6" s="25" customFormat="1" ht="10.8" x14ac:dyDescent="0.3">
      <c r="A74" s="24"/>
      <c r="B74" s="24"/>
      <c r="C74" s="24"/>
      <c r="D74" s="27"/>
      <c r="E74" s="28"/>
      <c r="F74" s="27">
        <f t="shared" si="9"/>
        <v>0</v>
      </c>
    </row>
    <row r="75" spans="1:6" s="25" customFormat="1" ht="10.8" x14ac:dyDescent="0.3">
      <c r="A75" s="24"/>
      <c r="B75" s="24"/>
      <c r="C75" s="24"/>
      <c r="D75" s="27"/>
      <c r="E75" s="28"/>
      <c r="F75" s="27">
        <f t="shared" si="9"/>
        <v>0</v>
      </c>
    </row>
    <row r="76" spans="1:6" s="25" customFormat="1" ht="10.8" x14ac:dyDescent="0.3">
      <c r="A76" s="24"/>
      <c r="B76" s="24"/>
      <c r="C76" s="24"/>
      <c r="D76" s="27"/>
      <c r="E76" s="28"/>
      <c r="F76" s="27">
        <f t="shared" si="9"/>
        <v>0</v>
      </c>
    </row>
    <row r="77" spans="1:6" s="25" customFormat="1" ht="10.8" x14ac:dyDescent="0.3">
      <c r="D77" s="29"/>
      <c r="E77" s="30"/>
      <c r="F77" s="29"/>
    </row>
    <row r="78" spans="1:6" s="25" customFormat="1" ht="10.8" x14ac:dyDescent="0.3">
      <c r="D78" s="321" t="s">
        <v>13187</v>
      </c>
      <c r="E78" s="322"/>
      <c r="F78" s="323"/>
    </row>
    <row r="79" spans="1:6" s="25" customFormat="1" ht="10.8" x14ac:dyDescent="0.3">
      <c r="D79" s="27" t="s">
        <v>13183</v>
      </c>
      <c r="E79" s="31">
        <f>+F79/F$84</f>
        <v>0.99824485811332053</v>
      </c>
      <c r="F79" s="27">
        <f>SUM(F52:F57)</f>
        <v>47.324750000000002</v>
      </c>
    </row>
    <row r="80" spans="1:6" s="25" customFormat="1" ht="10.8" x14ac:dyDescent="0.3">
      <c r="D80" s="27" t="s">
        <v>13184</v>
      </c>
      <c r="E80" s="31">
        <f t="shared" ref="E80:E82" si="10">+F80/F$84</f>
        <v>1.7551418866793623E-3</v>
      </c>
      <c r="F80" s="27">
        <f>SUM(F59:F63)</f>
        <v>8.3207692307692316E-2</v>
      </c>
    </row>
    <row r="81" spans="1:8" s="25" customFormat="1" ht="10.8" x14ac:dyDescent="0.3">
      <c r="D81" s="27" t="s">
        <v>13185</v>
      </c>
      <c r="E81" s="31">
        <f t="shared" si="10"/>
        <v>0</v>
      </c>
      <c r="F81" s="27">
        <f>SUM(F66:F70)</f>
        <v>0</v>
      </c>
    </row>
    <row r="82" spans="1:8" s="25" customFormat="1" ht="10.8" x14ac:dyDescent="0.3">
      <c r="D82" s="27" t="s">
        <v>13186</v>
      </c>
      <c r="E82" s="31">
        <f t="shared" si="10"/>
        <v>0</v>
      </c>
      <c r="F82" s="27">
        <f>SUM(F73:F76)</f>
        <v>0</v>
      </c>
    </row>
    <row r="83" spans="1:8" s="25" customFormat="1" ht="10.8" x14ac:dyDescent="0.3">
      <c r="D83" s="27"/>
      <c r="E83" s="31"/>
      <c r="F83" s="27"/>
    </row>
    <row r="84" spans="1:8" s="25" customFormat="1" ht="10.8" x14ac:dyDescent="0.3">
      <c r="D84" s="27" t="s">
        <v>13188</v>
      </c>
      <c r="E84" s="31">
        <f>SUM(E79:E83)</f>
        <v>0.99999999999999989</v>
      </c>
      <c r="F84" s="27">
        <f>SUM(F79:F83)</f>
        <v>47.407957692307697</v>
      </c>
    </row>
    <row r="85" spans="1:8" s="25" customFormat="1" ht="10.8" x14ac:dyDescent="0.3">
      <c r="D85" s="27" t="s">
        <v>13050</v>
      </c>
      <c r="E85" s="31">
        <v>0.25270000000000004</v>
      </c>
      <c r="F85" s="27">
        <f>+F84*E85</f>
        <v>11.979990908846156</v>
      </c>
    </row>
    <row r="86" spans="1:8" s="25" customFormat="1" ht="10.8" x14ac:dyDescent="0.3">
      <c r="D86" s="27"/>
      <c r="E86" s="28"/>
      <c r="F86" s="27"/>
    </row>
    <row r="87" spans="1:8" s="25" customFormat="1" ht="10.8" x14ac:dyDescent="0.3">
      <c r="D87" s="27" t="s">
        <v>13189</v>
      </c>
      <c r="E87" s="28"/>
      <c r="F87" s="27">
        <f>SUM(F84:F86)</f>
        <v>59.387948601153852</v>
      </c>
    </row>
    <row r="88" spans="1:8" s="21" customFormat="1" ht="10.8" x14ac:dyDescent="0.25">
      <c r="C88" s="20"/>
      <c r="D88" s="22"/>
      <c r="E88" s="23"/>
      <c r="F88" s="22"/>
    </row>
    <row r="89" spans="1:8" x14ac:dyDescent="0.3">
      <c r="A89" s="18" t="s">
        <v>13176</v>
      </c>
      <c r="B89" s="320" t="s">
        <v>13208</v>
      </c>
      <c r="C89" s="320"/>
      <c r="D89" s="320"/>
      <c r="E89" s="19" t="s">
        <v>13177</v>
      </c>
      <c r="F89" s="5" t="s">
        <v>13209</v>
      </c>
      <c r="G89" s="14"/>
      <c r="H89" s="14"/>
    </row>
    <row r="90" spans="1:8" x14ac:dyDescent="0.3">
      <c r="A90" s="18"/>
      <c r="B90" s="320"/>
      <c r="C90" s="320"/>
      <c r="D90" s="320"/>
      <c r="E90" s="19" t="s">
        <v>13178</v>
      </c>
      <c r="F90" s="5" t="s">
        <v>195</v>
      </c>
      <c r="G90" s="14"/>
      <c r="H90" s="14"/>
    </row>
    <row r="91" spans="1:8" x14ac:dyDescent="0.3">
      <c r="A91" s="1"/>
      <c r="D91" s="1"/>
    </row>
    <row r="92" spans="1:8" s="25" customFormat="1" ht="10.8" x14ac:dyDescent="0.3">
      <c r="A92" s="24" t="s">
        <v>13179</v>
      </c>
      <c r="B92" s="24" t="s">
        <v>13193</v>
      </c>
      <c r="C92" s="24" t="s">
        <v>4</v>
      </c>
      <c r="D92" s="24" t="s">
        <v>13180</v>
      </c>
      <c r="E92" s="24" t="s">
        <v>13181</v>
      </c>
      <c r="F92" s="24" t="s">
        <v>13182</v>
      </c>
    </row>
    <row r="93" spans="1:8" s="25" customFormat="1" ht="10.8" x14ac:dyDescent="0.3">
      <c r="A93" s="24"/>
      <c r="B93" s="24"/>
      <c r="C93" s="24"/>
      <c r="D93" s="24"/>
      <c r="E93" s="24"/>
      <c r="F93" s="24"/>
    </row>
    <row r="94" spans="1:8" s="25" customFormat="1" ht="10.8" x14ac:dyDescent="0.3">
      <c r="A94" s="24" t="s">
        <v>13183</v>
      </c>
      <c r="B94" s="24"/>
      <c r="C94" s="24"/>
      <c r="D94" s="24"/>
      <c r="E94" s="24"/>
      <c r="F94" s="24"/>
    </row>
    <row r="95" spans="1:8" s="25" customFormat="1" ht="10.8" x14ac:dyDescent="0.3">
      <c r="A95" s="24" t="s">
        <v>13216</v>
      </c>
      <c r="B95" s="32" t="s">
        <v>13217</v>
      </c>
      <c r="C95" s="24" t="s">
        <v>210</v>
      </c>
      <c r="D95" s="26">
        <v>0.54339999999999999</v>
      </c>
      <c r="E95" s="38">
        <f>458.01187*0.002</f>
        <v>0.91602373999999998</v>
      </c>
      <c r="F95" s="26">
        <f t="shared" ref="F95:F99" si="11">+D95*E95</f>
        <v>0.49776730031599997</v>
      </c>
    </row>
    <row r="96" spans="1:8" s="25" customFormat="1" ht="10.8" x14ac:dyDescent="0.3">
      <c r="A96" s="24" t="s">
        <v>13218</v>
      </c>
      <c r="B96" s="33" t="s">
        <v>13219</v>
      </c>
      <c r="C96" s="24" t="s">
        <v>427</v>
      </c>
      <c r="D96" s="26">
        <v>156.77090000000001</v>
      </c>
      <c r="E96" s="38">
        <f>1.00435*0.002</f>
        <v>2.0087E-3</v>
      </c>
      <c r="F96" s="26">
        <f t="shared" si="11"/>
        <v>0.31490570683000002</v>
      </c>
    </row>
    <row r="97" spans="1:8" s="25" customFormat="1" ht="21.6" x14ac:dyDescent="0.3">
      <c r="A97" s="24">
        <v>4059</v>
      </c>
      <c r="B97" s="32" t="s">
        <v>13220</v>
      </c>
      <c r="C97" s="24" t="s">
        <v>195</v>
      </c>
      <c r="D97" s="26">
        <v>29.04</v>
      </c>
      <c r="E97" s="34">
        <v>1.0049999999999999</v>
      </c>
      <c r="F97" s="26">
        <f t="shared" si="11"/>
        <v>29.185199999999995</v>
      </c>
      <c r="H97" s="39"/>
    </row>
    <row r="98" spans="1:8" s="25" customFormat="1" ht="10.8" x14ac:dyDescent="0.3">
      <c r="A98" s="24"/>
      <c r="B98" s="33"/>
      <c r="C98" s="24"/>
      <c r="D98" s="26"/>
      <c r="E98" s="34"/>
      <c r="F98" s="26">
        <f t="shared" si="11"/>
        <v>0</v>
      </c>
    </row>
    <row r="99" spans="1:8" s="25" customFormat="1" ht="10.8" x14ac:dyDescent="0.3">
      <c r="A99" s="24"/>
      <c r="B99" s="33"/>
      <c r="C99" s="24"/>
      <c r="D99" s="26"/>
      <c r="E99" s="34"/>
      <c r="F99" s="26">
        <f t="shared" si="11"/>
        <v>0</v>
      </c>
    </row>
    <row r="100" spans="1:8" s="25" customFormat="1" ht="10.8" x14ac:dyDescent="0.3">
      <c r="A100" s="24"/>
      <c r="B100" s="24"/>
      <c r="C100" s="24"/>
      <c r="D100" s="27"/>
      <c r="E100" s="28"/>
      <c r="F100" s="27"/>
    </row>
    <row r="101" spans="1:8" s="25" customFormat="1" ht="10.8" x14ac:dyDescent="0.3">
      <c r="A101" s="24" t="s">
        <v>13184</v>
      </c>
      <c r="B101" s="24"/>
      <c r="C101" s="24"/>
      <c r="D101" s="27"/>
      <c r="E101" s="28"/>
      <c r="F101" s="27"/>
    </row>
    <row r="102" spans="1:8" s="25" customFormat="1" ht="10.8" x14ac:dyDescent="0.3">
      <c r="A102" s="24" t="s">
        <v>13195</v>
      </c>
      <c r="B102" s="33" t="s">
        <v>13197</v>
      </c>
      <c r="C102" s="24" t="s">
        <v>13199</v>
      </c>
      <c r="D102" s="35">
        <v>27.552299999999999</v>
      </c>
      <c r="E102" s="35">
        <f>1/4.22*0.002</f>
        <v>4.7393364928909954E-4</v>
      </c>
      <c r="F102" s="26">
        <f t="shared" ref="F102:F105" si="12">+D102*E102</f>
        <v>1.3057962085308057E-2</v>
      </c>
    </row>
    <row r="103" spans="1:8" s="25" customFormat="1" ht="10.8" x14ac:dyDescent="0.3">
      <c r="A103" s="24" t="s">
        <v>13196</v>
      </c>
      <c r="B103" s="33" t="s">
        <v>13198</v>
      </c>
      <c r="C103" s="24" t="s">
        <v>13199</v>
      </c>
      <c r="D103" s="35">
        <v>21.634</v>
      </c>
      <c r="E103" s="35">
        <f>8/4.22*0.002</f>
        <v>3.7914691943127963E-3</v>
      </c>
      <c r="F103" s="26">
        <f t="shared" si="12"/>
        <v>8.2024644549763034E-2</v>
      </c>
    </row>
    <row r="104" spans="1:8" s="25" customFormat="1" ht="10.8" x14ac:dyDescent="0.3">
      <c r="A104" s="24"/>
      <c r="B104" s="24"/>
      <c r="C104" s="24"/>
      <c r="D104" s="27"/>
      <c r="E104" s="28"/>
      <c r="F104" s="27">
        <f t="shared" si="12"/>
        <v>0</v>
      </c>
    </row>
    <row r="105" spans="1:8" s="25" customFormat="1" ht="10.8" x14ac:dyDescent="0.3">
      <c r="A105" s="24"/>
      <c r="B105" s="24"/>
      <c r="C105" s="24"/>
      <c r="D105" s="27"/>
      <c r="E105" s="28"/>
      <c r="F105" s="27">
        <f t="shared" si="12"/>
        <v>0</v>
      </c>
    </row>
    <row r="106" spans="1:8" s="25" customFormat="1" ht="10.8" x14ac:dyDescent="0.3">
      <c r="A106" s="24"/>
      <c r="B106" s="24"/>
      <c r="C106" s="24"/>
      <c r="D106" s="27"/>
      <c r="E106" s="28"/>
      <c r="F106" s="27"/>
    </row>
    <row r="107" spans="1:8" s="25" customFormat="1" ht="10.8" x14ac:dyDescent="0.3">
      <c r="A107" s="24" t="s">
        <v>13185</v>
      </c>
      <c r="B107" s="24"/>
      <c r="C107" s="24"/>
      <c r="D107" s="27"/>
      <c r="E107" s="28"/>
      <c r="F107" s="27"/>
    </row>
    <row r="108" spans="1:8" s="25" customFormat="1" ht="21.6" x14ac:dyDescent="0.3">
      <c r="A108" s="24" t="s">
        <v>13210</v>
      </c>
      <c r="B108" s="32" t="s">
        <v>13213</v>
      </c>
      <c r="C108" s="24" t="s">
        <v>13199</v>
      </c>
      <c r="D108" s="27">
        <v>55.600700000000003</v>
      </c>
      <c r="E108" s="28">
        <f>0.2369*0.002</f>
        <v>4.7380000000000002E-4</v>
      </c>
      <c r="F108" s="27">
        <f t="shared" ref="F108:F112" si="13">+D108*E108</f>
        <v>2.6343611660000002E-2</v>
      </c>
    </row>
    <row r="109" spans="1:8" s="25" customFormat="1" ht="21.6" x14ac:dyDescent="0.3">
      <c r="A109" s="24" t="s">
        <v>13211</v>
      </c>
      <c r="B109" s="32" t="s">
        <v>13214</v>
      </c>
      <c r="C109" s="24" t="s">
        <v>13199</v>
      </c>
      <c r="D109" s="27">
        <v>0.68389999999999995</v>
      </c>
      <c r="E109" s="28">
        <f>0.6993*0.002</f>
        <v>1.3986000000000001E-3</v>
      </c>
      <c r="F109" s="27">
        <f t="shared" si="13"/>
        <v>9.5650253999999993E-4</v>
      </c>
    </row>
    <row r="110" spans="1:8" s="25" customFormat="1" ht="21.6" x14ac:dyDescent="0.3">
      <c r="A110" s="24" t="s">
        <v>13212</v>
      </c>
      <c r="B110" s="32" t="s">
        <v>13215</v>
      </c>
      <c r="C110" s="24" t="s">
        <v>13199</v>
      </c>
      <c r="D110" s="27">
        <v>1.4915</v>
      </c>
      <c r="E110" s="28">
        <f>0.5689*0.002</f>
        <v>1.1378E-3</v>
      </c>
      <c r="F110" s="27">
        <f t="shared" si="13"/>
        <v>1.6970287E-3</v>
      </c>
    </row>
    <row r="111" spans="1:8" s="25" customFormat="1" ht="10.8" x14ac:dyDescent="0.3">
      <c r="A111" s="24"/>
      <c r="B111" s="24"/>
      <c r="C111" s="24"/>
      <c r="D111" s="27"/>
      <c r="E111" s="28"/>
      <c r="F111" s="27">
        <f t="shared" si="13"/>
        <v>0</v>
      </c>
    </row>
    <row r="112" spans="1:8" s="25" customFormat="1" ht="10.8" x14ac:dyDescent="0.3">
      <c r="A112" s="24"/>
      <c r="B112" s="24"/>
      <c r="C112" s="24"/>
      <c r="D112" s="27"/>
      <c r="E112" s="28"/>
      <c r="F112" s="27">
        <f t="shared" si="13"/>
        <v>0</v>
      </c>
    </row>
    <row r="113" spans="1:6" s="25" customFormat="1" ht="10.8" x14ac:dyDescent="0.3">
      <c r="A113" s="24"/>
      <c r="B113" s="24"/>
      <c r="C113" s="24"/>
      <c r="D113" s="27"/>
      <c r="E113" s="28"/>
      <c r="F113" s="27"/>
    </row>
    <row r="114" spans="1:6" s="25" customFormat="1" ht="10.8" x14ac:dyDescent="0.3">
      <c r="A114" s="24" t="s">
        <v>13186</v>
      </c>
      <c r="B114" s="24"/>
      <c r="C114" s="24"/>
      <c r="D114" s="27"/>
      <c r="E114" s="28"/>
      <c r="F114" s="27"/>
    </row>
    <row r="115" spans="1:6" s="25" customFormat="1" ht="10.8" x14ac:dyDescent="0.3">
      <c r="A115" s="24"/>
      <c r="B115" s="24"/>
      <c r="C115" s="24"/>
      <c r="D115" s="27"/>
      <c r="E115" s="28"/>
      <c r="F115" s="27"/>
    </row>
    <row r="116" spans="1:6" s="25" customFormat="1" ht="10.8" x14ac:dyDescent="0.3">
      <c r="A116" s="24"/>
      <c r="B116" s="24"/>
      <c r="C116" s="24"/>
      <c r="D116" s="27"/>
      <c r="E116" s="28"/>
      <c r="F116" s="27">
        <f t="shared" ref="F116:F119" si="14">+D116*E116</f>
        <v>0</v>
      </c>
    </row>
    <row r="117" spans="1:6" s="25" customFormat="1" ht="10.8" x14ac:dyDescent="0.3">
      <c r="A117" s="24"/>
      <c r="B117" s="24"/>
      <c r="C117" s="24"/>
      <c r="D117" s="27"/>
      <c r="E117" s="28"/>
      <c r="F117" s="27">
        <f t="shared" si="14"/>
        <v>0</v>
      </c>
    </row>
    <row r="118" spans="1:6" s="25" customFormat="1" ht="10.8" x14ac:dyDescent="0.3">
      <c r="A118" s="24"/>
      <c r="B118" s="24"/>
      <c r="C118" s="24"/>
      <c r="D118" s="27"/>
      <c r="E118" s="28"/>
      <c r="F118" s="27">
        <f t="shared" si="14"/>
        <v>0</v>
      </c>
    </row>
    <row r="119" spans="1:6" s="25" customFormat="1" ht="10.8" x14ac:dyDescent="0.3">
      <c r="A119" s="24"/>
      <c r="B119" s="24"/>
      <c r="C119" s="24"/>
      <c r="D119" s="27"/>
      <c r="E119" s="28"/>
      <c r="F119" s="27">
        <f t="shared" si="14"/>
        <v>0</v>
      </c>
    </row>
    <row r="120" spans="1:6" s="25" customFormat="1" ht="10.8" x14ac:dyDescent="0.3">
      <c r="D120" s="29"/>
      <c r="E120" s="30"/>
      <c r="F120" s="29"/>
    </row>
    <row r="121" spans="1:6" s="25" customFormat="1" ht="10.8" x14ac:dyDescent="0.3">
      <c r="D121" s="321" t="s">
        <v>13187</v>
      </c>
      <c r="E121" s="322"/>
      <c r="F121" s="323"/>
    </row>
    <row r="122" spans="1:6" s="25" customFormat="1" ht="10.8" x14ac:dyDescent="0.3">
      <c r="D122" s="27" t="s">
        <v>13183</v>
      </c>
      <c r="E122" s="31">
        <f>+F122/F$127</f>
        <v>0.99675247849597892</v>
      </c>
      <c r="F122" s="27">
        <f>SUM(F95:F100)</f>
        <v>29.997873007145994</v>
      </c>
    </row>
    <row r="123" spans="1:6" s="25" customFormat="1" ht="10.8" x14ac:dyDescent="0.3">
      <c r="D123" s="27" t="s">
        <v>13184</v>
      </c>
      <c r="E123" s="31">
        <f t="shared" ref="E123:E125" si="15">+F123/F$127</f>
        <v>3.1593514581113339E-3</v>
      </c>
      <c r="F123" s="27">
        <f>SUM(F102:F106)</f>
        <v>9.5082606635071093E-2</v>
      </c>
    </row>
    <row r="124" spans="1:6" s="25" customFormat="1" ht="10.8" x14ac:dyDescent="0.3">
      <c r="D124" s="27" t="s">
        <v>13185</v>
      </c>
      <c r="E124" s="31">
        <f t="shared" si="15"/>
        <v>8.8170045909803172E-5</v>
      </c>
      <c r="F124" s="27">
        <f>SUM(F109:F113)</f>
        <v>2.6535312399999997E-3</v>
      </c>
    </row>
    <row r="125" spans="1:6" s="25" customFormat="1" ht="10.8" x14ac:dyDescent="0.3">
      <c r="D125" s="27" t="s">
        <v>13186</v>
      </c>
      <c r="E125" s="31">
        <f t="shared" si="15"/>
        <v>0</v>
      </c>
      <c r="F125" s="27">
        <f>SUM(F116:F119)</f>
        <v>0</v>
      </c>
    </row>
    <row r="126" spans="1:6" s="25" customFormat="1" ht="10.8" x14ac:dyDescent="0.3">
      <c r="D126" s="27"/>
      <c r="E126" s="31"/>
      <c r="F126" s="27"/>
    </row>
    <row r="127" spans="1:6" s="25" customFormat="1" ht="10.8" x14ac:dyDescent="0.3">
      <c r="D127" s="27" t="s">
        <v>13188</v>
      </c>
      <c r="E127" s="31">
        <f>SUM(E122:E126)</f>
        <v>1</v>
      </c>
      <c r="F127" s="27">
        <f>SUM(F122:F126)</f>
        <v>30.095609145021065</v>
      </c>
    </row>
    <row r="128" spans="1:6" s="25" customFormat="1" ht="10.8" x14ac:dyDescent="0.3">
      <c r="D128" s="27" t="s">
        <v>13050</v>
      </c>
      <c r="E128" s="31">
        <v>0.25270000000000004</v>
      </c>
      <c r="F128" s="27">
        <f>+F127*E128</f>
        <v>7.6051604309468246</v>
      </c>
    </row>
    <row r="129" spans="1:8" s="25" customFormat="1" ht="10.8" x14ac:dyDescent="0.3">
      <c r="D129" s="27"/>
      <c r="E129" s="28"/>
      <c r="F129" s="27"/>
    </row>
    <row r="130" spans="1:8" s="25" customFormat="1" ht="10.8" x14ac:dyDescent="0.3">
      <c r="D130" s="27" t="s">
        <v>13189</v>
      </c>
      <c r="E130" s="28"/>
      <c r="F130" s="27">
        <f>SUM(F127:F129)</f>
        <v>37.70076957596789</v>
      </c>
    </row>
    <row r="131" spans="1:8" s="21" customFormat="1" ht="10.8" x14ac:dyDescent="0.25">
      <c r="C131" s="20"/>
      <c r="D131" s="22"/>
      <c r="E131" s="23"/>
      <c r="F131" s="22"/>
    </row>
    <row r="132" spans="1:8" x14ac:dyDescent="0.3">
      <c r="A132" s="18" t="s">
        <v>13176</v>
      </c>
      <c r="B132" s="320" t="s">
        <v>13223</v>
      </c>
      <c r="C132" s="320"/>
      <c r="D132" s="320"/>
      <c r="E132" s="19" t="s">
        <v>13177</v>
      </c>
      <c r="F132" s="5" t="s">
        <v>13224</v>
      </c>
      <c r="G132" s="14"/>
      <c r="H132" s="14"/>
    </row>
    <row r="133" spans="1:8" x14ac:dyDescent="0.3">
      <c r="A133" s="18"/>
      <c r="B133" s="320"/>
      <c r="C133" s="320"/>
      <c r="D133" s="320"/>
      <c r="E133" s="19" t="s">
        <v>13178</v>
      </c>
      <c r="F133" s="5" t="s">
        <v>2904</v>
      </c>
      <c r="G133" s="14"/>
      <c r="H133" s="14"/>
    </row>
    <row r="134" spans="1:8" x14ac:dyDescent="0.3">
      <c r="A134" s="1"/>
      <c r="D134" s="1"/>
    </row>
    <row r="135" spans="1:8" s="25" customFormat="1" ht="10.8" x14ac:dyDescent="0.3">
      <c r="A135" s="24" t="s">
        <v>13179</v>
      </c>
      <c r="B135" s="24" t="s">
        <v>13193</v>
      </c>
      <c r="C135" s="24" t="s">
        <v>4</v>
      </c>
      <c r="D135" s="24" t="s">
        <v>13180</v>
      </c>
      <c r="E135" s="24" t="s">
        <v>13181</v>
      </c>
      <c r="F135" s="24" t="s">
        <v>13182</v>
      </c>
    </row>
    <row r="136" spans="1:8" s="25" customFormat="1" ht="10.8" x14ac:dyDescent="0.3">
      <c r="A136" s="24"/>
      <c r="B136" s="24"/>
      <c r="C136" s="24"/>
      <c r="D136" s="24"/>
      <c r="E136" s="24"/>
      <c r="F136" s="24"/>
    </row>
    <row r="137" spans="1:8" s="25" customFormat="1" ht="10.8" x14ac:dyDescent="0.3">
      <c r="A137" s="24" t="s">
        <v>13183</v>
      </c>
      <c r="B137" s="24"/>
      <c r="C137" s="24"/>
      <c r="D137" s="24"/>
      <c r="E137" s="24"/>
      <c r="F137" s="24"/>
    </row>
    <row r="138" spans="1:8" s="25" customFormat="1" ht="21.6" x14ac:dyDescent="0.3">
      <c r="A138" s="24" t="s">
        <v>13225</v>
      </c>
      <c r="B138" s="32" t="s">
        <v>13226</v>
      </c>
      <c r="C138" s="24" t="s">
        <v>2904</v>
      </c>
      <c r="D138" s="26">
        <v>15.685700000000001</v>
      </c>
      <c r="E138" s="38">
        <v>1.05</v>
      </c>
      <c r="F138" s="26">
        <f t="shared" ref="F138:F142" si="16">+D138*E138</f>
        <v>16.469985000000001</v>
      </c>
    </row>
    <row r="139" spans="1:8" s="25" customFormat="1" ht="10.8" x14ac:dyDescent="0.3">
      <c r="A139" s="24"/>
      <c r="B139" s="33"/>
      <c r="C139" s="24"/>
      <c r="D139" s="26"/>
      <c r="E139" s="38"/>
      <c r="F139" s="26">
        <f t="shared" si="16"/>
        <v>0</v>
      </c>
    </row>
    <row r="140" spans="1:8" s="25" customFormat="1" ht="10.8" x14ac:dyDescent="0.3">
      <c r="A140" s="24"/>
      <c r="B140" s="32"/>
      <c r="C140" s="24"/>
      <c r="D140" s="26"/>
      <c r="E140" s="34"/>
      <c r="F140" s="26">
        <f t="shared" si="16"/>
        <v>0</v>
      </c>
      <c r="H140" s="39"/>
    </row>
    <row r="141" spans="1:8" s="25" customFormat="1" ht="10.8" x14ac:dyDescent="0.3">
      <c r="A141" s="24"/>
      <c r="B141" s="33"/>
      <c r="C141" s="24"/>
      <c r="D141" s="26"/>
      <c r="E141" s="34"/>
      <c r="F141" s="26">
        <f t="shared" si="16"/>
        <v>0</v>
      </c>
    </row>
    <row r="142" spans="1:8" s="25" customFormat="1" ht="10.8" x14ac:dyDescent="0.3">
      <c r="A142" s="24"/>
      <c r="B142" s="33"/>
      <c r="C142" s="24"/>
      <c r="D142" s="26"/>
      <c r="E142" s="34"/>
      <c r="F142" s="26">
        <f t="shared" si="16"/>
        <v>0</v>
      </c>
    </row>
    <row r="143" spans="1:8" s="25" customFormat="1" ht="10.8" x14ac:dyDescent="0.3">
      <c r="A143" s="24"/>
      <c r="B143" s="24"/>
      <c r="C143" s="24"/>
      <c r="D143" s="27"/>
      <c r="E143" s="28"/>
      <c r="F143" s="27"/>
    </row>
    <row r="144" spans="1:8" s="25" customFormat="1" ht="10.8" x14ac:dyDescent="0.3">
      <c r="A144" s="24" t="s">
        <v>13184</v>
      </c>
      <c r="B144" s="24"/>
      <c r="C144" s="24"/>
      <c r="D144" s="27"/>
      <c r="E144" s="28"/>
      <c r="F144" s="27"/>
    </row>
    <row r="145" spans="1:6" s="25" customFormat="1" ht="10.8" x14ac:dyDescent="0.3">
      <c r="A145" s="24" t="s">
        <v>13196</v>
      </c>
      <c r="B145" s="33" t="s">
        <v>13198</v>
      </c>
      <c r="C145" s="24" t="s">
        <v>13199</v>
      </c>
      <c r="D145" s="35">
        <v>21.634</v>
      </c>
      <c r="E145" s="35">
        <f>1/5</f>
        <v>0.2</v>
      </c>
      <c r="F145" s="26">
        <f t="shared" ref="F145" si="17">+D145*E145</f>
        <v>4.3268000000000004</v>
      </c>
    </row>
    <row r="146" spans="1:6" s="25" customFormat="1" ht="10.8" x14ac:dyDescent="0.3">
      <c r="A146" s="24"/>
      <c r="B146" s="33"/>
      <c r="C146" s="24"/>
      <c r="D146" s="35"/>
      <c r="E146" s="35"/>
      <c r="F146" s="26">
        <f t="shared" ref="F146:F148" si="18">+D146*E146</f>
        <v>0</v>
      </c>
    </row>
    <row r="147" spans="1:6" s="25" customFormat="1" ht="10.8" x14ac:dyDescent="0.3">
      <c r="A147" s="24"/>
      <c r="B147" s="24"/>
      <c r="C147" s="24"/>
      <c r="D147" s="27"/>
      <c r="E147" s="28"/>
      <c r="F147" s="27">
        <f t="shared" si="18"/>
        <v>0</v>
      </c>
    </row>
    <row r="148" spans="1:6" s="25" customFormat="1" ht="10.8" x14ac:dyDescent="0.3">
      <c r="A148" s="24"/>
      <c r="B148" s="24"/>
      <c r="C148" s="24"/>
      <c r="D148" s="27"/>
      <c r="E148" s="28"/>
      <c r="F148" s="27">
        <f t="shared" si="18"/>
        <v>0</v>
      </c>
    </row>
    <row r="149" spans="1:6" s="25" customFormat="1" ht="10.8" x14ac:dyDescent="0.3">
      <c r="A149" s="24"/>
      <c r="B149" s="24"/>
      <c r="C149" s="24"/>
      <c r="D149" s="27"/>
      <c r="E149" s="28"/>
      <c r="F149" s="27"/>
    </row>
    <row r="150" spans="1:6" s="25" customFormat="1" ht="10.8" x14ac:dyDescent="0.3">
      <c r="A150" s="24" t="s">
        <v>13185</v>
      </c>
      <c r="B150" s="24"/>
      <c r="C150" s="24"/>
      <c r="D150" s="27"/>
      <c r="E150" s="28"/>
      <c r="F150" s="27"/>
    </row>
    <row r="151" spans="1:6" s="25" customFormat="1" ht="10.8" x14ac:dyDescent="0.3">
      <c r="A151" s="24"/>
      <c r="B151" s="32"/>
      <c r="C151" s="24"/>
      <c r="D151" s="27"/>
      <c r="E151" s="28"/>
      <c r="F151" s="27">
        <f t="shared" ref="F151:F155" si="19">+D151*E151</f>
        <v>0</v>
      </c>
    </row>
    <row r="152" spans="1:6" s="25" customFormat="1" ht="10.8" x14ac:dyDescent="0.3">
      <c r="A152" s="24"/>
      <c r="B152" s="32"/>
      <c r="C152" s="24"/>
      <c r="D152" s="27"/>
      <c r="E152" s="28"/>
      <c r="F152" s="27">
        <f t="shared" si="19"/>
        <v>0</v>
      </c>
    </row>
    <row r="153" spans="1:6" s="25" customFormat="1" ht="10.8" x14ac:dyDescent="0.3">
      <c r="A153" s="24"/>
      <c r="B153" s="32"/>
      <c r="C153" s="24"/>
      <c r="D153" s="27"/>
      <c r="E153" s="28"/>
      <c r="F153" s="27">
        <f t="shared" si="19"/>
        <v>0</v>
      </c>
    </row>
    <row r="154" spans="1:6" s="25" customFormat="1" ht="10.8" x14ac:dyDescent="0.3">
      <c r="A154" s="24"/>
      <c r="B154" s="24"/>
      <c r="C154" s="24"/>
      <c r="D154" s="27"/>
      <c r="E154" s="28"/>
      <c r="F154" s="27">
        <f t="shared" si="19"/>
        <v>0</v>
      </c>
    </row>
    <row r="155" spans="1:6" s="25" customFormat="1" ht="10.8" x14ac:dyDescent="0.3">
      <c r="A155" s="24"/>
      <c r="B155" s="24"/>
      <c r="C155" s="24"/>
      <c r="D155" s="27"/>
      <c r="E155" s="28"/>
      <c r="F155" s="27">
        <f t="shared" si="19"/>
        <v>0</v>
      </c>
    </row>
    <row r="156" spans="1:6" s="25" customFormat="1" ht="10.8" x14ac:dyDescent="0.3">
      <c r="A156" s="24"/>
      <c r="B156" s="24"/>
      <c r="C156" s="24"/>
      <c r="D156" s="27"/>
      <c r="E156" s="28"/>
      <c r="F156" s="27"/>
    </row>
    <row r="157" spans="1:6" s="25" customFormat="1" ht="10.8" x14ac:dyDescent="0.3">
      <c r="A157" s="24" t="s">
        <v>13186</v>
      </c>
      <c r="B157" s="24"/>
      <c r="C157" s="24"/>
      <c r="D157" s="27"/>
      <c r="E157" s="28"/>
      <c r="F157" s="27"/>
    </row>
    <row r="158" spans="1:6" s="25" customFormat="1" ht="10.8" x14ac:dyDescent="0.3">
      <c r="A158" s="24"/>
      <c r="B158" s="24"/>
      <c r="C158" s="24"/>
      <c r="D158" s="27"/>
      <c r="E158" s="28"/>
      <c r="F158" s="27"/>
    </row>
    <row r="159" spans="1:6" s="25" customFormat="1" ht="10.8" x14ac:dyDescent="0.3">
      <c r="A159" s="24"/>
      <c r="B159" s="24"/>
      <c r="C159" s="24"/>
      <c r="D159" s="27"/>
      <c r="E159" s="28"/>
      <c r="F159" s="27">
        <f t="shared" ref="F159:F162" si="20">+D159*E159</f>
        <v>0</v>
      </c>
    </row>
    <row r="160" spans="1:6" s="25" customFormat="1" ht="10.8" x14ac:dyDescent="0.3">
      <c r="A160" s="24"/>
      <c r="B160" s="24"/>
      <c r="C160" s="24"/>
      <c r="D160" s="27"/>
      <c r="E160" s="28"/>
      <c r="F160" s="27">
        <f t="shared" si="20"/>
        <v>0</v>
      </c>
    </row>
    <row r="161" spans="1:8" s="25" customFormat="1" ht="10.8" x14ac:dyDescent="0.3">
      <c r="A161" s="24"/>
      <c r="B161" s="24"/>
      <c r="C161" s="24"/>
      <c r="D161" s="27"/>
      <c r="E161" s="28"/>
      <c r="F161" s="27">
        <f t="shared" si="20"/>
        <v>0</v>
      </c>
    </row>
    <row r="162" spans="1:8" s="25" customFormat="1" ht="10.8" x14ac:dyDescent="0.3">
      <c r="A162" s="24"/>
      <c r="B162" s="24"/>
      <c r="C162" s="24"/>
      <c r="D162" s="27"/>
      <c r="E162" s="28"/>
      <c r="F162" s="27">
        <f t="shared" si="20"/>
        <v>0</v>
      </c>
    </row>
    <row r="163" spans="1:8" s="25" customFormat="1" ht="10.8" x14ac:dyDescent="0.3">
      <c r="D163" s="29"/>
      <c r="E163" s="30"/>
      <c r="F163" s="29"/>
    </row>
    <row r="164" spans="1:8" s="25" customFormat="1" ht="10.8" x14ac:dyDescent="0.3">
      <c r="D164" s="321" t="s">
        <v>13187</v>
      </c>
      <c r="E164" s="322"/>
      <c r="F164" s="323"/>
    </row>
    <row r="165" spans="1:8" s="25" customFormat="1" ht="10.8" x14ac:dyDescent="0.3">
      <c r="D165" s="27" t="s">
        <v>13183</v>
      </c>
      <c r="E165" s="31">
        <f>+F165/F$170</f>
        <v>0.7919486112877544</v>
      </c>
      <c r="F165" s="27">
        <f>SUM(F138:F143)</f>
        <v>16.469985000000001</v>
      </c>
    </row>
    <row r="166" spans="1:8" s="25" customFormat="1" ht="10.8" x14ac:dyDescent="0.3">
      <c r="D166" s="27" t="s">
        <v>13184</v>
      </c>
      <c r="E166" s="31">
        <f t="shared" ref="E166:E168" si="21">+F166/F$170</f>
        <v>0.20805138871224568</v>
      </c>
      <c r="F166" s="27">
        <f>SUM(F145:F149)</f>
        <v>4.3268000000000004</v>
      </c>
    </row>
    <row r="167" spans="1:8" s="25" customFormat="1" ht="10.8" x14ac:dyDescent="0.3">
      <c r="D167" s="27" t="s">
        <v>13185</v>
      </c>
      <c r="E167" s="31">
        <f t="shared" si="21"/>
        <v>0</v>
      </c>
      <c r="F167" s="27">
        <f>SUM(F152:F156)</f>
        <v>0</v>
      </c>
    </row>
    <row r="168" spans="1:8" s="25" customFormat="1" ht="10.8" x14ac:dyDescent="0.3">
      <c r="D168" s="27" t="s">
        <v>13186</v>
      </c>
      <c r="E168" s="31">
        <f t="shared" si="21"/>
        <v>0</v>
      </c>
      <c r="F168" s="27">
        <f>SUM(F159:F162)</f>
        <v>0</v>
      </c>
    </row>
    <row r="169" spans="1:8" s="25" customFormat="1" ht="10.8" x14ac:dyDescent="0.3">
      <c r="D169" s="27"/>
      <c r="E169" s="31"/>
      <c r="F169" s="27"/>
    </row>
    <row r="170" spans="1:8" s="25" customFormat="1" ht="10.8" x14ac:dyDescent="0.3">
      <c r="D170" s="27" t="s">
        <v>13188</v>
      </c>
      <c r="E170" s="31">
        <f>SUM(E165:E169)</f>
        <v>1</v>
      </c>
      <c r="F170" s="27">
        <f>SUM(F165:F169)</f>
        <v>20.796785</v>
      </c>
    </row>
    <row r="171" spans="1:8" s="25" customFormat="1" ht="10.8" x14ac:dyDescent="0.3">
      <c r="D171" s="27" t="s">
        <v>13050</v>
      </c>
      <c r="E171" s="31">
        <v>0.25270000000000004</v>
      </c>
      <c r="F171" s="27">
        <f>+F170*E171</f>
        <v>5.2553475695000005</v>
      </c>
    </row>
    <row r="172" spans="1:8" s="25" customFormat="1" ht="10.8" x14ac:dyDescent="0.3">
      <c r="D172" s="27"/>
      <c r="E172" s="28"/>
      <c r="F172" s="27"/>
    </row>
    <row r="173" spans="1:8" s="25" customFormat="1" ht="10.8" x14ac:dyDescent="0.3">
      <c r="D173" s="27" t="s">
        <v>13189</v>
      </c>
      <c r="E173" s="28"/>
      <c r="F173" s="27">
        <f>SUM(F170:F172)</f>
        <v>26.052132569499999</v>
      </c>
    </row>
    <row r="174" spans="1:8" s="21" customFormat="1" ht="10.8" x14ac:dyDescent="0.25">
      <c r="C174" s="20"/>
      <c r="D174" s="22"/>
      <c r="E174" s="23"/>
      <c r="F174" s="22"/>
    </row>
    <row r="175" spans="1:8" x14ac:dyDescent="0.3">
      <c r="A175" s="18" t="s">
        <v>13176</v>
      </c>
      <c r="B175" s="320" t="s">
        <v>13231</v>
      </c>
      <c r="C175" s="320"/>
      <c r="D175" s="320"/>
      <c r="E175" s="19" t="s">
        <v>13177</v>
      </c>
      <c r="F175" s="5" t="s">
        <v>13232</v>
      </c>
      <c r="G175" s="14"/>
      <c r="H175" s="14"/>
    </row>
    <row r="176" spans="1:8" x14ac:dyDescent="0.3">
      <c r="A176" s="18"/>
      <c r="B176" s="320"/>
      <c r="C176" s="320"/>
      <c r="D176" s="320"/>
      <c r="E176" s="19" t="s">
        <v>13178</v>
      </c>
      <c r="F176" s="5" t="s">
        <v>427</v>
      </c>
      <c r="G176" s="14"/>
      <c r="H176" s="14"/>
    </row>
    <row r="177" spans="1:8" x14ac:dyDescent="0.3">
      <c r="A177" s="1"/>
      <c r="D177" s="1"/>
    </row>
    <row r="178" spans="1:8" s="25" customFormat="1" ht="10.8" x14ac:dyDescent="0.3">
      <c r="A178" s="24" t="s">
        <v>13179</v>
      </c>
      <c r="B178" s="24" t="s">
        <v>13193</v>
      </c>
      <c r="C178" s="24" t="s">
        <v>4</v>
      </c>
      <c r="D178" s="24" t="s">
        <v>13180</v>
      </c>
      <c r="E178" s="24" t="s">
        <v>13181</v>
      </c>
      <c r="F178" s="24" t="s">
        <v>13182</v>
      </c>
    </row>
    <row r="179" spans="1:8" s="25" customFormat="1" ht="10.8" x14ac:dyDescent="0.3">
      <c r="A179" s="24"/>
      <c r="B179" s="24"/>
      <c r="C179" s="24"/>
      <c r="D179" s="24"/>
      <c r="E179" s="24"/>
      <c r="F179" s="24"/>
    </row>
    <row r="180" spans="1:8" s="25" customFormat="1" ht="10.8" x14ac:dyDescent="0.3">
      <c r="A180" s="24" t="s">
        <v>13183</v>
      </c>
      <c r="B180" s="24"/>
      <c r="C180" s="24"/>
      <c r="D180" s="24"/>
      <c r="E180" s="24"/>
      <c r="F180" s="24"/>
    </row>
    <row r="181" spans="1:8" s="25" customFormat="1" ht="10.8" x14ac:dyDescent="0.3">
      <c r="A181" s="24" t="s">
        <v>13233</v>
      </c>
      <c r="B181" s="32" t="s">
        <v>13234</v>
      </c>
      <c r="C181" s="24" t="s">
        <v>427</v>
      </c>
      <c r="D181" s="26">
        <v>169.98079999999999</v>
      </c>
      <c r="E181" s="38">
        <v>0.505</v>
      </c>
      <c r="F181" s="26">
        <f t="shared" ref="F181:F185" si="22">+D181*E181</f>
        <v>85.840303999999989</v>
      </c>
    </row>
    <row r="182" spans="1:8" s="25" customFormat="1" ht="10.8" x14ac:dyDescent="0.3">
      <c r="A182" s="24" t="s">
        <v>13235</v>
      </c>
      <c r="B182" s="33" t="s">
        <v>13236</v>
      </c>
      <c r="C182" s="24" t="s">
        <v>427</v>
      </c>
      <c r="D182" s="26">
        <v>167.08349999999999</v>
      </c>
      <c r="E182" s="38">
        <v>0.505</v>
      </c>
      <c r="F182" s="26">
        <f t="shared" si="22"/>
        <v>84.377167499999999</v>
      </c>
    </row>
    <row r="183" spans="1:8" s="25" customFormat="1" ht="10.8" x14ac:dyDescent="0.3">
      <c r="A183" s="24"/>
      <c r="B183" s="32"/>
      <c r="C183" s="24"/>
      <c r="D183" s="26"/>
      <c r="E183" s="34"/>
      <c r="F183" s="26">
        <f t="shared" si="22"/>
        <v>0</v>
      </c>
      <c r="H183" s="39"/>
    </row>
    <row r="184" spans="1:8" s="25" customFormat="1" ht="10.8" x14ac:dyDescent="0.3">
      <c r="A184" s="24"/>
      <c r="B184" s="33"/>
      <c r="C184" s="24"/>
      <c r="D184" s="26"/>
      <c r="E184" s="34"/>
      <c r="F184" s="26">
        <f t="shared" si="22"/>
        <v>0</v>
      </c>
    </row>
    <row r="185" spans="1:8" s="25" customFormat="1" ht="10.8" x14ac:dyDescent="0.3">
      <c r="A185" s="24"/>
      <c r="B185" s="33"/>
      <c r="C185" s="24"/>
      <c r="D185" s="26"/>
      <c r="E185" s="34"/>
      <c r="F185" s="26">
        <f t="shared" si="22"/>
        <v>0</v>
      </c>
    </row>
    <row r="186" spans="1:8" s="25" customFormat="1" ht="10.8" x14ac:dyDescent="0.3">
      <c r="A186" s="24"/>
      <c r="B186" s="24"/>
      <c r="C186" s="24"/>
      <c r="D186" s="27"/>
      <c r="E186" s="28"/>
      <c r="F186" s="27"/>
    </row>
    <row r="187" spans="1:8" s="25" customFormat="1" ht="10.8" x14ac:dyDescent="0.3">
      <c r="A187" s="24" t="s">
        <v>13184</v>
      </c>
      <c r="B187" s="24"/>
      <c r="C187" s="24"/>
      <c r="D187" s="27"/>
      <c r="E187" s="28"/>
      <c r="F187" s="27"/>
    </row>
    <row r="188" spans="1:8" s="25" customFormat="1" ht="10.8" x14ac:dyDescent="0.3">
      <c r="A188" s="24" t="s">
        <v>13196</v>
      </c>
      <c r="B188" s="33" t="s">
        <v>13198</v>
      </c>
      <c r="C188" s="24" t="s">
        <v>13199</v>
      </c>
      <c r="D188" s="35">
        <v>21.634</v>
      </c>
      <c r="E188" s="35">
        <f>1/169</f>
        <v>5.9171597633136093E-3</v>
      </c>
      <c r="F188" s="26">
        <f t="shared" ref="F188:F191" si="23">+D188*E188</f>
        <v>0.12801183431952662</v>
      </c>
    </row>
    <row r="189" spans="1:8" s="25" customFormat="1" ht="10.8" x14ac:dyDescent="0.3">
      <c r="A189" s="24"/>
      <c r="B189" s="33"/>
      <c r="C189" s="24"/>
      <c r="D189" s="35"/>
      <c r="E189" s="35"/>
      <c r="F189" s="26">
        <f t="shared" si="23"/>
        <v>0</v>
      </c>
    </row>
    <row r="190" spans="1:8" s="25" customFormat="1" ht="10.8" x14ac:dyDescent="0.3">
      <c r="A190" s="24"/>
      <c r="B190" s="24"/>
      <c r="C190" s="24"/>
      <c r="D190" s="27"/>
      <c r="E190" s="28"/>
      <c r="F190" s="27">
        <f t="shared" si="23"/>
        <v>0</v>
      </c>
    </row>
    <row r="191" spans="1:8" s="25" customFormat="1" ht="10.8" x14ac:dyDescent="0.3">
      <c r="A191" s="24"/>
      <c r="B191" s="24"/>
      <c r="C191" s="24"/>
      <c r="D191" s="27"/>
      <c r="E191" s="28"/>
      <c r="F191" s="27">
        <f t="shared" si="23"/>
        <v>0</v>
      </c>
    </row>
    <row r="192" spans="1:8" s="25" customFormat="1" ht="10.8" x14ac:dyDescent="0.3">
      <c r="A192" s="24"/>
      <c r="B192" s="24"/>
      <c r="C192" s="24"/>
      <c r="D192" s="27"/>
      <c r="E192" s="28"/>
      <c r="F192" s="27"/>
    </row>
    <row r="193" spans="1:6" s="25" customFormat="1" ht="10.8" x14ac:dyDescent="0.3">
      <c r="A193" s="24" t="s">
        <v>13185</v>
      </c>
      <c r="B193" s="24"/>
      <c r="C193" s="24"/>
      <c r="D193" s="27"/>
      <c r="E193" s="28"/>
      <c r="F193" s="27"/>
    </row>
    <row r="194" spans="1:6" s="25" customFormat="1" ht="10.8" x14ac:dyDescent="0.3">
      <c r="A194" s="24" t="s">
        <v>13237</v>
      </c>
      <c r="B194" s="32" t="s">
        <v>13238</v>
      </c>
      <c r="C194" s="24" t="s">
        <v>13199</v>
      </c>
      <c r="D194" s="27">
        <v>173.76759999999999</v>
      </c>
      <c r="E194" s="35">
        <f t="shared" ref="E194:E195" si="24">1/169</f>
        <v>5.9171597633136093E-3</v>
      </c>
      <c r="F194" s="27">
        <f t="shared" ref="F194:F198" si="25">+D194*E194</f>
        <v>1.0282106508875739</v>
      </c>
    </row>
    <row r="195" spans="1:6" s="25" customFormat="1" ht="21.6" x14ac:dyDescent="0.3">
      <c r="A195" s="24" t="s">
        <v>13239</v>
      </c>
      <c r="B195" s="32" t="s">
        <v>13240</v>
      </c>
      <c r="C195" s="24" t="s">
        <v>13199</v>
      </c>
      <c r="D195" s="27">
        <v>136.04349999999999</v>
      </c>
      <c r="E195" s="35">
        <f t="shared" si="24"/>
        <v>5.9171597633136093E-3</v>
      </c>
      <c r="F195" s="27">
        <f t="shared" si="25"/>
        <v>0.80499112426035502</v>
      </c>
    </row>
    <row r="196" spans="1:6" s="25" customFormat="1" ht="10.8" x14ac:dyDescent="0.3">
      <c r="A196" s="24"/>
      <c r="B196" s="32"/>
      <c r="C196" s="24"/>
      <c r="D196" s="27"/>
      <c r="E196" s="28"/>
      <c r="F196" s="27">
        <f t="shared" si="25"/>
        <v>0</v>
      </c>
    </row>
    <row r="197" spans="1:6" s="25" customFormat="1" ht="10.8" x14ac:dyDescent="0.3">
      <c r="A197" s="24"/>
      <c r="B197" s="24"/>
      <c r="C197" s="24"/>
      <c r="D197" s="27"/>
      <c r="E197" s="28"/>
      <c r="F197" s="27">
        <f t="shared" si="25"/>
        <v>0</v>
      </c>
    </row>
    <row r="198" spans="1:6" s="25" customFormat="1" ht="10.8" x14ac:dyDescent="0.3">
      <c r="A198" s="24"/>
      <c r="B198" s="24"/>
      <c r="C198" s="24"/>
      <c r="D198" s="27"/>
      <c r="E198" s="28"/>
      <c r="F198" s="27">
        <f t="shared" si="25"/>
        <v>0</v>
      </c>
    </row>
    <row r="199" spans="1:6" s="25" customFormat="1" ht="10.8" x14ac:dyDescent="0.3">
      <c r="A199" s="24"/>
      <c r="B199" s="24"/>
      <c r="C199" s="24"/>
      <c r="D199" s="27"/>
      <c r="E199" s="28"/>
      <c r="F199" s="27"/>
    </row>
    <row r="200" spans="1:6" s="25" customFormat="1" ht="10.8" x14ac:dyDescent="0.3">
      <c r="A200" s="24" t="s">
        <v>13186</v>
      </c>
      <c r="B200" s="24"/>
      <c r="C200" s="24"/>
      <c r="D200" s="27"/>
      <c r="E200" s="28"/>
      <c r="F200" s="27"/>
    </row>
    <row r="201" spans="1:6" s="25" customFormat="1" ht="10.8" x14ac:dyDescent="0.3">
      <c r="A201" s="24"/>
      <c r="B201" s="24"/>
      <c r="C201" s="24"/>
      <c r="D201" s="27"/>
      <c r="E201" s="28"/>
      <c r="F201" s="27"/>
    </row>
    <row r="202" spans="1:6" s="25" customFormat="1" ht="10.8" x14ac:dyDescent="0.3">
      <c r="A202" s="24"/>
      <c r="B202" s="24"/>
      <c r="C202" s="24"/>
      <c r="D202" s="27"/>
      <c r="E202" s="28"/>
      <c r="F202" s="27">
        <f t="shared" ref="F202:F205" si="26">+D202*E202</f>
        <v>0</v>
      </c>
    </row>
    <row r="203" spans="1:6" s="25" customFormat="1" ht="10.8" x14ac:dyDescent="0.3">
      <c r="A203" s="24"/>
      <c r="B203" s="24"/>
      <c r="C203" s="24"/>
      <c r="D203" s="27"/>
      <c r="E203" s="28"/>
      <c r="F203" s="27">
        <f t="shared" si="26"/>
        <v>0</v>
      </c>
    </row>
    <row r="204" spans="1:6" s="25" customFormat="1" ht="10.8" x14ac:dyDescent="0.3">
      <c r="A204" s="24"/>
      <c r="B204" s="24"/>
      <c r="C204" s="24"/>
      <c r="D204" s="27"/>
      <c r="E204" s="28"/>
      <c r="F204" s="27">
        <f t="shared" si="26"/>
        <v>0</v>
      </c>
    </row>
    <row r="205" spans="1:6" s="25" customFormat="1" ht="10.8" x14ac:dyDescent="0.3">
      <c r="A205" s="24"/>
      <c r="B205" s="24"/>
      <c r="C205" s="24"/>
      <c r="D205" s="27"/>
      <c r="E205" s="28"/>
      <c r="F205" s="27">
        <f t="shared" si="26"/>
        <v>0</v>
      </c>
    </row>
    <row r="206" spans="1:6" s="25" customFormat="1" ht="10.8" x14ac:dyDescent="0.3">
      <c r="D206" s="29"/>
      <c r="E206" s="30"/>
      <c r="F206" s="29"/>
    </row>
    <row r="207" spans="1:6" s="25" customFormat="1" ht="10.8" x14ac:dyDescent="0.3">
      <c r="D207" s="321" t="s">
        <v>13187</v>
      </c>
      <c r="E207" s="322"/>
      <c r="F207" s="323"/>
    </row>
    <row r="208" spans="1:6" s="25" customFormat="1" ht="10.8" x14ac:dyDescent="0.3">
      <c r="D208" s="27" t="s">
        <v>13183</v>
      </c>
      <c r="E208" s="31">
        <f>+F208/F$213</f>
        <v>0.99454863936818538</v>
      </c>
      <c r="F208" s="27">
        <f>SUM(F181:F186)</f>
        <v>170.21747149999999</v>
      </c>
    </row>
    <row r="209" spans="1:8" s="25" customFormat="1" ht="10.8" x14ac:dyDescent="0.3">
      <c r="D209" s="27" t="s">
        <v>13184</v>
      </c>
      <c r="E209" s="31">
        <f t="shared" ref="E209:E211" si="27">+F209/F$213</f>
        <v>7.4794904731921596E-4</v>
      </c>
      <c r="F209" s="27">
        <f>SUM(F188:F192)</f>
        <v>0.12801183431952662</v>
      </c>
    </row>
    <row r="210" spans="1:8" s="25" customFormat="1" ht="10.8" x14ac:dyDescent="0.3">
      <c r="D210" s="27" t="s">
        <v>13185</v>
      </c>
      <c r="E210" s="31">
        <f t="shared" si="27"/>
        <v>4.7034115844953204E-3</v>
      </c>
      <c r="F210" s="27">
        <f>SUM(F195:F199)</f>
        <v>0.80499112426035502</v>
      </c>
    </row>
    <row r="211" spans="1:8" s="25" customFormat="1" ht="10.8" x14ac:dyDescent="0.3">
      <c r="D211" s="27" t="s">
        <v>13186</v>
      </c>
      <c r="E211" s="31">
        <f t="shared" si="27"/>
        <v>0</v>
      </c>
      <c r="F211" s="27">
        <f>SUM(F202:F205)</f>
        <v>0</v>
      </c>
    </row>
    <row r="212" spans="1:8" s="25" customFormat="1" ht="10.8" x14ac:dyDescent="0.3">
      <c r="D212" s="27"/>
      <c r="E212" s="31"/>
      <c r="F212" s="27"/>
    </row>
    <row r="213" spans="1:8" s="25" customFormat="1" ht="10.8" x14ac:dyDescent="0.3">
      <c r="D213" s="27" t="s">
        <v>13188</v>
      </c>
      <c r="E213" s="31">
        <f>SUM(E208:E212)</f>
        <v>0.99999999999999989</v>
      </c>
      <c r="F213" s="27">
        <f>SUM(F208:F212)</f>
        <v>171.15047445857988</v>
      </c>
    </row>
    <row r="214" spans="1:8" s="25" customFormat="1" ht="10.8" x14ac:dyDescent="0.3">
      <c r="D214" s="27" t="s">
        <v>13050</v>
      </c>
      <c r="E214" s="31">
        <v>0.25270000000000004</v>
      </c>
      <c r="F214" s="27">
        <f>+F213*E214</f>
        <v>43.249724895683144</v>
      </c>
    </row>
    <row r="215" spans="1:8" s="25" customFormat="1" ht="10.8" x14ac:dyDescent="0.3">
      <c r="D215" s="27"/>
      <c r="E215" s="28"/>
      <c r="F215" s="27"/>
    </row>
    <row r="216" spans="1:8" s="25" customFormat="1" ht="10.8" x14ac:dyDescent="0.3">
      <c r="D216" s="27" t="s">
        <v>13189</v>
      </c>
      <c r="E216" s="28"/>
      <c r="F216" s="27">
        <f>SUM(F213:F215)</f>
        <v>214.40019935426301</v>
      </c>
    </row>
    <row r="217" spans="1:8" s="21" customFormat="1" ht="10.8" x14ac:dyDescent="0.25">
      <c r="C217" s="20"/>
      <c r="D217" s="22"/>
      <c r="E217" s="23"/>
      <c r="F217" s="22"/>
    </row>
    <row r="218" spans="1:8" x14ac:dyDescent="0.3">
      <c r="A218" s="18" t="s">
        <v>13176</v>
      </c>
      <c r="B218" s="320" t="s">
        <v>13242</v>
      </c>
      <c r="C218" s="320"/>
      <c r="D218" s="320"/>
      <c r="E218" s="19" t="s">
        <v>13177</v>
      </c>
      <c r="F218" s="5" t="s">
        <v>13249</v>
      </c>
      <c r="G218" s="14"/>
      <c r="H218" s="14"/>
    </row>
    <row r="219" spans="1:8" x14ac:dyDescent="0.3">
      <c r="A219" s="18"/>
      <c r="B219" s="320"/>
      <c r="C219" s="320"/>
      <c r="D219" s="320"/>
      <c r="E219" s="19" t="s">
        <v>13178</v>
      </c>
      <c r="F219" s="5" t="s">
        <v>2904</v>
      </c>
      <c r="G219" s="14"/>
      <c r="H219" s="14"/>
    </row>
    <row r="220" spans="1:8" x14ac:dyDescent="0.3">
      <c r="A220" s="1"/>
      <c r="D220" s="1"/>
    </row>
    <row r="221" spans="1:8" s="25" customFormat="1" ht="10.8" x14ac:dyDescent="0.3">
      <c r="A221" s="24" t="s">
        <v>13179</v>
      </c>
      <c r="B221" s="24" t="s">
        <v>13193</v>
      </c>
      <c r="C221" s="24" t="s">
        <v>4</v>
      </c>
      <c r="D221" s="24" t="s">
        <v>13180</v>
      </c>
      <c r="E221" s="24" t="s">
        <v>13181</v>
      </c>
      <c r="F221" s="24" t="s">
        <v>13182</v>
      </c>
    </row>
    <row r="222" spans="1:8" s="25" customFormat="1" ht="10.8" x14ac:dyDescent="0.3">
      <c r="A222" s="24"/>
      <c r="B222" s="24"/>
      <c r="C222" s="24"/>
      <c r="D222" s="24"/>
      <c r="E222" s="24"/>
      <c r="F222" s="24"/>
    </row>
    <row r="223" spans="1:8" s="25" customFormat="1" ht="10.8" x14ac:dyDescent="0.3">
      <c r="A223" s="24" t="s">
        <v>13183</v>
      </c>
      <c r="B223" s="24"/>
      <c r="C223" s="24"/>
      <c r="D223" s="24"/>
      <c r="E223" s="24"/>
      <c r="F223" s="24"/>
    </row>
    <row r="224" spans="1:8" s="25" customFormat="1" ht="21.6" x14ac:dyDescent="0.3">
      <c r="A224" s="24" t="s">
        <v>13243</v>
      </c>
      <c r="B224" s="32" t="s">
        <v>13250</v>
      </c>
      <c r="C224" s="46" t="s">
        <v>210</v>
      </c>
      <c r="D224" s="26">
        <v>18.02</v>
      </c>
      <c r="E224" s="38">
        <v>1.67E-2</v>
      </c>
      <c r="F224" s="26">
        <f t="shared" ref="F224:F231" si="28">+D224*E224</f>
        <v>0.30093399999999998</v>
      </c>
    </row>
    <row r="225" spans="1:6" s="25" customFormat="1" ht="21.6" x14ac:dyDescent="0.3">
      <c r="A225" s="24" t="s">
        <v>13244</v>
      </c>
      <c r="B225" s="32" t="s">
        <v>13251</v>
      </c>
      <c r="C225" s="46" t="s">
        <v>38</v>
      </c>
      <c r="D225" s="26">
        <v>5.3</v>
      </c>
      <c r="E225" s="38">
        <v>2.5</v>
      </c>
      <c r="F225" s="26">
        <f t="shared" si="28"/>
        <v>13.25</v>
      </c>
    </row>
    <row r="226" spans="1:6" s="25" customFormat="1" ht="21.6" x14ac:dyDescent="0.3">
      <c r="A226" s="24" t="s">
        <v>13245</v>
      </c>
      <c r="B226" s="32" t="s">
        <v>13252</v>
      </c>
      <c r="C226" s="46" t="s">
        <v>210</v>
      </c>
      <c r="D226" s="26">
        <v>14.695499999999999</v>
      </c>
      <c r="E226" s="38">
        <v>8.2500000000000004E-2</v>
      </c>
      <c r="F226" s="26">
        <f t="shared" si="28"/>
        <v>1.2123787500000001</v>
      </c>
    </row>
    <row r="227" spans="1:6" s="25" customFormat="1" ht="10.8" x14ac:dyDescent="0.3">
      <c r="A227" s="24" t="s">
        <v>13246</v>
      </c>
      <c r="B227" s="32" t="s">
        <v>13253</v>
      </c>
      <c r="C227" s="46" t="s">
        <v>38</v>
      </c>
      <c r="D227" s="26">
        <v>25.13</v>
      </c>
      <c r="E227" s="38">
        <v>0.42</v>
      </c>
      <c r="F227" s="26">
        <f t="shared" si="28"/>
        <v>10.554599999999999</v>
      </c>
    </row>
    <row r="228" spans="1:6" s="25" customFormat="1" ht="10.8" x14ac:dyDescent="0.3">
      <c r="A228" s="24" t="s">
        <v>13247</v>
      </c>
      <c r="B228" s="32" t="s">
        <v>13254</v>
      </c>
      <c r="C228" s="46" t="s">
        <v>38</v>
      </c>
      <c r="D228" s="26">
        <v>42.916699999999999</v>
      </c>
      <c r="E228" s="38">
        <v>0.02</v>
      </c>
      <c r="F228" s="26">
        <f t="shared" si="28"/>
        <v>0.85833400000000004</v>
      </c>
    </row>
    <row r="229" spans="1:6" s="25" customFormat="1" ht="21.6" x14ac:dyDescent="0.3">
      <c r="A229" s="24" t="s">
        <v>13248</v>
      </c>
      <c r="B229" s="32" t="s">
        <v>13255</v>
      </c>
      <c r="C229" s="46" t="s">
        <v>2904</v>
      </c>
      <c r="D229" s="26">
        <v>18.95</v>
      </c>
      <c r="E229" s="38">
        <v>1.4</v>
      </c>
      <c r="F229" s="26">
        <f t="shared" si="28"/>
        <v>26.529999999999998</v>
      </c>
    </row>
    <row r="230" spans="1:6" s="25" customFormat="1" ht="10.8" x14ac:dyDescent="0.3">
      <c r="A230" s="24" t="s">
        <v>13216</v>
      </c>
      <c r="B230" s="32" t="s">
        <v>13217</v>
      </c>
      <c r="C230" s="24" t="s">
        <v>210</v>
      </c>
      <c r="D230" s="26">
        <v>0.54339999999999999</v>
      </c>
      <c r="E230" s="38">
        <f>458.01187*0.02</f>
        <v>9.1602373999999998</v>
      </c>
      <c r="F230" s="26">
        <f t="shared" si="28"/>
        <v>4.9776730031599996</v>
      </c>
    </row>
    <row r="231" spans="1:6" s="25" customFormat="1" ht="10.8" x14ac:dyDescent="0.3">
      <c r="A231" s="24" t="s">
        <v>13218</v>
      </c>
      <c r="B231" s="33" t="s">
        <v>13219</v>
      </c>
      <c r="C231" s="24" t="s">
        <v>427</v>
      </c>
      <c r="D231" s="26">
        <v>156.77090000000001</v>
      </c>
      <c r="E231" s="38">
        <f>1.00435*0.02</f>
        <v>2.0087000000000001E-2</v>
      </c>
      <c r="F231" s="26">
        <f t="shared" si="28"/>
        <v>3.1490570683000003</v>
      </c>
    </row>
    <row r="232" spans="1:6" s="25" customFormat="1" ht="10.8" x14ac:dyDescent="0.3">
      <c r="A232" s="24"/>
      <c r="B232" s="24"/>
      <c r="C232" s="24"/>
      <c r="D232" s="27"/>
      <c r="E232" s="28"/>
      <c r="F232" s="27"/>
    </row>
    <row r="233" spans="1:6" s="25" customFormat="1" ht="10.8" x14ac:dyDescent="0.3">
      <c r="A233" s="24" t="s">
        <v>13184</v>
      </c>
      <c r="B233" s="24"/>
      <c r="C233" s="24"/>
      <c r="D233" s="27"/>
      <c r="E233" s="28"/>
      <c r="F233" s="27"/>
    </row>
    <row r="234" spans="1:6" s="25" customFormat="1" ht="10.8" x14ac:dyDescent="0.3">
      <c r="A234" s="24" t="s">
        <v>13195</v>
      </c>
      <c r="B234" s="33" t="s">
        <v>13197</v>
      </c>
      <c r="C234" s="24" t="s">
        <v>13199</v>
      </c>
      <c r="D234" s="35">
        <v>27.552299999999999</v>
      </c>
      <c r="E234" s="35">
        <f>1/8</f>
        <v>0.125</v>
      </c>
      <c r="F234" s="26">
        <f t="shared" ref="F234:F235" si="29">+D234*E234</f>
        <v>3.4440374999999999</v>
      </c>
    </row>
    <row r="235" spans="1:6" s="25" customFormat="1" ht="10.8" x14ac:dyDescent="0.3">
      <c r="A235" s="24" t="s">
        <v>13196</v>
      </c>
      <c r="B235" s="33" t="s">
        <v>13198</v>
      </c>
      <c r="C235" s="24" t="s">
        <v>13199</v>
      </c>
      <c r="D235" s="35">
        <v>21.634</v>
      </c>
      <c r="E235" s="35">
        <f>5/8</f>
        <v>0.625</v>
      </c>
      <c r="F235" s="26">
        <f t="shared" si="29"/>
        <v>13.52125</v>
      </c>
    </row>
    <row r="236" spans="1:6" s="25" customFormat="1" ht="10.8" x14ac:dyDescent="0.3">
      <c r="A236" s="24"/>
      <c r="B236" s="24"/>
      <c r="C236" s="24"/>
      <c r="D236" s="27"/>
      <c r="E236" s="28"/>
      <c r="F236" s="27">
        <f t="shared" ref="F236:F237" si="30">+D236*E236</f>
        <v>0</v>
      </c>
    </row>
    <row r="237" spans="1:6" s="25" customFormat="1" ht="10.8" x14ac:dyDescent="0.3">
      <c r="A237" s="24"/>
      <c r="B237" s="24"/>
      <c r="C237" s="24"/>
      <c r="D237" s="27"/>
      <c r="E237" s="28"/>
      <c r="F237" s="27">
        <f t="shared" si="30"/>
        <v>0</v>
      </c>
    </row>
    <row r="238" spans="1:6" s="25" customFormat="1" ht="10.8" x14ac:dyDescent="0.3">
      <c r="A238" s="24"/>
      <c r="B238" s="24"/>
      <c r="C238" s="24"/>
      <c r="D238" s="27"/>
      <c r="E238" s="28"/>
      <c r="F238" s="27"/>
    </row>
    <row r="239" spans="1:6" s="25" customFormat="1" ht="10.8" x14ac:dyDescent="0.3">
      <c r="A239" s="24" t="s">
        <v>13185</v>
      </c>
      <c r="B239" s="24"/>
      <c r="C239" s="24"/>
      <c r="D239" s="27"/>
      <c r="E239" s="28"/>
      <c r="F239" s="27"/>
    </row>
    <row r="240" spans="1:6" s="25" customFormat="1" ht="10.8" x14ac:dyDescent="0.3">
      <c r="A240" s="24"/>
      <c r="B240" s="32"/>
      <c r="C240" s="24"/>
      <c r="D240" s="27"/>
      <c r="E240" s="35"/>
      <c r="F240" s="27">
        <f t="shared" ref="F240:F244" si="31">+D240*E240</f>
        <v>0</v>
      </c>
    </row>
    <row r="241" spans="1:6" s="25" customFormat="1" ht="10.8" x14ac:dyDescent="0.3">
      <c r="A241" s="24"/>
      <c r="B241" s="32"/>
      <c r="C241" s="24"/>
      <c r="D241" s="27"/>
      <c r="E241" s="35"/>
      <c r="F241" s="27">
        <f t="shared" si="31"/>
        <v>0</v>
      </c>
    </row>
    <row r="242" spans="1:6" s="25" customFormat="1" ht="10.8" x14ac:dyDescent="0.3">
      <c r="A242" s="24"/>
      <c r="B242" s="32"/>
      <c r="C242" s="24"/>
      <c r="D242" s="27"/>
      <c r="E242" s="28"/>
      <c r="F242" s="27">
        <f t="shared" si="31"/>
        <v>0</v>
      </c>
    </row>
    <row r="243" spans="1:6" s="25" customFormat="1" ht="10.8" x14ac:dyDescent="0.3">
      <c r="A243" s="24"/>
      <c r="B243" s="24"/>
      <c r="C243" s="24"/>
      <c r="D243" s="27"/>
      <c r="E243" s="28"/>
      <c r="F243" s="27">
        <f t="shared" si="31"/>
        <v>0</v>
      </c>
    </row>
    <row r="244" spans="1:6" s="25" customFormat="1" ht="10.8" x14ac:dyDescent="0.3">
      <c r="A244" s="24"/>
      <c r="B244" s="24"/>
      <c r="C244" s="24"/>
      <c r="D244" s="27"/>
      <c r="E244" s="28"/>
      <c r="F244" s="27">
        <f t="shared" si="31"/>
        <v>0</v>
      </c>
    </row>
    <row r="245" spans="1:6" s="25" customFormat="1" ht="10.8" x14ac:dyDescent="0.3">
      <c r="A245" s="24"/>
      <c r="B245" s="24"/>
      <c r="C245" s="24"/>
      <c r="D245" s="27"/>
      <c r="E245" s="28"/>
      <c r="F245" s="27"/>
    </row>
    <row r="246" spans="1:6" s="25" customFormat="1" ht="10.8" x14ac:dyDescent="0.3">
      <c r="A246" s="24" t="s">
        <v>13186</v>
      </c>
      <c r="B246" s="24"/>
      <c r="C246" s="24"/>
      <c r="D246" s="27"/>
      <c r="E246" s="28"/>
      <c r="F246" s="27"/>
    </row>
    <row r="247" spans="1:6" s="25" customFormat="1" ht="10.8" x14ac:dyDescent="0.3">
      <c r="A247" s="24"/>
      <c r="B247" s="24"/>
      <c r="C247" s="24"/>
      <c r="D247" s="27"/>
      <c r="E247" s="28"/>
      <c r="F247" s="27"/>
    </row>
    <row r="248" spans="1:6" s="25" customFormat="1" ht="10.8" x14ac:dyDescent="0.3">
      <c r="A248" s="24"/>
      <c r="B248" s="24"/>
      <c r="C248" s="24"/>
      <c r="D248" s="27"/>
      <c r="E248" s="28"/>
      <c r="F248" s="27">
        <f t="shared" ref="F248:F251" si="32">+D248*E248</f>
        <v>0</v>
      </c>
    </row>
    <row r="249" spans="1:6" s="25" customFormat="1" ht="10.8" x14ac:dyDescent="0.3">
      <c r="A249" s="24"/>
      <c r="B249" s="24"/>
      <c r="C249" s="24"/>
      <c r="D249" s="27"/>
      <c r="E249" s="28"/>
      <c r="F249" s="27">
        <f t="shared" si="32"/>
        <v>0</v>
      </c>
    </row>
    <row r="250" spans="1:6" s="25" customFormat="1" ht="10.8" x14ac:dyDescent="0.3">
      <c r="A250" s="24"/>
      <c r="B250" s="24"/>
      <c r="C250" s="24"/>
      <c r="D250" s="27"/>
      <c r="E250" s="28"/>
      <c r="F250" s="27">
        <f t="shared" si="32"/>
        <v>0</v>
      </c>
    </row>
    <row r="251" spans="1:6" s="25" customFormat="1" ht="10.8" x14ac:dyDescent="0.3">
      <c r="A251" s="24"/>
      <c r="B251" s="24"/>
      <c r="C251" s="24"/>
      <c r="D251" s="27"/>
      <c r="E251" s="28"/>
      <c r="F251" s="27">
        <f t="shared" si="32"/>
        <v>0</v>
      </c>
    </row>
    <row r="252" spans="1:6" s="25" customFormat="1" ht="10.8" x14ac:dyDescent="0.3">
      <c r="D252" s="29"/>
      <c r="E252" s="30"/>
      <c r="F252" s="29"/>
    </row>
    <row r="253" spans="1:6" s="25" customFormat="1" ht="10.8" x14ac:dyDescent="0.3">
      <c r="D253" s="321" t="s">
        <v>13187</v>
      </c>
      <c r="E253" s="322"/>
      <c r="F253" s="323"/>
    </row>
    <row r="254" spans="1:6" s="25" customFormat="1" ht="10.8" x14ac:dyDescent="0.3">
      <c r="D254" s="27" t="s">
        <v>13183</v>
      </c>
      <c r="E254" s="31">
        <f>+F254/F$259</f>
        <v>0.78193231368376082</v>
      </c>
      <c r="F254" s="27">
        <f>SUM(F224:F232)</f>
        <v>60.832976821459994</v>
      </c>
    </row>
    <row r="255" spans="1:6" s="25" customFormat="1" ht="10.8" x14ac:dyDescent="0.3">
      <c r="D255" s="27" t="s">
        <v>13184</v>
      </c>
      <c r="E255" s="31">
        <f t="shared" ref="E255:E257" si="33">+F255/F$259</f>
        <v>0.21806768631623916</v>
      </c>
      <c r="F255" s="27">
        <f>SUM(F234:F238)</f>
        <v>16.965287499999999</v>
      </c>
    </row>
    <row r="256" spans="1:6" s="25" customFormat="1" ht="10.8" x14ac:dyDescent="0.3">
      <c r="D256" s="27" t="s">
        <v>13185</v>
      </c>
      <c r="E256" s="31">
        <f t="shared" si="33"/>
        <v>0</v>
      </c>
      <c r="F256" s="27">
        <f>SUM(F241:F245)</f>
        <v>0</v>
      </c>
    </row>
    <row r="257" spans="1:8" s="25" customFormat="1" ht="10.8" x14ac:dyDescent="0.3">
      <c r="D257" s="27" t="s">
        <v>13186</v>
      </c>
      <c r="E257" s="31">
        <f t="shared" si="33"/>
        <v>0</v>
      </c>
      <c r="F257" s="27">
        <f>SUM(F248:F251)</f>
        <v>0</v>
      </c>
    </row>
    <row r="258" spans="1:8" s="25" customFormat="1" ht="10.8" x14ac:dyDescent="0.3">
      <c r="D258" s="27"/>
      <c r="E258" s="31"/>
      <c r="F258" s="27"/>
    </row>
    <row r="259" spans="1:8" s="25" customFormat="1" ht="10.8" x14ac:dyDescent="0.3">
      <c r="D259" s="27" t="s">
        <v>13188</v>
      </c>
      <c r="E259" s="31">
        <f>SUM(E254:E258)</f>
        <v>1</v>
      </c>
      <c r="F259" s="27">
        <f>SUM(F254:F258)</f>
        <v>77.798264321459996</v>
      </c>
    </row>
    <row r="260" spans="1:8" s="25" customFormat="1" ht="10.8" x14ac:dyDescent="0.3">
      <c r="D260" s="27" t="s">
        <v>13050</v>
      </c>
      <c r="E260" s="31">
        <v>0.25270000000000004</v>
      </c>
      <c r="F260" s="27">
        <f>+F259*E260</f>
        <v>19.659621394032943</v>
      </c>
    </row>
    <row r="261" spans="1:8" s="25" customFormat="1" ht="10.8" x14ac:dyDescent="0.3">
      <c r="D261" s="27"/>
      <c r="E261" s="28"/>
      <c r="F261" s="27"/>
    </row>
    <row r="262" spans="1:8" s="25" customFormat="1" ht="10.8" x14ac:dyDescent="0.3">
      <c r="D262" s="27" t="s">
        <v>13189</v>
      </c>
      <c r="E262" s="28"/>
      <c r="F262" s="27">
        <f>SUM(F259:F261)</f>
        <v>97.457885715492935</v>
      </c>
    </row>
    <row r="263" spans="1:8" s="21" customFormat="1" ht="10.8" x14ac:dyDescent="0.25">
      <c r="C263" s="20"/>
      <c r="D263" s="22"/>
      <c r="E263" s="23"/>
      <c r="F263" s="22"/>
    </row>
    <row r="264" spans="1:8" x14ac:dyDescent="0.3">
      <c r="A264" s="18" t="s">
        <v>13176</v>
      </c>
      <c r="B264" s="320" t="s">
        <v>13256</v>
      </c>
      <c r="C264" s="320"/>
      <c r="D264" s="320"/>
      <c r="E264" s="19" t="s">
        <v>13177</v>
      </c>
      <c r="F264" s="5" t="s">
        <v>13257</v>
      </c>
      <c r="G264" s="14"/>
      <c r="H264" s="14"/>
    </row>
    <row r="265" spans="1:8" x14ac:dyDescent="0.3">
      <c r="A265" s="18"/>
      <c r="B265" s="320"/>
      <c r="C265" s="320"/>
      <c r="D265" s="320"/>
      <c r="E265" s="19" t="s">
        <v>13178</v>
      </c>
      <c r="F265" s="5" t="s">
        <v>13258</v>
      </c>
      <c r="G265" s="14"/>
      <c r="H265" s="14"/>
    </row>
    <row r="266" spans="1:8" x14ac:dyDescent="0.3">
      <c r="A266" s="1"/>
      <c r="D266" s="1"/>
    </row>
    <row r="267" spans="1:8" s="25" customFormat="1" ht="10.8" x14ac:dyDescent="0.3">
      <c r="A267" s="24" t="s">
        <v>13179</v>
      </c>
      <c r="B267" s="24" t="s">
        <v>13193</v>
      </c>
      <c r="C267" s="24" t="s">
        <v>4</v>
      </c>
      <c r="D267" s="24" t="s">
        <v>13180</v>
      </c>
      <c r="E267" s="24" t="s">
        <v>13181</v>
      </c>
      <c r="F267" s="24" t="s">
        <v>13182</v>
      </c>
    </row>
    <row r="268" spans="1:8" s="25" customFormat="1" ht="10.8" x14ac:dyDescent="0.3">
      <c r="A268" s="24"/>
      <c r="B268" s="24"/>
      <c r="C268" s="24"/>
      <c r="D268" s="24"/>
      <c r="E268" s="24"/>
      <c r="F268" s="24"/>
    </row>
    <row r="269" spans="1:8" s="25" customFormat="1" ht="10.8" x14ac:dyDescent="0.3">
      <c r="A269" s="24" t="s">
        <v>13183</v>
      </c>
      <c r="B269" s="24"/>
      <c r="C269" s="24"/>
      <c r="D269" s="24"/>
      <c r="E269" s="24"/>
      <c r="F269" s="24"/>
    </row>
    <row r="270" spans="1:8" s="25" customFormat="1" ht="10.8" x14ac:dyDescent="0.3">
      <c r="A270" s="24"/>
      <c r="B270" s="32"/>
      <c r="C270" s="46"/>
      <c r="D270" s="26"/>
      <c r="E270" s="38"/>
      <c r="F270" s="26">
        <f t="shared" ref="F270:F277" si="34">+D270*E270</f>
        <v>0</v>
      </c>
    </row>
    <row r="271" spans="1:8" s="25" customFormat="1" ht="10.8" x14ac:dyDescent="0.3">
      <c r="A271" s="24"/>
      <c r="B271" s="32"/>
      <c r="C271" s="46"/>
      <c r="D271" s="26"/>
      <c r="E271" s="38"/>
      <c r="F271" s="26">
        <f t="shared" si="34"/>
        <v>0</v>
      </c>
    </row>
    <row r="272" spans="1:8" s="25" customFormat="1" ht="10.8" x14ac:dyDescent="0.3">
      <c r="A272" s="24"/>
      <c r="B272" s="32"/>
      <c r="C272" s="46"/>
      <c r="D272" s="26"/>
      <c r="E272" s="38"/>
      <c r="F272" s="26">
        <f t="shared" si="34"/>
        <v>0</v>
      </c>
    </row>
    <row r="273" spans="1:6" s="25" customFormat="1" ht="10.8" x14ac:dyDescent="0.3">
      <c r="A273" s="24"/>
      <c r="B273" s="32"/>
      <c r="C273" s="46"/>
      <c r="D273" s="26"/>
      <c r="E273" s="38"/>
      <c r="F273" s="26">
        <f t="shared" si="34"/>
        <v>0</v>
      </c>
    </row>
    <row r="274" spans="1:6" s="25" customFormat="1" ht="10.8" x14ac:dyDescent="0.3">
      <c r="A274" s="24"/>
      <c r="B274" s="32"/>
      <c r="C274" s="46"/>
      <c r="D274" s="26"/>
      <c r="E274" s="38"/>
      <c r="F274" s="26">
        <f t="shared" si="34"/>
        <v>0</v>
      </c>
    </row>
    <row r="275" spans="1:6" s="25" customFormat="1" ht="10.8" x14ac:dyDescent="0.3">
      <c r="A275" s="24"/>
      <c r="B275" s="32"/>
      <c r="C275" s="46"/>
      <c r="D275" s="26"/>
      <c r="E275" s="38"/>
      <c r="F275" s="26">
        <f t="shared" si="34"/>
        <v>0</v>
      </c>
    </row>
    <row r="276" spans="1:6" s="25" customFormat="1" ht="10.8" x14ac:dyDescent="0.3">
      <c r="A276" s="24"/>
      <c r="B276" s="32"/>
      <c r="C276" s="24"/>
      <c r="D276" s="26"/>
      <c r="E276" s="38"/>
      <c r="F276" s="26">
        <f t="shared" si="34"/>
        <v>0</v>
      </c>
    </row>
    <row r="277" spans="1:6" s="25" customFormat="1" ht="10.8" x14ac:dyDescent="0.3">
      <c r="A277" s="24"/>
      <c r="B277" s="33"/>
      <c r="C277" s="24"/>
      <c r="D277" s="26"/>
      <c r="E277" s="38"/>
      <c r="F277" s="26">
        <f t="shared" si="34"/>
        <v>0</v>
      </c>
    </row>
    <row r="278" spans="1:6" s="25" customFormat="1" ht="10.8" x14ac:dyDescent="0.3">
      <c r="A278" s="24"/>
      <c r="B278" s="24"/>
      <c r="C278" s="24"/>
      <c r="D278" s="27"/>
      <c r="E278" s="28"/>
      <c r="F278" s="27"/>
    </row>
    <row r="279" spans="1:6" s="25" customFormat="1" ht="10.8" x14ac:dyDescent="0.3">
      <c r="A279" s="24" t="s">
        <v>13184</v>
      </c>
      <c r="B279" s="24"/>
      <c r="C279" s="24"/>
      <c r="D279" s="27"/>
      <c r="E279" s="28"/>
      <c r="F279" s="27"/>
    </row>
    <row r="280" spans="1:6" s="25" customFormat="1" ht="10.8" x14ac:dyDescent="0.3">
      <c r="A280" s="24"/>
      <c r="B280" s="33"/>
      <c r="C280" s="24"/>
      <c r="D280" s="35"/>
      <c r="E280" s="35"/>
      <c r="F280" s="26">
        <f t="shared" ref="F280:F283" si="35">+D280*E280</f>
        <v>0</v>
      </c>
    </row>
    <row r="281" spans="1:6" s="25" customFormat="1" ht="10.8" x14ac:dyDescent="0.3">
      <c r="A281" s="24"/>
      <c r="B281" s="33"/>
      <c r="C281" s="24"/>
      <c r="D281" s="35"/>
      <c r="E281" s="35"/>
      <c r="F281" s="26">
        <f t="shared" si="35"/>
        <v>0</v>
      </c>
    </row>
    <row r="282" spans="1:6" s="25" customFormat="1" ht="10.8" x14ac:dyDescent="0.3">
      <c r="A282" s="24"/>
      <c r="B282" s="24"/>
      <c r="C282" s="24"/>
      <c r="D282" s="27"/>
      <c r="E282" s="28"/>
      <c r="F282" s="27">
        <f t="shared" si="35"/>
        <v>0</v>
      </c>
    </row>
    <row r="283" spans="1:6" s="25" customFormat="1" ht="10.8" x14ac:dyDescent="0.3">
      <c r="A283" s="24"/>
      <c r="B283" s="24"/>
      <c r="C283" s="24"/>
      <c r="D283" s="27"/>
      <c r="E283" s="28"/>
      <c r="F283" s="27">
        <f t="shared" si="35"/>
        <v>0</v>
      </c>
    </row>
    <row r="284" spans="1:6" s="25" customFormat="1" ht="10.8" x14ac:dyDescent="0.3">
      <c r="A284" s="24"/>
      <c r="B284" s="24"/>
      <c r="C284" s="24"/>
      <c r="D284" s="27"/>
      <c r="E284" s="28"/>
      <c r="F284" s="27"/>
    </row>
    <row r="285" spans="1:6" s="25" customFormat="1" ht="10.8" x14ac:dyDescent="0.3">
      <c r="A285" s="24" t="s">
        <v>13185</v>
      </c>
      <c r="B285" s="24"/>
      <c r="C285" s="24"/>
      <c r="D285" s="27"/>
      <c r="E285" s="28"/>
      <c r="F285" s="27"/>
    </row>
    <row r="286" spans="1:6" s="25" customFormat="1" ht="10.8" x14ac:dyDescent="0.3">
      <c r="A286" s="24"/>
      <c r="B286" s="32"/>
      <c r="C286" s="24"/>
      <c r="D286" s="27"/>
      <c r="E286" s="35"/>
      <c r="F286" s="27">
        <f t="shared" ref="F286:F290" si="36">+D286*E286</f>
        <v>0</v>
      </c>
    </row>
    <row r="287" spans="1:6" s="25" customFormat="1" ht="10.8" x14ac:dyDescent="0.3">
      <c r="A287" s="24"/>
      <c r="B287" s="32"/>
      <c r="C287" s="24"/>
      <c r="D287" s="27"/>
      <c r="E287" s="35"/>
      <c r="F287" s="27">
        <f t="shared" si="36"/>
        <v>0</v>
      </c>
    </row>
    <row r="288" spans="1:6" s="25" customFormat="1" ht="10.8" x14ac:dyDescent="0.3">
      <c r="A288" s="24"/>
      <c r="B288" s="32"/>
      <c r="C288" s="24"/>
      <c r="D288" s="27"/>
      <c r="E288" s="28"/>
      <c r="F288" s="27">
        <f t="shared" si="36"/>
        <v>0</v>
      </c>
    </row>
    <row r="289" spans="1:6" s="25" customFormat="1" ht="10.8" x14ac:dyDescent="0.3">
      <c r="A289" s="24"/>
      <c r="B289" s="24"/>
      <c r="C289" s="24"/>
      <c r="D289" s="27"/>
      <c r="E289" s="28"/>
      <c r="F289" s="27">
        <f t="shared" si="36"/>
        <v>0</v>
      </c>
    </row>
    <row r="290" spans="1:6" s="25" customFormat="1" ht="10.8" x14ac:dyDescent="0.3">
      <c r="A290" s="24"/>
      <c r="B290" s="24"/>
      <c r="C290" s="24"/>
      <c r="D290" s="27"/>
      <c r="E290" s="28"/>
      <c r="F290" s="27">
        <f t="shared" si="36"/>
        <v>0</v>
      </c>
    </row>
    <row r="291" spans="1:6" s="25" customFormat="1" ht="10.8" x14ac:dyDescent="0.3">
      <c r="A291" s="24"/>
      <c r="B291" s="24"/>
      <c r="C291" s="24"/>
      <c r="D291" s="27"/>
      <c r="E291" s="28"/>
      <c r="F291" s="27"/>
    </row>
    <row r="292" spans="1:6" s="25" customFormat="1" ht="10.8" x14ac:dyDescent="0.3">
      <c r="A292" s="24" t="s">
        <v>13186</v>
      </c>
      <c r="B292" s="24"/>
      <c r="C292" s="24"/>
      <c r="D292" s="27"/>
      <c r="E292" s="28"/>
      <c r="F292" s="27"/>
    </row>
    <row r="293" spans="1:6" s="25" customFormat="1" ht="10.8" x14ac:dyDescent="0.3">
      <c r="A293" s="24" t="s">
        <v>13</v>
      </c>
      <c r="B293" s="24" t="s">
        <v>13261</v>
      </c>
      <c r="C293" s="24" t="s">
        <v>13258</v>
      </c>
      <c r="D293" s="27">
        <v>21500</v>
      </c>
      <c r="E293" s="28">
        <v>1</v>
      </c>
      <c r="F293" s="27">
        <f t="shared" ref="F293:F297" si="37">+D293*E293</f>
        <v>21500</v>
      </c>
    </row>
    <row r="294" spans="1:6" s="25" customFormat="1" ht="10.8" x14ac:dyDescent="0.3">
      <c r="A294" s="24"/>
      <c r="B294" s="24"/>
      <c r="C294" s="24"/>
      <c r="D294" s="27"/>
      <c r="E294" s="28"/>
      <c r="F294" s="27">
        <f t="shared" si="37"/>
        <v>0</v>
      </c>
    </row>
    <row r="295" spans="1:6" s="25" customFormat="1" ht="10.8" x14ac:dyDescent="0.3">
      <c r="A295" s="24"/>
      <c r="B295" s="24"/>
      <c r="C295" s="24"/>
      <c r="D295" s="27"/>
      <c r="E295" s="28"/>
      <c r="F295" s="27">
        <f t="shared" si="37"/>
        <v>0</v>
      </c>
    </row>
    <row r="296" spans="1:6" s="25" customFormat="1" ht="10.8" x14ac:dyDescent="0.3">
      <c r="A296" s="24"/>
      <c r="B296" s="24"/>
      <c r="C296" s="24"/>
      <c r="D296" s="27"/>
      <c r="E296" s="28"/>
      <c r="F296" s="27">
        <f t="shared" si="37"/>
        <v>0</v>
      </c>
    </row>
    <row r="297" spans="1:6" s="25" customFormat="1" ht="10.8" x14ac:dyDescent="0.3">
      <c r="A297" s="24"/>
      <c r="B297" s="24"/>
      <c r="C297" s="24"/>
      <c r="D297" s="27"/>
      <c r="E297" s="28"/>
      <c r="F297" s="27">
        <f t="shared" si="37"/>
        <v>0</v>
      </c>
    </row>
    <row r="298" spans="1:6" s="25" customFormat="1" ht="10.8" x14ac:dyDescent="0.3">
      <c r="D298" s="29"/>
      <c r="E298" s="30"/>
      <c r="F298" s="29"/>
    </row>
    <row r="299" spans="1:6" s="25" customFormat="1" ht="10.8" x14ac:dyDescent="0.3">
      <c r="D299" s="321" t="s">
        <v>13187</v>
      </c>
      <c r="E299" s="322"/>
      <c r="F299" s="323"/>
    </row>
    <row r="300" spans="1:6" s="25" customFormat="1" ht="10.8" x14ac:dyDescent="0.3">
      <c r="D300" s="27" t="s">
        <v>13183</v>
      </c>
      <c r="E300" s="31">
        <f>+F300/F$305</f>
        <v>0</v>
      </c>
      <c r="F300" s="27">
        <f>SUM(F270:F278)</f>
        <v>0</v>
      </c>
    </row>
    <row r="301" spans="1:6" s="25" customFormat="1" ht="10.8" x14ac:dyDescent="0.3">
      <c r="D301" s="27" t="s">
        <v>13184</v>
      </c>
      <c r="E301" s="31">
        <f t="shared" ref="E301:E303" si="38">+F301/F$305</f>
        <v>0</v>
      </c>
      <c r="F301" s="27">
        <f>SUM(F280:F284)</f>
        <v>0</v>
      </c>
    </row>
    <row r="302" spans="1:6" s="25" customFormat="1" ht="10.8" x14ac:dyDescent="0.3">
      <c r="D302" s="27" t="s">
        <v>13185</v>
      </c>
      <c r="E302" s="31">
        <f t="shared" si="38"/>
        <v>0</v>
      </c>
      <c r="F302" s="27">
        <f>SUM(F287:F291)</f>
        <v>0</v>
      </c>
    </row>
    <row r="303" spans="1:6" s="25" customFormat="1" ht="10.8" x14ac:dyDescent="0.3">
      <c r="D303" s="27" t="s">
        <v>13186</v>
      </c>
      <c r="E303" s="31">
        <f t="shared" si="38"/>
        <v>1</v>
      </c>
      <c r="F303" s="27">
        <f>SUM(F293:F297)</f>
        <v>21500</v>
      </c>
    </row>
    <row r="304" spans="1:6" s="25" customFormat="1" ht="10.8" x14ac:dyDescent="0.3">
      <c r="D304" s="27"/>
      <c r="E304" s="31"/>
      <c r="F304" s="27"/>
    </row>
    <row r="305" spans="1:8" s="25" customFormat="1" ht="10.8" x14ac:dyDescent="0.3">
      <c r="D305" s="27" t="s">
        <v>13188</v>
      </c>
      <c r="E305" s="31">
        <f>SUM(E300:E304)</f>
        <v>1</v>
      </c>
      <c r="F305" s="27">
        <f>SUM(F300:F304)</f>
        <v>21500</v>
      </c>
    </row>
    <row r="306" spans="1:8" s="25" customFormat="1" ht="10.8" x14ac:dyDescent="0.3">
      <c r="D306" s="27" t="s">
        <v>13050</v>
      </c>
      <c r="E306" s="31">
        <v>0.25270000000000004</v>
      </c>
      <c r="F306" s="27">
        <f>+F305*E306</f>
        <v>5433.0500000000011</v>
      </c>
    </row>
    <row r="307" spans="1:8" s="25" customFormat="1" ht="10.8" x14ac:dyDescent="0.3">
      <c r="D307" s="27"/>
      <c r="E307" s="28"/>
      <c r="F307" s="27"/>
    </row>
    <row r="308" spans="1:8" s="25" customFormat="1" ht="10.8" x14ac:dyDescent="0.3">
      <c r="D308" s="27" t="s">
        <v>13189</v>
      </c>
      <c r="E308" s="28"/>
      <c r="F308" s="27">
        <f>SUM(F305:F307)</f>
        <v>26933.050000000003</v>
      </c>
    </row>
    <row r="309" spans="1:8" s="21" customFormat="1" ht="10.8" x14ac:dyDescent="0.25">
      <c r="C309" s="20"/>
      <c r="D309" s="22"/>
      <c r="E309" s="23"/>
      <c r="F309" s="22"/>
    </row>
    <row r="310" spans="1:8" x14ac:dyDescent="0.3">
      <c r="A310" s="18" t="s">
        <v>13176</v>
      </c>
      <c r="B310" s="320" t="s">
        <v>13259</v>
      </c>
      <c r="C310" s="320"/>
      <c r="D310" s="320"/>
      <c r="E310" s="19" t="s">
        <v>13177</v>
      </c>
      <c r="F310" s="5" t="s">
        <v>13262</v>
      </c>
      <c r="G310" s="14"/>
      <c r="H310" s="14"/>
    </row>
    <row r="311" spans="1:8" x14ac:dyDescent="0.3">
      <c r="A311" s="18"/>
      <c r="B311" s="320"/>
      <c r="C311" s="320"/>
      <c r="D311" s="320"/>
      <c r="E311" s="19" t="s">
        <v>13178</v>
      </c>
      <c r="F311" s="5" t="s">
        <v>13258</v>
      </c>
      <c r="G311" s="14"/>
      <c r="H311" s="14"/>
    </row>
    <row r="312" spans="1:8" x14ac:dyDescent="0.3">
      <c r="A312" s="1"/>
      <c r="D312" s="1"/>
    </row>
    <row r="313" spans="1:8" s="25" customFormat="1" ht="10.8" x14ac:dyDescent="0.3">
      <c r="A313" s="24" t="s">
        <v>13179</v>
      </c>
      <c r="B313" s="24" t="s">
        <v>13193</v>
      </c>
      <c r="C313" s="24" t="s">
        <v>4</v>
      </c>
      <c r="D313" s="24" t="s">
        <v>13180</v>
      </c>
      <c r="E313" s="24" t="s">
        <v>13181</v>
      </c>
      <c r="F313" s="24" t="s">
        <v>13182</v>
      </c>
    </row>
    <row r="314" spans="1:8" s="25" customFormat="1" ht="10.8" x14ac:dyDescent="0.3">
      <c r="A314" s="24"/>
      <c r="B314" s="24"/>
      <c r="C314" s="24"/>
      <c r="D314" s="24"/>
      <c r="E314" s="24"/>
      <c r="F314" s="24"/>
    </row>
    <row r="315" spans="1:8" s="25" customFormat="1" ht="10.8" x14ac:dyDescent="0.3">
      <c r="A315" s="24" t="s">
        <v>13183</v>
      </c>
      <c r="B315" s="24"/>
      <c r="C315" s="24"/>
      <c r="D315" s="24"/>
      <c r="E315" s="24"/>
      <c r="F315" s="24"/>
    </row>
    <row r="316" spans="1:8" s="25" customFormat="1" ht="10.8" x14ac:dyDescent="0.3">
      <c r="A316" s="24"/>
      <c r="B316" s="32"/>
      <c r="C316" s="46"/>
      <c r="D316" s="26"/>
      <c r="E316" s="38"/>
      <c r="F316" s="26">
        <f t="shared" ref="F316:F323" si="39">+D316*E316</f>
        <v>0</v>
      </c>
    </row>
    <row r="317" spans="1:8" s="25" customFormat="1" ht="10.8" x14ac:dyDescent="0.3">
      <c r="A317" s="24"/>
      <c r="B317" s="32"/>
      <c r="C317" s="46"/>
      <c r="D317" s="26"/>
      <c r="E317" s="38"/>
      <c r="F317" s="26">
        <f t="shared" si="39"/>
        <v>0</v>
      </c>
    </row>
    <row r="318" spans="1:8" s="25" customFormat="1" ht="10.8" x14ac:dyDescent="0.3">
      <c r="A318" s="24"/>
      <c r="B318" s="32"/>
      <c r="C318" s="46"/>
      <c r="D318" s="26"/>
      <c r="E318" s="38"/>
      <c r="F318" s="26">
        <f t="shared" si="39"/>
        <v>0</v>
      </c>
    </row>
    <row r="319" spans="1:8" s="25" customFormat="1" ht="10.8" x14ac:dyDescent="0.3">
      <c r="A319" s="24"/>
      <c r="B319" s="32"/>
      <c r="C319" s="46"/>
      <c r="D319" s="26"/>
      <c r="E319" s="38"/>
      <c r="F319" s="26">
        <f t="shared" si="39"/>
        <v>0</v>
      </c>
    </row>
    <row r="320" spans="1:8" s="25" customFormat="1" ht="10.8" x14ac:dyDescent="0.3">
      <c r="A320" s="24"/>
      <c r="B320" s="32"/>
      <c r="C320" s="46"/>
      <c r="D320" s="26"/>
      <c r="E320" s="38"/>
      <c r="F320" s="26">
        <f t="shared" si="39"/>
        <v>0</v>
      </c>
    </row>
    <row r="321" spans="1:6" s="25" customFormat="1" ht="10.8" x14ac:dyDescent="0.3">
      <c r="A321" s="24"/>
      <c r="B321" s="32"/>
      <c r="C321" s="46"/>
      <c r="D321" s="26"/>
      <c r="E321" s="38"/>
      <c r="F321" s="26">
        <f t="shared" si="39"/>
        <v>0</v>
      </c>
    </row>
    <row r="322" spans="1:6" s="25" customFormat="1" ht="10.8" x14ac:dyDescent="0.3">
      <c r="A322" s="24"/>
      <c r="B322" s="32"/>
      <c r="C322" s="24"/>
      <c r="D322" s="26"/>
      <c r="E322" s="38"/>
      <c r="F322" s="26">
        <f t="shared" si="39"/>
        <v>0</v>
      </c>
    </row>
    <row r="323" spans="1:6" s="25" customFormat="1" ht="10.8" x14ac:dyDescent="0.3">
      <c r="A323" s="24"/>
      <c r="B323" s="33"/>
      <c r="C323" s="24"/>
      <c r="D323" s="26"/>
      <c r="E323" s="38"/>
      <c r="F323" s="26">
        <f t="shared" si="39"/>
        <v>0</v>
      </c>
    </row>
    <row r="324" spans="1:6" s="25" customFormat="1" ht="10.8" x14ac:dyDescent="0.3">
      <c r="A324" s="24"/>
      <c r="B324" s="24"/>
      <c r="C324" s="24"/>
      <c r="D324" s="27"/>
      <c r="E324" s="28"/>
      <c r="F324" s="27"/>
    </row>
    <row r="325" spans="1:6" s="25" customFormat="1" ht="10.8" x14ac:dyDescent="0.3">
      <c r="A325" s="24" t="s">
        <v>13184</v>
      </c>
      <c r="B325" s="24"/>
      <c r="C325" s="24"/>
      <c r="D325" s="27"/>
      <c r="E325" s="28"/>
      <c r="F325" s="27"/>
    </row>
    <row r="326" spans="1:6" s="25" customFormat="1" ht="10.8" x14ac:dyDescent="0.3">
      <c r="A326" s="24"/>
      <c r="B326" s="33"/>
      <c r="C326" s="24"/>
      <c r="D326" s="35"/>
      <c r="E326" s="35"/>
      <c r="F326" s="26">
        <f t="shared" ref="F326:F329" si="40">+D326*E326</f>
        <v>0</v>
      </c>
    </row>
    <row r="327" spans="1:6" s="25" customFormat="1" ht="10.8" x14ac:dyDescent="0.3">
      <c r="A327" s="24"/>
      <c r="B327" s="33"/>
      <c r="C327" s="24"/>
      <c r="D327" s="35"/>
      <c r="E327" s="35"/>
      <c r="F327" s="26">
        <f t="shared" si="40"/>
        <v>0</v>
      </c>
    </row>
    <row r="328" spans="1:6" s="25" customFormat="1" ht="10.8" x14ac:dyDescent="0.3">
      <c r="A328" s="24"/>
      <c r="B328" s="24"/>
      <c r="C328" s="24"/>
      <c r="D328" s="27"/>
      <c r="E328" s="28"/>
      <c r="F328" s="27">
        <f t="shared" si="40"/>
        <v>0</v>
      </c>
    </row>
    <row r="329" spans="1:6" s="25" customFormat="1" ht="10.8" x14ac:dyDescent="0.3">
      <c r="A329" s="24"/>
      <c r="B329" s="24"/>
      <c r="C329" s="24"/>
      <c r="D329" s="27"/>
      <c r="E329" s="28"/>
      <c r="F329" s="27">
        <f t="shared" si="40"/>
        <v>0</v>
      </c>
    </row>
    <row r="330" spans="1:6" s="25" customFormat="1" ht="10.8" x14ac:dyDescent="0.3">
      <c r="A330" s="24"/>
      <c r="B330" s="24"/>
      <c r="C330" s="24"/>
      <c r="D330" s="27"/>
      <c r="E330" s="28"/>
      <c r="F330" s="27"/>
    </row>
    <row r="331" spans="1:6" s="25" customFormat="1" ht="10.8" x14ac:dyDescent="0.3">
      <c r="A331" s="24" t="s">
        <v>13185</v>
      </c>
      <c r="B331" s="24"/>
      <c r="C331" s="24"/>
      <c r="D331" s="27"/>
      <c r="E331" s="28"/>
      <c r="F331" s="27"/>
    </row>
    <row r="332" spans="1:6" s="25" customFormat="1" ht="10.8" x14ac:dyDescent="0.3">
      <c r="A332" s="24"/>
      <c r="B332" s="32"/>
      <c r="C332" s="24"/>
      <c r="D332" s="27"/>
      <c r="E332" s="35"/>
      <c r="F332" s="27">
        <f t="shared" ref="F332:F336" si="41">+D332*E332</f>
        <v>0</v>
      </c>
    </row>
    <row r="333" spans="1:6" s="25" customFormat="1" ht="10.8" x14ac:dyDescent="0.3">
      <c r="A333" s="24"/>
      <c r="B333" s="32"/>
      <c r="C333" s="24"/>
      <c r="D333" s="27"/>
      <c r="E333" s="35"/>
      <c r="F333" s="27">
        <f t="shared" si="41"/>
        <v>0</v>
      </c>
    </row>
    <row r="334" spans="1:6" s="25" customFormat="1" ht="10.8" x14ac:dyDescent="0.3">
      <c r="A334" s="24"/>
      <c r="B334" s="32"/>
      <c r="C334" s="24"/>
      <c r="D334" s="27"/>
      <c r="E334" s="28"/>
      <c r="F334" s="27">
        <f t="shared" si="41"/>
        <v>0</v>
      </c>
    </row>
    <row r="335" spans="1:6" s="25" customFormat="1" ht="10.8" x14ac:dyDescent="0.3">
      <c r="A335" s="24"/>
      <c r="B335" s="24"/>
      <c r="C335" s="24"/>
      <c r="D335" s="27"/>
      <c r="E335" s="28"/>
      <c r="F335" s="27">
        <f t="shared" si="41"/>
        <v>0</v>
      </c>
    </row>
    <row r="336" spans="1:6" s="25" customFormat="1" ht="10.8" x14ac:dyDescent="0.3">
      <c r="A336" s="24"/>
      <c r="B336" s="24"/>
      <c r="C336" s="24"/>
      <c r="D336" s="27"/>
      <c r="E336" s="28"/>
      <c r="F336" s="27">
        <f t="shared" si="41"/>
        <v>0</v>
      </c>
    </row>
    <row r="337" spans="1:6" s="25" customFormat="1" ht="10.8" x14ac:dyDescent="0.3">
      <c r="A337" s="24"/>
      <c r="B337" s="24"/>
      <c r="C337" s="24"/>
      <c r="D337" s="27"/>
      <c r="E337" s="28"/>
      <c r="F337" s="27"/>
    </row>
    <row r="338" spans="1:6" s="25" customFormat="1" ht="10.8" x14ac:dyDescent="0.3">
      <c r="A338" s="24" t="s">
        <v>13186</v>
      </c>
      <c r="B338" s="24"/>
      <c r="C338" s="24"/>
      <c r="D338" s="27"/>
      <c r="E338" s="28"/>
      <c r="F338" s="27"/>
    </row>
    <row r="339" spans="1:6" s="25" customFormat="1" ht="21.6" x14ac:dyDescent="0.3">
      <c r="A339" s="24" t="s">
        <v>13</v>
      </c>
      <c r="B339" s="32" t="s">
        <v>13264</v>
      </c>
      <c r="C339" s="24" t="s">
        <v>13258</v>
      </c>
      <c r="D339" s="27">
        <v>41390</v>
      </c>
      <c r="E339" s="28">
        <v>1</v>
      </c>
      <c r="F339" s="27">
        <f t="shared" ref="F339:F343" si="42">+D339*E339</f>
        <v>41390</v>
      </c>
    </row>
    <row r="340" spans="1:6" s="25" customFormat="1" ht="10.8" x14ac:dyDescent="0.3">
      <c r="A340" s="24"/>
      <c r="B340" s="24"/>
      <c r="C340" s="24"/>
      <c r="D340" s="27"/>
      <c r="E340" s="28"/>
      <c r="F340" s="27">
        <f t="shared" si="42"/>
        <v>0</v>
      </c>
    </row>
    <row r="341" spans="1:6" s="25" customFormat="1" ht="10.8" x14ac:dyDescent="0.3">
      <c r="A341" s="24"/>
      <c r="B341" s="24"/>
      <c r="C341" s="24"/>
      <c r="D341" s="27"/>
      <c r="E341" s="28"/>
      <c r="F341" s="27">
        <f t="shared" si="42"/>
        <v>0</v>
      </c>
    </row>
    <row r="342" spans="1:6" s="25" customFormat="1" ht="10.8" x14ac:dyDescent="0.3">
      <c r="A342" s="24"/>
      <c r="B342" s="24"/>
      <c r="C342" s="24"/>
      <c r="D342" s="27"/>
      <c r="E342" s="28"/>
      <c r="F342" s="27">
        <f t="shared" si="42"/>
        <v>0</v>
      </c>
    </row>
    <row r="343" spans="1:6" s="25" customFormat="1" ht="10.8" x14ac:dyDescent="0.3">
      <c r="A343" s="24"/>
      <c r="B343" s="24"/>
      <c r="C343" s="24"/>
      <c r="D343" s="27"/>
      <c r="E343" s="28"/>
      <c r="F343" s="27">
        <f t="shared" si="42"/>
        <v>0</v>
      </c>
    </row>
    <row r="344" spans="1:6" s="25" customFormat="1" ht="10.8" x14ac:dyDescent="0.3">
      <c r="D344" s="29"/>
      <c r="E344" s="30"/>
      <c r="F344" s="29"/>
    </row>
    <row r="345" spans="1:6" s="25" customFormat="1" ht="10.8" x14ac:dyDescent="0.3">
      <c r="D345" s="321" t="s">
        <v>13187</v>
      </c>
      <c r="E345" s="322"/>
      <c r="F345" s="323"/>
    </row>
    <row r="346" spans="1:6" s="25" customFormat="1" ht="10.8" x14ac:dyDescent="0.3">
      <c r="D346" s="27" t="s">
        <v>13183</v>
      </c>
      <c r="E346" s="31">
        <f>+F346/F$305</f>
        <v>0</v>
      </c>
      <c r="F346" s="27">
        <f>SUM(F316:F324)</f>
        <v>0</v>
      </c>
    </row>
    <row r="347" spans="1:6" s="25" customFormat="1" ht="10.8" x14ac:dyDescent="0.3">
      <c r="D347" s="27" t="s">
        <v>13184</v>
      </c>
      <c r="E347" s="31">
        <f t="shared" ref="E347:E348" si="43">+F347/F$305</f>
        <v>0</v>
      </c>
      <c r="F347" s="27">
        <f>SUM(F326:F330)</f>
        <v>0</v>
      </c>
    </row>
    <row r="348" spans="1:6" s="25" customFormat="1" ht="10.8" x14ac:dyDescent="0.3">
      <c r="D348" s="27" t="s">
        <v>13185</v>
      </c>
      <c r="E348" s="31">
        <f t="shared" si="43"/>
        <v>0</v>
      </c>
      <c r="F348" s="27">
        <f>SUM(F333:F337)</f>
        <v>0</v>
      </c>
    </row>
    <row r="349" spans="1:6" s="25" customFormat="1" ht="10.8" x14ac:dyDescent="0.3">
      <c r="D349" s="27" t="s">
        <v>13186</v>
      </c>
      <c r="E349" s="31">
        <f>+F349/F$351</f>
        <v>1</v>
      </c>
      <c r="F349" s="27">
        <f>SUM(F339:F343)</f>
        <v>41390</v>
      </c>
    </row>
    <row r="350" spans="1:6" s="25" customFormat="1" ht="10.8" x14ac:dyDescent="0.3">
      <c r="D350" s="27"/>
      <c r="E350" s="31"/>
      <c r="F350" s="27"/>
    </row>
    <row r="351" spans="1:6" s="25" customFormat="1" ht="10.8" x14ac:dyDescent="0.3">
      <c r="D351" s="27" t="s">
        <v>13188</v>
      </c>
      <c r="E351" s="31">
        <f>SUM(E346:E350)</f>
        <v>1</v>
      </c>
      <c r="F351" s="27">
        <f>SUM(F346:F350)</f>
        <v>41390</v>
      </c>
    </row>
    <row r="352" spans="1:6" s="25" customFormat="1" ht="10.8" x14ac:dyDescent="0.3">
      <c r="D352" s="27" t="s">
        <v>13050</v>
      </c>
      <c r="E352" s="31">
        <v>0.25270000000000004</v>
      </c>
      <c r="F352" s="27">
        <f>+F351*E352</f>
        <v>10459.253000000001</v>
      </c>
    </row>
    <row r="353" spans="1:8" s="25" customFormat="1" ht="10.8" x14ac:dyDescent="0.3">
      <c r="D353" s="27"/>
      <c r="E353" s="28"/>
      <c r="F353" s="27"/>
    </row>
    <row r="354" spans="1:8" s="25" customFormat="1" ht="10.8" x14ac:dyDescent="0.3">
      <c r="D354" s="27" t="s">
        <v>13189</v>
      </c>
      <c r="E354" s="28"/>
      <c r="F354" s="27">
        <f>SUM(F351:F353)</f>
        <v>51849.252999999997</v>
      </c>
    </row>
    <row r="355" spans="1:8" s="21" customFormat="1" ht="10.8" x14ac:dyDescent="0.25">
      <c r="C355" s="20"/>
      <c r="D355" s="22"/>
      <c r="E355" s="23"/>
      <c r="F355" s="22"/>
    </row>
    <row r="356" spans="1:8" x14ac:dyDescent="0.3">
      <c r="A356" s="18" t="s">
        <v>13176</v>
      </c>
      <c r="B356" s="320" t="s">
        <v>13260</v>
      </c>
      <c r="C356" s="320"/>
      <c r="D356" s="320"/>
      <c r="E356" s="19" t="s">
        <v>13177</v>
      </c>
      <c r="F356" s="5" t="s">
        <v>13263</v>
      </c>
      <c r="G356" s="14"/>
      <c r="H356" s="14"/>
    </row>
    <row r="357" spans="1:8" x14ac:dyDescent="0.3">
      <c r="A357" s="18"/>
      <c r="B357" s="320"/>
      <c r="C357" s="320"/>
      <c r="D357" s="320"/>
      <c r="E357" s="19" t="s">
        <v>13178</v>
      </c>
      <c r="F357" s="5" t="s">
        <v>13258</v>
      </c>
      <c r="G357" s="14"/>
      <c r="H357" s="14"/>
    </row>
    <row r="358" spans="1:8" x14ac:dyDescent="0.3">
      <c r="A358" s="1"/>
      <c r="D358" s="1"/>
    </row>
    <row r="359" spans="1:8" s="25" customFormat="1" ht="10.8" x14ac:dyDescent="0.3">
      <c r="A359" s="24" t="s">
        <v>13179</v>
      </c>
      <c r="B359" s="24" t="s">
        <v>13193</v>
      </c>
      <c r="C359" s="24" t="s">
        <v>4</v>
      </c>
      <c r="D359" s="24" t="s">
        <v>13180</v>
      </c>
      <c r="E359" s="24" t="s">
        <v>13181</v>
      </c>
      <c r="F359" s="24" t="s">
        <v>13182</v>
      </c>
    </row>
    <row r="360" spans="1:8" s="25" customFormat="1" ht="10.8" x14ac:dyDescent="0.3">
      <c r="A360" s="24"/>
      <c r="B360" s="24"/>
      <c r="C360" s="24"/>
      <c r="D360" s="24"/>
      <c r="E360" s="24"/>
      <c r="F360" s="24"/>
    </row>
    <row r="361" spans="1:8" s="25" customFormat="1" ht="10.8" x14ac:dyDescent="0.3">
      <c r="A361" s="24" t="s">
        <v>13183</v>
      </c>
      <c r="B361" s="24"/>
      <c r="C361" s="24"/>
      <c r="D361" s="24"/>
      <c r="E361" s="24"/>
      <c r="F361" s="24"/>
    </row>
    <row r="362" spans="1:8" s="25" customFormat="1" ht="10.8" x14ac:dyDescent="0.3">
      <c r="A362" s="24"/>
      <c r="B362" s="32"/>
      <c r="C362" s="46"/>
      <c r="D362" s="26"/>
      <c r="E362" s="38"/>
      <c r="F362" s="26">
        <f t="shared" ref="F362:F369" si="44">+D362*E362</f>
        <v>0</v>
      </c>
    </row>
    <row r="363" spans="1:8" s="25" customFormat="1" ht="10.8" x14ac:dyDescent="0.3">
      <c r="A363" s="24"/>
      <c r="B363" s="32"/>
      <c r="C363" s="46"/>
      <c r="D363" s="26"/>
      <c r="E363" s="38"/>
      <c r="F363" s="26">
        <f t="shared" si="44"/>
        <v>0</v>
      </c>
    </row>
    <row r="364" spans="1:8" s="25" customFormat="1" ht="10.8" x14ac:dyDescent="0.3">
      <c r="A364" s="24"/>
      <c r="B364" s="32"/>
      <c r="C364" s="46"/>
      <c r="D364" s="26"/>
      <c r="E364" s="38"/>
      <c r="F364" s="26">
        <f t="shared" si="44"/>
        <v>0</v>
      </c>
    </row>
    <row r="365" spans="1:8" s="25" customFormat="1" ht="10.8" x14ac:dyDescent="0.3">
      <c r="A365" s="24"/>
      <c r="B365" s="32"/>
      <c r="C365" s="46"/>
      <c r="D365" s="26"/>
      <c r="E365" s="38"/>
      <c r="F365" s="26">
        <f t="shared" si="44"/>
        <v>0</v>
      </c>
    </row>
    <row r="366" spans="1:8" s="25" customFormat="1" ht="10.8" x14ac:dyDescent="0.3">
      <c r="A366" s="24"/>
      <c r="B366" s="32"/>
      <c r="C366" s="46"/>
      <c r="D366" s="26"/>
      <c r="E366" s="38"/>
      <c r="F366" s="26">
        <f t="shared" si="44"/>
        <v>0</v>
      </c>
    </row>
    <row r="367" spans="1:8" s="25" customFormat="1" ht="10.8" x14ac:dyDescent="0.3">
      <c r="A367" s="24"/>
      <c r="B367" s="32"/>
      <c r="C367" s="46"/>
      <c r="D367" s="26"/>
      <c r="E367" s="38"/>
      <c r="F367" s="26">
        <f t="shared" si="44"/>
        <v>0</v>
      </c>
    </row>
    <row r="368" spans="1:8" s="25" customFormat="1" ht="10.8" x14ac:dyDescent="0.3">
      <c r="A368" s="24"/>
      <c r="B368" s="32"/>
      <c r="C368" s="24"/>
      <c r="D368" s="26"/>
      <c r="E368" s="38"/>
      <c r="F368" s="26">
        <f t="shared" si="44"/>
        <v>0</v>
      </c>
    </row>
    <row r="369" spans="1:6" s="25" customFormat="1" ht="10.8" x14ac:dyDescent="0.3">
      <c r="A369" s="24"/>
      <c r="B369" s="33"/>
      <c r="C369" s="24"/>
      <c r="D369" s="26"/>
      <c r="E369" s="38"/>
      <c r="F369" s="26">
        <f t="shared" si="44"/>
        <v>0</v>
      </c>
    </row>
    <row r="370" spans="1:6" s="25" customFormat="1" ht="10.8" x14ac:dyDescent="0.3">
      <c r="A370" s="24"/>
      <c r="B370" s="24"/>
      <c r="C370" s="24"/>
      <c r="D370" s="27"/>
      <c r="E370" s="28"/>
      <c r="F370" s="27"/>
    </row>
    <row r="371" spans="1:6" s="25" customFormat="1" ht="10.8" x14ac:dyDescent="0.3">
      <c r="A371" s="24" t="s">
        <v>13184</v>
      </c>
      <c r="B371" s="24"/>
      <c r="C371" s="24"/>
      <c r="D371" s="27"/>
      <c r="E371" s="28"/>
      <c r="F371" s="27"/>
    </row>
    <row r="372" spans="1:6" s="25" customFormat="1" ht="10.8" x14ac:dyDescent="0.3">
      <c r="A372" s="24"/>
      <c r="B372" s="33"/>
      <c r="C372" s="24"/>
      <c r="D372" s="35"/>
      <c r="E372" s="35"/>
      <c r="F372" s="26">
        <f t="shared" ref="F372:F375" si="45">+D372*E372</f>
        <v>0</v>
      </c>
    </row>
    <row r="373" spans="1:6" s="25" customFormat="1" ht="10.8" x14ac:dyDescent="0.3">
      <c r="A373" s="24"/>
      <c r="B373" s="33"/>
      <c r="C373" s="24"/>
      <c r="D373" s="35"/>
      <c r="E373" s="35"/>
      <c r="F373" s="26">
        <f t="shared" si="45"/>
        <v>0</v>
      </c>
    </row>
    <row r="374" spans="1:6" s="25" customFormat="1" ht="10.8" x14ac:dyDescent="0.3">
      <c r="A374" s="24"/>
      <c r="B374" s="24"/>
      <c r="C374" s="24"/>
      <c r="D374" s="27"/>
      <c r="E374" s="28"/>
      <c r="F374" s="27">
        <f t="shared" si="45"/>
        <v>0</v>
      </c>
    </row>
    <row r="375" spans="1:6" s="25" customFormat="1" ht="10.8" x14ac:dyDescent="0.3">
      <c r="A375" s="24"/>
      <c r="B375" s="24"/>
      <c r="C375" s="24"/>
      <c r="D375" s="27"/>
      <c r="E375" s="28"/>
      <c r="F375" s="27">
        <f t="shared" si="45"/>
        <v>0</v>
      </c>
    </row>
    <row r="376" spans="1:6" s="25" customFormat="1" ht="10.8" x14ac:dyDescent="0.3">
      <c r="A376" s="24"/>
      <c r="B376" s="24"/>
      <c r="C376" s="24"/>
      <c r="D376" s="27"/>
      <c r="E376" s="28"/>
      <c r="F376" s="27"/>
    </row>
    <row r="377" spans="1:6" s="25" customFormat="1" ht="10.8" x14ac:dyDescent="0.3">
      <c r="A377" s="24" t="s">
        <v>13185</v>
      </c>
      <c r="B377" s="24"/>
      <c r="C377" s="24"/>
      <c r="D377" s="27"/>
      <c r="E377" s="28"/>
      <c r="F377" s="27"/>
    </row>
    <row r="378" spans="1:6" s="25" customFormat="1" ht="10.8" x14ac:dyDescent="0.3">
      <c r="A378" s="24"/>
      <c r="B378" s="32"/>
      <c r="C378" s="24"/>
      <c r="D378" s="27"/>
      <c r="E378" s="35"/>
      <c r="F378" s="27">
        <f t="shared" ref="F378:F382" si="46">+D378*E378</f>
        <v>0</v>
      </c>
    </row>
    <row r="379" spans="1:6" s="25" customFormat="1" ht="10.8" x14ac:dyDescent="0.3">
      <c r="A379" s="24"/>
      <c r="B379" s="32"/>
      <c r="C379" s="24"/>
      <c r="D379" s="27"/>
      <c r="E379" s="35"/>
      <c r="F379" s="27">
        <f t="shared" si="46"/>
        <v>0</v>
      </c>
    </row>
    <row r="380" spans="1:6" s="25" customFormat="1" ht="10.8" x14ac:dyDescent="0.3">
      <c r="A380" s="24"/>
      <c r="B380" s="32"/>
      <c r="C380" s="24"/>
      <c r="D380" s="27"/>
      <c r="E380" s="28"/>
      <c r="F380" s="27">
        <f t="shared" si="46"/>
        <v>0</v>
      </c>
    </row>
    <row r="381" spans="1:6" s="25" customFormat="1" ht="10.8" x14ac:dyDescent="0.3">
      <c r="A381" s="24"/>
      <c r="B381" s="24"/>
      <c r="C381" s="24"/>
      <c r="D381" s="27"/>
      <c r="E381" s="28"/>
      <c r="F381" s="27">
        <f t="shared" si="46"/>
        <v>0</v>
      </c>
    </row>
    <row r="382" spans="1:6" s="25" customFormat="1" ht="10.8" x14ac:dyDescent="0.3">
      <c r="A382" s="24"/>
      <c r="B382" s="24"/>
      <c r="C382" s="24"/>
      <c r="D382" s="27"/>
      <c r="E382" s="28"/>
      <c r="F382" s="27">
        <f t="shared" si="46"/>
        <v>0</v>
      </c>
    </row>
    <row r="383" spans="1:6" s="25" customFormat="1" ht="10.8" x14ac:dyDescent="0.3">
      <c r="A383" s="24"/>
      <c r="B383" s="24"/>
      <c r="C383" s="24"/>
      <c r="D383" s="27"/>
      <c r="E383" s="28"/>
      <c r="F383" s="27"/>
    </row>
    <row r="384" spans="1:6" s="25" customFormat="1" ht="10.8" x14ac:dyDescent="0.3">
      <c r="A384" s="24" t="s">
        <v>13186</v>
      </c>
      <c r="B384" s="24"/>
      <c r="C384" s="24"/>
      <c r="D384" s="27"/>
      <c r="E384" s="28"/>
      <c r="F384" s="27"/>
    </row>
    <row r="385" spans="1:6" s="25" customFormat="1" ht="21.6" x14ac:dyDescent="0.3">
      <c r="A385" s="24" t="s">
        <v>13</v>
      </c>
      <c r="B385" s="32" t="s">
        <v>13265</v>
      </c>
      <c r="C385" s="24" t="s">
        <v>13258</v>
      </c>
      <c r="D385" s="27">
        <v>18887</v>
      </c>
      <c r="E385" s="28">
        <v>1</v>
      </c>
      <c r="F385" s="27">
        <f t="shared" ref="F385:F389" si="47">+D385*E385</f>
        <v>18887</v>
      </c>
    </row>
    <row r="386" spans="1:6" s="25" customFormat="1" ht="10.8" x14ac:dyDescent="0.3">
      <c r="A386" s="24"/>
      <c r="B386" s="24"/>
      <c r="C386" s="24"/>
      <c r="D386" s="27"/>
      <c r="E386" s="28"/>
      <c r="F386" s="27">
        <f t="shared" si="47"/>
        <v>0</v>
      </c>
    </row>
    <row r="387" spans="1:6" s="25" customFormat="1" ht="10.8" x14ac:dyDescent="0.3">
      <c r="A387" s="24"/>
      <c r="B387" s="24"/>
      <c r="C387" s="24"/>
      <c r="D387" s="27"/>
      <c r="E387" s="28"/>
      <c r="F387" s="27">
        <f t="shared" si="47"/>
        <v>0</v>
      </c>
    </row>
    <row r="388" spans="1:6" s="25" customFormat="1" ht="10.8" x14ac:dyDescent="0.3">
      <c r="A388" s="24"/>
      <c r="B388" s="24"/>
      <c r="C388" s="24"/>
      <c r="D388" s="27"/>
      <c r="E388" s="28"/>
      <c r="F388" s="27">
        <f t="shared" si="47"/>
        <v>0</v>
      </c>
    </row>
    <row r="389" spans="1:6" s="25" customFormat="1" ht="10.8" x14ac:dyDescent="0.3">
      <c r="A389" s="24"/>
      <c r="B389" s="24"/>
      <c r="C389" s="24"/>
      <c r="D389" s="27"/>
      <c r="E389" s="28"/>
      <c r="F389" s="27">
        <f t="shared" si="47"/>
        <v>0</v>
      </c>
    </row>
    <row r="390" spans="1:6" s="25" customFormat="1" ht="10.8" x14ac:dyDescent="0.3">
      <c r="D390" s="29"/>
      <c r="E390" s="30"/>
      <c r="F390" s="29"/>
    </row>
    <row r="391" spans="1:6" s="25" customFormat="1" ht="10.8" x14ac:dyDescent="0.3">
      <c r="D391" s="321" t="s">
        <v>13187</v>
      </c>
      <c r="E391" s="322"/>
      <c r="F391" s="323"/>
    </row>
    <row r="392" spans="1:6" s="25" customFormat="1" ht="10.8" x14ac:dyDescent="0.3">
      <c r="D392" s="27" t="s">
        <v>13183</v>
      </c>
      <c r="E392" s="31">
        <f>+F392/F$305</f>
        <v>0</v>
      </c>
      <c r="F392" s="27">
        <f>SUM(F362:F370)</f>
        <v>0</v>
      </c>
    </row>
    <row r="393" spans="1:6" s="25" customFormat="1" ht="10.8" x14ac:dyDescent="0.3">
      <c r="D393" s="27" t="s">
        <v>13184</v>
      </c>
      <c r="E393" s="31">
        <f t="shared" ref="E393:E395" si="48">+F393/F$305</f>
        <v>0</v>
      </c>
      <c r="F393" s="27">
        <f>SUM(F372:F376)</f>
        <v>0</v>
      </c>
    </row>
    <row r="394" spans="1:6" s="25" customFormat="1" ht="10.8" x14ac:dyDescent="0.3">
      <c r="D394" s="27" t="s">
        <v>13185</v>
      </c>
      <c r="E394" s="31">
        <f t="shared" si="48"/>
        <v>0</v>
      </c>
      <c r="F394" s="27">
        <f>SUM(F379:F383)</f>
        <v>0</v>
      </c>
    </row>
    <row r="395" spans="1:6" s="25" customFormat="1" ht="10.8" x14ac:dyDescent="0.3">
      <c r="D395" s="27" t="s">
        <v>13186</v>
      </c>
      <c r="E395" s="31">
        <f t="shared" si="48"/>
        <v>0.87846511627906976</v>
      </c>
      <c r="F395" s="27">
        <f>SUM(F385:F389)</f>
        <v>18887</v>
      </c>
    </row>
    <row r="396" spans="1:6" s="25" customFormat="1" ht="10.8" x14ac:dyDescent="0.3">
      <c r="D396" s="27"/>
      <c r="E396" s="31"/>
      <c r="F396" s="27"/>
    </row>
    <row r="397" spans="1:6" s="25" customFormat="1" ht="10.8" x14ac:dyDescent="0.3">
      <c r="D397" s="27" t="s">
        <v>13188</v>
      </c>
      <c r="E397" s="31">
        <f>SUM(E392:E396)</f>
        <v>0.87846511627906976</v>
      </c>
      <c r="F397" s="27">
        <f>SUM(F392:F396)</f>
        <v>18887</v>
      </c>
    </row>
    <row r="398" spans="1:6" s="25" customFormat="1" ht="10.8" x14ac:dyDescent="0.3">
      <c r="D398" s="27" t="s">
        <v>13050</v>
      </c>
      <c r="E398" s="31">
        <v>0.25270000000000004</v>
      </c>
      <c r="F398" s="27">
        <f>+F397*E398</f>
        <v>4772.7449000000006</v>
      </c>
    </row>
    <row r="399" spans="1:6" s="25" customFormat="1" ht="10.8" x14ac:dyDescent="0.3">
      <c r="D399" s="27"/>
      <c r="E399" s="28"/>
      <c r="F399" s="27"/>
    </row>
    <row r="400" spans="1:6" s="25" customFormat="1" ht="10.8" x14ac:dyDescent="0.3">
      <c r="D400" s="27" t="s">
        <v>13189</v>
      </c>
      <c r="E400" s="28"/>
      <c r="F400" s="27">
        <f>SUM(F397:F399)</f>
        <v>23659.744900000002</v>
      </c>
    </row>
    <row r="401" spans="1:8" s="21" customFormat="1" ht="10.8" x14ac:dyDescent="0.25">
      <c r="C401" s="20"/>
      <c r="D401" s="22"/>
      <c r="E401" s="23"/>
      <c r="F401" s="22"/>
    </row>
    <row r="402" spans="1:8" x14ac:dyDescent="0.3">
      <c r="A402" s="18" t="s">
        <v>13176</v>
      </c>
      <c r="B402" s="320" t="s">
        <v>14497</v>
      </c>
      <c r="C402" s="320"/>
      <c r="D402" s="320"/>
      <c r="E402" s="19" t="s">
        <v>13177</v>
      </c>
      <c r="F402" s="5" t="s">
        <v>14504</v>
      </c>
      <c r="G402" s="14"/>
      <c r="H402" s="14"/>
    </row>
    <row r="403" spans="1:8" x14ac:dyDescent="0.3">
      <c r="A403" s="18"/>
      <c r="B403" s="320"/>
      <c r="C403" s="320"/>
      <c r="D403" s="320"/>
      <c r="E403" s="19" t="s">
        <v>13178</v>
      </c>
      <c r="F403" s="5" t="s">
        <v>427</v>
      </c>
      <c r="G403" s="14"/>
      <c r="H403" s="14"/>
    </row>
    <row r="404" spans="1:8" x14ac:dyDescent="0.3">
      <c r="A404" s="1"/>
      <c r="D404" s="1"/>
    </row>
    <row r="405" spans="1:8" s="25" customFormat="1" ht="10.8" x14ac:dyDescent="0.3">
      <c r="A405" s="24" t="s">
        <v>13179</v>
      </c>
      <c r="B405" s="24" t="s">
        <v>13193</v>
      </c>
      <c r="C405" s="24" t="s">
        <v>4</v>
      </c>
      <c r="D405" s="24" t="s">
        <v>13180</v>
      </c>
      <c r="E405" s="24" t="s">
        <v>13181</v>
      </c>
      <c r="F405" s="24" t="s">
        <v>13182</v>
      </c>
    </row>
    <row r="406" spans="1:8" s="25" customFormat="1" ht="10.8" x14ac:dyDescent="0.3">
      <c r="A406" s="24"/>
      <c r="B406" s="24"/>
      <c r="C406" s="24"/>
      <c r="D406" s="24"/>
      <c r="E406" s="24"/>
      <c r="F406" s="24"/>
    </row>
    <row r="407" spans="1:8" s="25" customFormat="1" ht="10.8" x14ac:dyDescent="0.3">
      <c r="A407" s="24" t="s">
        <v>13183</v>
      </c>
      <c r="B407" s="24"/>
      <c r="C407" s="24"/>
      <c r="D407" s="24"/>
      <c r="E407" s="24"/>
      <c r="F407" s="24"/>
    </row>
    <row r="408" spans="1:8" s="25" customFormat="1" ht="10.8" x14ac:dyDescent="0.3">
      <c r="A408" s="24" t="s">
        <v>13216</v>
      </c>
      <c r="B408" s="32" t="s">
        <v>14503</v>
      </c>
      <c r="C408" s="46" t="s">
        <v>210</v>
      </c>
      <c r="D408" s="26">
        <v>0.54339999999999999</v>
      </c>
      <c r="E408" s="38">
        <v>90</v>
      </c>
      <c r="F408" s="26">
        <f t="shared" ref="F408:F415" si="49">+D408*E408</f>
        <v>48.905999999999999</v>
      </c>
    </row>
    <row r="409" spans="1:8" s="25" customFormat="1" ht="10.8" x14ac:dyDescent="0.3">
      <c r="A409" s="24"/>
      <c r="B409" s="32"/>
      <c r="C409" s="46"/>
      <c r="D409" s="26"/>
      <c r="E409" s="38"/>
      <c r="F409" s="26">
        <f t="shared" si="49"/>
        <v>0</v>
      </c>
    </row>
    <row r="410" spans="1:8" s="25" customFormat="1" ht="10.8" x14ac:dyDescent="0.3">
      <c r="A410" s="24"/>
      <c r="B410" s="32"/>
      <c r="C410" s="46"/>
      <c r="D410" s="26"/>
      <c r="E410" s="38"/>
      <c r="F410" s="26">
        <f t="shared" si="49"/>
        <v>0</v>
      </c>
    </row>
    <row r="411" spans="1:8" s="25" customFormat="1" ht="10.8" x14ac:dyDescent="0.3">
      <c r="A411" s="24"/>
      <c r="B411" s="32"/>
      <c r="C411" s="46"/>
      <c r="D411" s="26"/>
      <c r="E411" s="38"/>
      <c r="F411" s="26">
        <f t="shared" si="49"/>
        <v>0</v>
      </c>
    </row>
    <row r="412" spans="1:8" s="25" customFormat="1" ht="10.8" x14ac:dyDescent="0.3">
      <c r="A412" s="24"/>
      <c r="B412" s="32"/>
      <c r="C412" s="46"/>
      <c r="D412" s="26"/>
      <c r="E412" s="38"/>
      <c r="F412" s="26">
        <f t="shared" si="49"/>
        <v>0</v>
      </c>
    </row>
    <row r="413" spans="1:8" s="25" customFormat="1" ht="10.8" x14ac:dyDescent="0.3">
      <c r="A413" s="24"/>
      <c r="B413" s="32"/>
      <c r="C413" s="46"/>
      <c r="D413" s="26"/>
      <c r="E413" s="38"/>
      <c r="F413" s="26">
        <f t="shared" si="49"/>
        <v>0</v>
      </c>
    </row>
    <row r="414" spans="1:8" s="25" customFormat="1" ht="10.8" x14ac:dyDescent="0.3">
      <c r="A414" s="24"/>
      <c r="B414" s="32"/>
      <c r="C414" s="24"/>
      <c r="D414" s="26"/>
      <c r="E414" s="38"/>
      <c r="F414" s="26">
        <f t="shared" si="49"/>
        <v>0</v>
      </c>
    </row>
    <row r="415" spans="1:8" s="25" customFormat="1" ht="10.8" x14ac:dyDescent="0.3">
      <c r="A415" s="24"/>
      <c r="B415" s="33"/>
      <c r="C415" s="24"/>
      <c r="D415" s="26"/>
      <c r="E415" s="38"/>
      <c r="F415" s="26">
        <f t="shared" si="49"/>
        <v>0</v>
      </c>
    </row>
    <row r="416" spans="1:8" s="25" customFormat="1" ht="10.8" x14ac:dyDescent="0.3">
      <c r="A416" s="24"/>
      <c r="B416" s="24"/>
      <c r="C416" s="24"/>
      <c r="D416" s="27"/>
      <c r="E416" s="28"/>
      <c r="F416" s="27"/>
    </row>
    <row r="417" spans="1:6" s="25" customFormat="1" ht="10.8" x14ac:dyDescent="0.3">
      <c r="A417" s="24" t="s">
        <v>13184</v>
      </c>
      <c r="B417" s="24"/>
      <c r="C417" s="24"/>
      <c r="D417" s="27"/>
      <c r="E417" s="28"/>
      <c r="F417" s="27"/>
    </row>
    <row r="418" spans="1:6" s="25" customFormat="1" ht="10.8" x14ac:dyDescent="0.3">
      <c r="A418" s="24" t="s">
        <v>13196</v>
      </c>
      <c r="B418" s="33" t="s">
        <v>13198</v>
      </c>
      <c r="C418" s="24" t="s">
        <v>13199</v>
      </c>
      <c r="D418" s="35">
        <v>21.634</v>
      </c>
      <c r="E418" s="35">
        <v>0.5</v>
      </c>
      <c r="F418" s="26">
        <f t="shared" ref="F418" si="50">+D418*E418</f>
        <v>10.817</v>
      </c>
    </row>
    <row r="419" spans="1:6" s="25" customFormat="1" ht="10.8" x14ac:dyDescent="0.3">
      <c r="A419" s="24"/>
      <c r="B419" s="33"/>
      <c r="C419" s="24"/>
      <c r="D419" s="35"/>
      <c r="E419" s="35"/>
      <c r="F419" s="26">
        <f t="shared" ref="F419:F421" si="51">+D419*E419</f>
        <v>0</v>
      </c>
    </row>
    <row r="420" spans="1:6" s="25" customFormat="1" ht="10.8" x14ac:dyDescent="0.3">
      <c r="A420" s="24"/>
      <c r="B420" s="24"/>
      <c r="C420" s="24"/>
      <c r="D420" s="35"/>
      <c r="E420" s="28"/>
      <c r="F420" s="27">
        <f t="shared" si="51"/>
        <v>0</v>
      </c>
    </row>
    <row r="421" spans="1:6" s="25" customFormat="1" ht="10.8" x14ac:dyDescent="0.3">
      <c r="A421" s="24"/>
      <c r="B421" s="24"/>
      <c r="C421" s="24"/>
      <c r="D421" s="35"/>
      <c r="E421" s="28"/>
      <c r="F421" s="27">
        <f t="shared" si="51"/>
        <v>0</v>
      </c>
    </row>
    <row r="422" spans="1:6" s="25" customFormat="1" ht="10.8" x14ac:dyDescent="0.3">
      <c r="A422" s="24"/>
      <c r="B422" s="24"/>
      <c r="C422" s="24"/>
      <c r="D422" s="35"/>
      <c r="E422" s="28"/>
      <c r="F422" s="27"/>
    </row>
    <row r="423" spans="1:6" s="25" customFormat="1" ht="10.8" x14ac:dyDescent="0.3">
      <c r="A423" s="24" t="s">
        <v>13185</v>
      </c>
      <c r="B423" s="24"/>
      <c r="C423" s="24"/>
      <c r="D423" s="35"/>
      <c r="E423" s="28"/>
      <c r="F423" s="27"/>
    </row>
    <row r="424" spans="1:6" s="25" customFormat="1" ht="21.6" x14ac:dyDescent="0.3">
      <c r="A424" s="24" t="s">
        <v>14498</v>
      </c>
      <c r="B424" s="32" t="s">
        <v>14509</v>
      </c>
      <c r="C424" s="24" t="s">
        <v>13199</v>
      </c>
      <c r="D424" s="193">
        <v>212.00229999999999</v>
      </c>
      <c r="E424" s="27">
        <v>1.2E-2</v>
      </c>
      <c r="F424" s="27">
        <f t="shared" ref="F424:F428" si="52">+D424*E424</f>
        <v>2.5440276000000002</v>
      </c>
    </row>
    <row r="425" spans="1:6" s="25" customFormat="1" ht="21.6" x14ac:dyDescent="0.3">
      <c r="A425" s="24" t="s">
        <v>14499</v>
      </c>
      <c r="B425" s="32" t="s">
        <v>14510</v>
      </c>
      <c r="C425" s="24" t="s">
        <v>13199</v>
      </c>
      <c r="D425" s="35">
        <v>357.59930000000003</v>
      </c>
      <c r="E425" s="27">
        <v>0.02</v>
      </c>
      <c r="F425" s="27">
        <f t="shared" si="52"/>
        <v>7.1519860000000008</v>
      </c>
    </row>
    <row r="426" spans="1:6" s="25" customFormat="1" ht="21.6" x14ac:dyDescent="0.3">
      <c r="A426" s="24" t="s">
        <v>14500</v>
      </c>
      <c r="B426" s="32" t="s">
        <v>14511</v>
      </c>
      <c r="C426" s="24" t="s">
        <v>13199</v>
      </c>
      <c r="D426" s="35">
        <v>12.904500000000001</v>
      </c>
      <c r="E426" s="27">
        <v>0.1</v>
      </c>
      <c r="F426" s="27">
        <f t="shared" si="52"/>
        <v>1.2904500000000001</v>
      </c>
    </row>
    <row r="427" spans="1:6" s="25" customFormat="1" ht="21.6" x14ac:dyDescent="0.3">
      <c r="A427" s="24" t="s">
        <v>14501</v>
      </c>
      <c r="B427" s="32" t="s">
        <v>14512</v>
      </c>
      <c r="C427" s="24" t="s">
        <v>13199</v>
      </c>
      <c r="D427" s="35">
        <v>357.8263</v>
      </c>
      <c r="E427" s="27">
        <v>0.01</v>
      </c>
      <c r="F427" s="27">
        <f t="shared" si="52"/>
        <v>3.5782630000000002</v>
      </c>
    </row>
    <row r="428" spans="1:6" s="25" customFormat="1" ht="21.6" x14ac:dyDescent="0.3">
      <c r="A428" s="24" t="s">
        <v>14502</v>
      </c>
      <c r="B428" s="32" t="s">
        <v>14513</v>
      </c>
      <c r="C428" s="24" t="s">
        <v>13199</v>
      </c>
      <c r="D428" s="35">
        <v>320.0018</v>
      </c>
      <c r="E428" s="27">
        <v>2.5000000000000001E-2</v>
      </c>
      <c r="F428" s="27">
        <f t="shared" si="52"/>
        <v>8.0000450000000001</v>
      </c>
    </row>
    <row r="429" spans="1:6" s="25" customFormat="1" ht="10.8" x14ac:dyDescent="0.3">
      <c r="A429" s="24"/>
      <c r="B429" s="24"/>
      <c r="C429" s="24"/>
      <c r="D429" s="27"/>
      <c r="E429" s="28"/>
      <c r="F429" s="27"/>
    </row>
    <row r="430" spans="1:6" s="25" customFormat="1" ht="10.8" x14ac:dyDescent="0.3">
      <c r="A430" s="24" t="s">
        <v>13186</v>
      </c>
      <c r="B430" s="24"/>
      <c r="C430" s="24"/>
      <c r="D430" s="27"/>
      <c r="E430" s="28"/>
      <c r="F430" s="27"/>
    </row>
    <row r="431" spans="1:6" s="25" customFormat="1" ht="10.8" x14ac:dyDescent="0.3">
      <c r="A431" s="24"/>
      <c r="B431" s="32"/>
      <c r="C431" s="24"/>
      <c r="D431" s="27"/>
      <c r="E431" s="28"/>
      <c r="F431" s="27">
        <f t="shared" ref="F431:F435" si="53">+D431*E431</f>
        <v>0</v>
      </c>
    </row>
    <row r="432" spans="1:6" s="25" customFormat="1" ht="10.8" x14ac:dyDescent="0.3">
      <c r="A432" s="24"/>
      <c r="B432" s="24"/>
      <c r="C432" s="24"/>
      <c r="D432" s="27"/>
      <c r="E432" s="28"/>
      <c r="F432" s="27">
        <f t="shared" si="53"/>
        <v>0</v>
      </c>
    </row>
    <row r="433" spans="1:8" s="25" customFormat="1" ht="10.8" x14ac:dyDescent="0.3">
      <c r="A433" s="24"/>
      <c r="B433" s="24"/>
      <c r="C433" s="24"/>
      <c r="D433" s="27"/>
      <c r="E433" s="28"/>
      <c r="F433" s="27">
        <f t="shared" si="53"/>
        <v>0</v>
      </c>
    </row>
    <row r="434" spans="1:8" s="25" customFormat="1" ht="10.8" x14ac:dyDescent="0.3">
      <c r="A434" s="24"/>
      <c r="B434" s="24"/>
      <c r="C434" s="24"/>
      <c r="D434" s="27"/>
      <c r="E434" s="28"/>
      <c r="F434" s="27">
        <f t="shared" si="53"/>
        <v>0</v>
      </c>
    </row>
    <row r="435" spans="1:8" s="25" customFormat="1" ht="10.8" x14ac:dyDescent="0.3">
      <c r="A435" s="24"/>
      <c r="B435" s="24"/>
      <c r="C435" s="24"/>
      <c r="D435" s="27"/>
      <c r="E435" s="28"/>
      <c r="F435" s="27">
        <f t="shared" si="53"/>
        <v>0</v>
      </c>
    </row>
    <row r="436" spans="1:8" s="25" customFormat="1" ht="10.8" x14ac:dyDescent="0.3">
      <c r="D436" s="29"/>
      <c r="E436" s="30"/>
      <c r="F436" s="29"/>
    </row>
    <row r="437" spans="1:8" s="25" customFormat="1" ht="10.8" x14ac:dyDescent="0.3">
      <c r="D437" s="321" t="s">
        <v>13187</v>
      </c>
      <c r="E437" s="322"/>
      <c r="F437" s="323"/>
    </row>
    <row r="438" spans="1:8" s="25" customFormat="1" ht="10.8" x14ac:dyDescent="0.3">
      <c r="D438" s="27" t="s">
        <v>13183</v>
      </c>
      <c r="E438" s="31">
        <f>+F438/F$305</f>
        <v>2.2746976744186047E-3</v>
      </c>
      <c r="F438" s="27">
        <f>SUM(F408:F416)</f>
        <v>48.905999999999999</v>
      </c>
    </row>
    <row r="439" spans="1:8" s="25" customFormat="1" ht="10.8" x14ac:dyDescent="0.3">
      <c r="D439" s="27" t="s">
        <v>13184</v>
      </c>
      <c r="E439" s="31">
        <f t="shared" ref="E439:E441" si="54">+F439/F$305</f>
        <v>5.0311627906976747E-4</v>
      </c>
      <c r="F439" s="27">
        <f>SUM(F418:F422)</f>
        <v>10.817</v>
      </c>
    </row>
    <row r="440" spans="1:8" s="25" customFormat="1" ht="10.8" x14ac:dyDescent="0.3">
      <c r="D440" s="27" t="s">
        <v>13185</v>
      </c>
      <c r="E440" s="31">
        <f t="shared" si="54"/>
        <v>9.3119739534883725E-4</v>
      </c>
      <c r="F440" s="27">
        <f>SUM(F425:F429)</f>
        <v>20.020744000000001</v>
      </c>
    </row>
    <row r="441" spans="1:8" s="25" customFormat="1" ht="10.8" x14ac:dyDescent="0.3">
      <c r="D441" s="27" t="s">
        <v>13186</v>
      </c>
      <c r="E441" s="31">
        <f t="shared" si="54"/>
        <v>0</v>
      </c>
      <c r="F441" s="27">
        <f>SUM(F431:F435)</f>
        <v>0</v>
      </c>
    </row>
    <row r="442" spans="1:8" s="25" customFormat="1" ht="10.8" x14ac:dyDescent="0.3">
      <c r="D442" s="27"/>
      <c r="E442" s="31"/>
      <c r="F442" s="27"/>
    </row>
    <row r="443" spans="1:8" s="25" customFormat="1" ht="10.8" x14ac:dyDescent="0.3">
      <c r="D443" s="27" t="s">
        <v>13188</v>
      </c>
      <c r="E443" s="31">
        <f>SUM(E438:E442)</f>
        <v>3.7090113488372095E-3</v>
      </c>
      <c r="F443" s="27">
        <f>SUM(F438:F442)</f>
        <v>79.743743999999992</v>
      </c>
    </row>
    <row r="444" spans="1:8" s="25" customFormat="1" ht="10.8" x14ac:dyDescent="0.3">
      <c r="D444" s="27" t="s">
        <v>13050</v>
      </c>
      <c r="E444" s="31">
        <v>0.25270000000000004</v>
      </c>
      <c r="F444" s="27">
        <f>+F443*E444</f>
        <v>20.1512441088</v>
      </c>
    </row>
    <row r="445" spans="1:8" s="25" customFormat="1" ht="10.8" x14ac:dyDescent="0.3">
      <c r="D445" s="27"/>
      <c r="E445" s="28"/>
      <c r="F445" s="27"/>
    </row>
    <row r="446" spans="1:8" s="25" customFormat="1" ht="10.8" x14ac:dyDescent="0.3">
      <c r="D446" s="27" t="s">
        <v>13189</v>
      </c>
      <c r="E446" s="28"/>
      <c r="F446" s="27">
        <f>SUM(F443:F445)</f>
        <v>99.894988108799993</v>
      </c>
    </row>
    <row r="447" spans="1:8" s="21" customFormat="1" ht="10.8" x14ac:dyDescent="0.25">
      <c r="C447" s="20"/>
      <c r="D447" s="22"/>
      <c r="E447" s="23"/>
      <c r="F447" s="22"/>
    </row>
    <row r="448" spans="1:8" x14ac:dyDescent="0.3">
      <c r="A448" s="18" t="s">
        <v>13176</v>
      </c>
      <c r="B448" s="320" t="s">
        <v>14505</v>
      </c>
      <c r="C448" s="320"/>
      <c r="D448" s="320"/>
      <c r="E448" s="19" t="s">
        <v>13177</v>
      </c>
      <c r="F448" s="5" t="s">
        <v>14506</v>
      </c>
      <c r="G448" s="14"/>
      <c r="H448" s="14"/>
    </row>
    <row r="449" spans="1:8" x14ac:dyDescent="0.3">
      <c r="A449" s="18"/>
      <c r="B449" s="320"/>
      <c r="C449" s="320"/>
      <c r="D449" s="320"/>
      <c r="E449" s="19" t="s">
        <v>13178</v>
      </c>
      <c r="F449" s="5" t="s">
        <v>195</v>
      </c>
      <c r="G449" s="14"/>
      <c r="H449" s="14"/>
    </row>
    <row r="450" spans="1:8" x14ac:dyDescent="0.3">
      <c r="A450" s="1"/>
      <c r="D450" s="1"/>
    </row>
    <row r="451" spans="1:8" s="25" customFormat="1" ht="10.8" x14ac:dyDescent="0.3">
      <c r="A451" s="24" t="s">
        <v>13179</v>
      </c>
      <c r="B451" s="24" t="s">
        <v>13193</v>
      </c>
      <c r="C451" s="24" t="s">
        <v>4</v>
      </c>
      <c r="D451" s="24" t="s">
        <v>13180</v>
      </c>
      <c r="E451" s="24" t="s">
        <v>13181</v>
      </c>
      <c r="F451" s="24" t="s">
        <v>13182</v>
      </c>
    </row>
    <row r="452" spans="1:8" s="25" customFormat="1" ht="10.8" x14ac:dyDescent="0.3">
      <c r="A452" s="24"/>
      <c r="B452" s="24"/>
      <c r="C452" s="24"/>
      <c r="D452" s="24"/>
      <c r="E452" s="24"/>
      <c r="F452" s="24"/>
    </row>
    <row r="453" spans="1:8" s="25" customFormat="1" ht="10.8" x14ac:dyDescent="0.3">
      <c r="A453" s="24" t="s">
        <v>13183</v>
      </c>
      <c r="B453" s="24"/>
      <c r="C453" s="24"/>
      <c r="D453" s="24"/>
      <c r="E453" s="24"/>
      <c r="F453" s="24"/>
    </row>
    <row r="454" spans="1:8" s="25" customFormat="1" ht="10.8" x14ac:dyDescent="0.3">
      <c r="A454" s="24"/>
      <c r="B454" s="32"/>
      <c r="C454" s="46"/>
      <c r="D454" s="26"/>
      <c r="E454" s="38"/>
      <c r="F454" s="26">
        <f t="shared" ref="F454:F461" si="55">+D454*E454</f>
        <v>0</v>
      </c>
    </row>
    <row r="455" spans="1:8" s="25" customFormat="1" ht="10.8" x14ac:dyDescent="0.3">
      <c r="A455" s="24"/>
      <c r="B455" s="32"/>
      <c r="C455" s="46"/>
      <c r="D455" s="26"/>
      <c r="E455" s="38"/>
      <c r="F455" s="26">
        <f t="shared" si="55"/>
        <v>0</v>
      </c>
    </row>
    <row r="456" spans="1:8" s="25" customFormat="1" ht="10.8" x14ac:dyDescent="0.3">
      <c r="A456" s="24"/>
      <c r="B456" s="32"/>
      <c r="C456" s="46"/>
      <c r="D456" s="26"/>
      <c r="E456" s="38"/>
      <c r="F456" s="26">
        <f t="shared" si="55"/>
        <v>0</v>
      </c>
    </row>
    <row r="457" spans="1:8" s="25" customFormat="1" ht="10.8" x14ac:dyDescent="0.3">
      <c r="A457" s="24"/>
      <c r="B457" s="32"/>
      <c r="C457" s="46"/>
      <c r="D457" s="26"/>
      <c r="E457" s="38"/>
      <c r="F457" s="26">
        <f t="shared" si="55"/>
        <v>0</v>
      </c>
    </row>
    <row r="458" spans="1:8" s="25" customFormat="1" ht="10.8" x14ac:dyDescent="0.3">
      <c r="A458" s="24"/>
      <c r="B458" s="32"/>
      <c r="C458" s="46"/>
      <c r="D458" s="26"/>
      <c r="E458" s="38"/>
      <c r="F458" s="26">
        <f t="shared" si="55"/>
        <v>0</v>
      </c>
    </row>
    <row r="459" spans="1:8" s="25" customFormat="1" ht="10.8" x14ac:dyDescent="0.3">
      <c r="A459" s="24"/>
      <c r="B459" s="32"/>
      <c r="C459" s="46"/>
      <c r="D459" s="26"/>
      <c r="E459" s="38"/>
      <c r="F459" s="26">
        <f t="shared" si="55"/>
        <v>0</v>
      </c>
    </row>
    <row r="460" spans="1:8" s="25" customFormat="1" ht="10.8" x14ac:dyDescent="0.3">
      <c r="A460" s="24"/>
      <c r="B460" s="32"/>
      <c r="C460" s="24"/>
      <c r="D460" s="26"/>
      <c r="E460" s="38"/>
      <c r="F460" s="26">
        <f t="shared" si="55"/>
        <v>0</v>
      </c>
    </row>
    <row r="461" spans="1:8" s="25" customFormat="1" ht="10.8" x14ac:dyDescent="0.3">
      <c r="A461" s="24"/>
      <c r="B461" s="33"/>
      <c r="C461" s="24"/>
      <c r="D461" s="26"/>
      <c r="E461" s="38"/>
      <c r="F461" s="26">
        <f t="shared" si="55"/>
        <v>0</v>
      </c>
    </row>
    <row r="462" spans="1:8" s="25" customFormat="1" ht="10.8" x14ac:dyDescent="0.3">
      <c r="A462" s="24"/>
      <c r="B462" s="24"/>
      <c r="C462" s="24"/>
      <c r="D462" s="27"/>
      <c r="E462" s="28"/>
      <c r="F462" s="27"/>
    </row>
    <row r="463" spans="1:8" s="25" customFormat="1" ht="10.8" x14ac:dyDescent="0.3">
      <c r="A463" s="24" t="s">
        <v>13184</v>
      </c>
      <c r="B463" s="24"/>
      <c r="C463" s="24"/>
      <c r="D463" s="27"/>
      <c r="E463" s="28"/>
      <c r="F463" s="27"/>
    </row>
    <row r="464" spans="1:8" s="25" customFormat="1" ht="10.8" x14ac:dyDescent="0.3">
      <c r="A464" s="24" t="s">
        <v>13196</v>
      </c>
      <c r="B464" s="33" t="s">
        <v>13198</v>
      </c>
      <c r="C464" s="24" t="s">
        <v>13199</v>
      </c>
      <c r="D464" s="35">
        <v>21.634</v>
      </c>
      <c r="E464" s="35">
        <v>1</v>
      </c>
      <c r="F464" s="26">
        <f t="shared" ref="F464:F467" si="56">+D464*E464</f>
        <v>21.634</v>
      </c>
    </row>
    <row r="465" spans="1:6" s="25" customFormat="1" ht="10.8" x14ac:dyDescent="0.3">
      <c r="A465" s="24"/>
      <c r="B465" s="33"/>
      <c r="C465" s="24"/>
      <c r="D465" s="35"/>
      <c r="E465" s="35"/>
      <c r="F465" s="26">
        <f t="shared" si="56"/>
        <v>0</v>
      </c>
    </row>
    <row r="466" spans="1:6" s="25" customFormat="1" ht="10.8" x14ac:dyDescent="0.3">
      <c r="A466" s="24"/>
      <c r="B466" s="24"/>
      <c r="C466" s="24"/>
      <c r="D466" s="27"/>
      <c r="E466" s="28"/>
      <c r="F466" s="27">
        <f t="shared" si="56"/>
        <v>0</v>
      </c>
    </row>
    <row r="467" spans="1:6" s="25" customFormat="1" ht="10.8" x14ac:dyDescent="0.3">
      <c r="A467" s="24"/>
      <c r="B467" s="24"/>
      <c r="C467" s="24"/>
      <c r="D467" s="27"/>
      <c r="E467" s="28"/>
      <c r="F467" s="27">
        <f t="shared" si="56"/>
        <v>0</v>
      </c>
    </row>
    <row r="468" spans="1:6" s="25" customFormat="1" ht="10.8" x14ac:dyDescent="0.3">
      <c r="A468" s="24"/>
      <c r="B468" s="24"/>
      <c r="C468" s="24"/>
      <c r="D468" s="27"/>
      <c r="E468" s="28"/>
      <c r="F468" s="27"/>
    </row>
    <row r="469" spans="1:6" s="25" customFormat="1" ht="10.8" x14ac:dyDescent="0.3">
      <c r="A469" s="24" t="s">
        <v>13185</v>
      </c>
      <c r="B469" s="24"/>
      <c r="C469" s="24"/>
      <c r="D469" s="27"/>
      <c r="E469" s="28"/>
      <c r="F469" s="27"/>
    </row>
    <row r="470" spans="1:6" s="25" customFormat="1" ht="10.8" x14ac:dyDescent="0.3">
      <c r="A470" s="24" t="s">
        <v>14507</v>
      </c>
      <c r="B470" s="32" t="s">
        <v>14508</v>
      </c>
      <c r="C470" s="24" t="s">
        <v>13199</v>
      </c>
      <c r="D470" s="35">
        <v>175.15610000000001</v>
      </c>
      <c r="E470" s="35">
        <v>0.35</v>
      </c>
      <c r="F470" s="26">
        <f t="shared" ref="F470:F471" si="57">+D470*E470</f>
        <v>61.304634999999998</v>
      </c>
    </row>
    <row r="471" spans="1:6" s="25" customFormat="1" ht="21.6" x14ac:dyDescent="0.3">
      <c r="A471" s="24" t="s">
        <v>14500</v>
      </c>
      <c r="B471" s="32" t="s">
        <v>14511</v>
      </c>
      <c r="C471" s="24" t="s">
        <v>13199</v>
      </c>
      <c r="D471" s="35">
        <v>12.904500000000001</v>
      </c>
      <c r="E471" s="35">
        <v>0.25</v>
      </c>
      <c r="F471" s="27">
        <f t="shared" si="57"/>
        <v>3.2261250000000001</v>
      </c>
    </row>
    <row r="472" spans="1:6" s="25" customFormat="1" ht="10.8" x14ac:dyDescent="0.3">
      <c r="A472" s="24"/>
      <c r="B472" s="32"/>
      <c r="C472" s="24"/>
      <c r="D472" s="27"/>
      <c r="E472" s="27"/>
      <c r="F472" s="27">
        <f t="shared" ref="F472:F474" si="58">+D472*E472</f>
        <v>0</v>
      </c>
    </row>
    <row r="473" spans="1:6" s="25" customFormat="1" ht="10.8" x14ac:dyDescent="0.3">
      <c r="A473" s="24"/>
      <c r="B473" s="24"/>
      <c r="C473" s="24"/>
      <c r="D473" s="27"/>
      <c r="E473" s="27"/>
      <c r="F473" s="27">
        <f t="shared" si="58"/>
        <v>0</v>
      </c>
    </row>
    <row r="474" spans="1:6" s="25" customFormat="1" ht="10.8" x14ac:dyDescent="0.3">
      <c r="A474" s="24"/>
      <c r="B474" s="24"/>
      <c r="C474" s="24"/>
      <c r="D474" s="27"/>
      <c r="E474" s="27"/>
      <c r="F474" s="27">
        <f t="shared" si="58"/>
        <v>0</v>
      </c>
    </row>
    <row r="475" spans="1:6" s="25" customFormat="1" ht="10.8" x14ac:dyDescent="0.3">
      <c r="A475" s="24"/>
      <c r="B475" s="24"/>
      <c r="C475" s="24"/>
      <c r="D475" s="27"/>
      <c r="E475" s="28"/>
      <c r="F475" s="27"/>
    </row>
    <row r="476" spans="1:6" s="25" customFormat="1" ht="10.8" x14ac:dyDescent="0.3">
      <c r="A476" s="24" t="s">
        <v>13186</v>
      </c>
      <c r="B476" s="24"/>
      <c r="C476" s="24"/>
      <c r="D476" s="27"/>
      <c r="E476" s="28"/>
      <c r="F476" s="27"/>
    </row>
    <row r="477" spans="1:6" s="25" customFormat="1" ht="10.8" x14ac:dyDescent="0.3">
      <c r="A477" s="24"/>
      <c r="B477" s="32"/>
      <c r="C477" s="24"/>
      <c r="D477" s="27"/>
      <c r="E477" s="28"/>
      <c r="F477" s="27">
        <f t="shared" ref="F477:F481" si="59">+D477*E477</f>
        <v>0</v>
      </c>
    </row>
    <row r="478" spans="1:6" s="25" customFormat="1" ht="10.8" x14ac:dyDescent="0.3">
      <c r="A478" s="24"/>
      <c r="B478" s="24"/>
      <c r="C478" s="24"/>
      <c r="D478" s="27"/>
      <c r="E478" s="28"/>
      <c r="F478" s="27">
        <f t="shared" si="59"/>
        <v>0</v>
      </c>
    </row>
    <row r="479" spans="1:6" s="25" customFormat="1" ht="10.8" x14ac:dyDescent="0.3">
      <c r="A479" s="24"/>
      <c r="B479" s="24"/>
      <c r="C479" s="24"/>
      <c r="D479" s="27"/>
      <c r="E479" s="28"/>
      <c r="F479" s="27">
        <f t="shared" si="59"/>
        <v>0</v>
      </c>
    </row>
    <row r="480" spans="1:6" s="25" customFormat="1" ht="10.8" x14ac:dyDescent="0.3">
      <c r="A480" s="24"/>
      <c r="B480" s="24"/>
      <c r="C480" s="24"/>
      <c r="D480" s="27"/>
      <c r="E480" s="28"/>
      <c r="F480" s="27">
        <f t="shared" si="59"/>
        <v>0</v>
      </c>
    </row>
    <row r="481" spans="1:6" s="25" customFormat="1" ht="10.8" x14ac:dyDescent="0.3">
      <c r="A481" s="24"/>
      <c r="B481" s="24"/>
      <c r="C481" s="24"/>
      <c r="D481" s="27"/>
      <c r="E481" s="28"/>
      <c r="F481" s="27">
        <f t="shared" si="59"/>
        <v>0</v>
      </c>
    </row>
    <row r="482" spans="1:6" s="25" customFormat="1" ht="10.8" x14ac:dyDescent="0.3">
      <c r="D482" s="29"/>
      <c r="E482" s="30"/>
      <c r="F482" s="29"/>
    </row>
    <row r="483" spans="1:6" s="25" customFormat="1" ht="10.8" x14ac:dyDescent="0.3">
      <c r="D483" s="321" t="s">
        <v>13187</v>
      </c>
      <c r="E483" s="322"/>
      <c r="F483" s="323"/>
    </row>
    <row r="484" spans="1:6" s="25" customFormat="1" ht="10.8" x14ac:dyDescent="0.3">
      <c r="D484" s="27" t="s">
        <v>13183</v>
      </c>
      <c r="E484" s="31">
        <f>+F484/F$305</f>
        <v>0</v>
      </c>
      <c r="F484" s="27">
        <f>SUM(F454:F462)</f>
        <v>0</v>
      </c>
    </row>
    <row r="485" spans="1:6" s="25" customFormat="1" ht="10.8" x14ac:dyDescent="0.3">
      <c r="D485" s="27" t="s">
        <v>13184</v>
      </c>
      <c r="E485" s="31">
        <f t="shared" ref="E485:E487" si="60">+F485/F$305</f>
        <v>1.0062325581395349E-3</v>
      </c>
      <c r="F485" s="27">
        <f>SUM(F464:F468)</f>
        <v>21.634</v>
      </c>
    </row>
    <row r="486" spans="1:6" s="25" customFormat="1" ht="10.8" x14ac:dyDescent="0.3">
      <c r="D486" s="27" t="s">
        <v>13185</v>
      </c>
      <c r="E486" s="31">
        <f t="shared" si="60"/>
        <v>3.0014306976744185E-3</v>
      </c>
      <c r="F486" s="27">
        <f>SUM(F470:F475)</f>
        <v>64.530760000000001</v>
      </c>
    </row>
    <row r="487" spans="1:6" s="25" customFormat="1" ht="10.8" x14ac:dyDescent="0.3">
      <c r="D487" s="27" t="s">
        <v>13186</v>
      </c>
      <c r="E487" s="31">
        <f t="shared" si="60"/>
        <v>0</v>
      </c>
      <c r="F487" s="27">
        <f>SUM(F477:F481)</f>
        <v>0</v>
      </c>
    </row>
    <row r="488" spans="1:6" s="25" customFormat="1" ht="10.8" x14ac:dyDescent="0.3">
      <c r="D488" s="27"/>
      <c r="E488" s="31"/>
      <c r="F488" s="27"/>
    </row>
    <row r="489" spans="1:6" s="25" customFormat="1" ht="10.8" x14ac:dyDescent="0.3">
      <c r="D489" s="27" t="s">
        <v>13188</v>
      </c>
      <c r="E489" s="31">
        <f>SUM(E484:E488)</f>
        <v>4.0076632558139532E-3</v>
      </c>
      <c r="F489" s="27">
        <f>SUM(F484:F488)</f>
        <v>86.164760000000001</v>
      </c>
    </row>
    <row r="490" spans="1:6" s="25" customFormat="1" ht="10.8" x14ac:dyDescent="0.3">
      <c r="D490" s="27" t="s">
        <v>13050</v>
      </c>
      <c r="E490" s="31">
        <v>0.25270000000000004</v>
      </c>
      <c r="F490" s="27">
        <f>+F489*E490</f>
        <v>21.773834852000004</v>
      </c>
    </row>
    <row r="491" spans="1:6" s="25" customFormat="1" ht="10.8" x14ac:dyDescent="0.3">
      <c r="D491" s="27"/>
      <c r="E491" s="28"/>
      <c r="F491" s="27"/>
    </row>
    <row r="492" spans="1:6" s="25" customFormat="1" ht="10.8" x14ac:dyDescent="0.3">
      <c r="D492" s="27" t="s">
        <v>13189</v>
      </c>
      <c r="E492" s="28"/>
      <c r="F492" s="27">
        <f>SUM(F489:F491)</f>
        <v>107.93859485200001</v>
      </c>
    </row>
    <row r="493" spans="1:6" s="21" customFormat="1" ht="10.8" x14ac:dyDescent="0.25">
      <c r="C493" s="20"/>
      <c r="D493" s="22"/>
      <c r="E493" s="23"/>
      <c r="F493" s="22"/>
    </row>
    <row r="494" spans="1:6" s="21" customFormat="1" ht="10.8" x14ac:dyDescent="0.25">
      <c r="C494" s="20"/>
      <c r="D494" s="22"/>
      <c r="E494" s="23"/>
      <c r="F494" s="22"/>
    </row>
    <row r="495" spans="1:6" s="21" customFormat="1" ht="10.8" x14ac:dyDescent="0.25">
      <c r="C495" s="20"/>
      <c r="D495" s="22"/>
      <c r="E495" s="23"/>
      <c r="F495" s="22"/>
    </row>
    <row r="496" spans="1:6" s="21" customFormat="1" ht="10.8" x14ac:dyDescent="0.25">
      <c r="C496" s="20"/>
      <c r="D496" s="22"/>
      <c r="E496" s="23"/>
      <c r="F496" s="22"/>
    </row>
    <row r="497" spans="3:6" s="21" customFormat="1" ht="10.8" x14ac:dyDescent="0.25">
      <c r="C497" s="20"/>
      <c r="D497" s="22"/>
      <c r="E497" s="23"/>
      <c r="F497" s="22"/>
    </row>
    <row r="498" spans="3:6" s="21" customFormat="1" ht="10.8" x14ac:dyDescent="0.25">
      <c r="C498" s="20"/>
      <c r="D498" s="22"/>
      <c r="E498" s="23"/>
      <c r="F498" s="22"/>
    </row>
    <row r="499" spans="3:6" s="21" customFormat="1" ht="10.8" x14ac:dyDescent="0.25">
      <c r="C499" s="20"/>
      <c r="D499" s="22"/>
      <c r="E499" s="23"/>
      <c r="F499" s="22"/>
    </row>
    <row r="500" spans="3:6" s="21" customFormat="1" ht="10.8" x14ac:dyDescent="0.25">
      <c r="C500" s="20"/>
      <c r="D500" s="22"/>
      <c r="E500" s="23"/>
      <c r="F500" s="22"/>
    </row>
  </sheetData>
  <mergeCells count="22">
    <mergeCell ref="D35:F35"/>
    <mergeCell ref="B3:D4"/>
    <mergeCell ref="D78:F78"/>
    <mergeCell ref="B46:D47"/>
    <mergeCell ref="B89:D90"/>
    <mergeCell ref="D121:F121"/>
    <mergeCell ref="B132:D133"/>
    <mergeCell ref="D164:F164"/>
    <mergeCell ref="B175:D176"/>
    <mergeCell ref="D207:F207"/>
    <mergeCell ref="B218:D219"/>
    <mergeCell ref="D253:F253"/>
    <mergeCell ref="B264:D265"/>
    <mergeCell ref="D299:F299"/>
    <mergeCell ref="B310:D311"/>
    <mergeCell ref="B402:D403"/>
    <mergeCell ref="D437:F437"/>
    <mergeCell ref="B448:D449"/>
    <mergeCell ref="D483:F483"/>
    <mergeCell ref="D345:F345"/>
    <mergeCell ref="B356:D357"/>
    <mergeCell ref="D391:F39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E91DE-8FEA-4FEC-9F01-9305D6C4AEB7}">
  <dimension ref="A1:L92"/>
  <sheetViews>
    <sheetView zoomScaleNormal="100" workbookViewId="0"/>
  </sheetViews>
  <sheetFormatPr defaultRowHeight="14.4" x14ac:dyDescent="0.3"/>
  <sheetData>
    <row r="1" spans="1:12" x14ac:dyDescent="0.3">
      <c r="A1" t="s">
        <v>13280</v>
      </c>
    </row>
    <row r="3" spans="1:12" x14ac:dyDescent="0.3">
      <c r="A3" s="14" t="s">
        <v>22</v>
      </c>
    </row>
    <row r="6" spans="1:12" x14ac:dyDescent="0.3">
      <c r="L6" s="21" t="s">
        <v>13294</v>
      </c>
    </row>
    <row r="7" spans="1:12" x14ac:dyDescent="0.3">
      <c r="J7" s="21" t="s">
        <v>13298</v>
      </c>
    </row>
    <row r="10" spans="1:12" x14ac:dyDescent="0.3">
      <c r="L10" s="20" t="s">
        <v>13295</v>
      </c>
    </row>
    <row r="11" spans="1:12" x14ac:dyDescent="0.3">
      <c r="J11" t="s">
        <v>13296</v>
      </c>
    </row>
    <row r="16" spans="1:12" x14ac:dyDescent="0.3">
      <c r="A16" t="s">
        <v>13306</v>
      </c>
    </row>
    <row r="17" spans="1:1" x14ac:dyDescent="0.3">
      <c r="A17" t="s">
        <v>13307</v>
      </c>
    </row>
    <row r="19" spans="1:1" x14ac:dyDescent="0.3">
      <c r="A19" t="s">
        <v>13291</v>
      </c>
    </row>
    <row r="20" spans="1:1" x14ac:dyDescent="0.3">
      <c r="A20" t="s">
        <v>13292</v>
      </c>
    </row>
    <row r="22" spans="1:1" x14ac:dyDescent="0.3">
      <c r="A22" t="s">
        <v>13299</v>
      </c>
    </row>
    <row r="23" spans="1:1" x14ac:dyDescent="0.3">
      <c r="A23" t="s">
        <v>13293</v>
      </c>
    </row>
    <row r="24" spans="1:1" x14ac:dyDescent="0.3">
      <c r="A24" t="s">
        <v>13297</v>
      </c>
    </row>
    <row r="26" spans="1:1" x14ac:dyDescent="0.3">
      <c r="A26" t="s">
        <v>13300</v>
      </c>
    </row>
    <row r="27" spans="1:1" x14ac:dyDescent="0.3">
      <c r="A27" t="s">
        <v>13966</v>
      </c>
    </row>
    <row r="29" spans="1:1" x14ac:dyDescent="0.3">
      <c r="A29" t="s">
        <v>13301</v>
      </c>
    </row>
    <row r="30" spans="1:1" x14ac:dyDescent="0.3">
      <c r="A30" t="s">
        <v>13302</v>
      </c>
    </row>
    <row r="32" spans="1:1" x14ac:dyDescent="0.3">
      <c r="A32" t="s">
        <v>13303</v>
      </c>
    </row>
    <row r="33" spans="1:1" x14ac:dyDescent="0.3">
      <c r="A33" t="s">
        <v>13304</v>
      </c>
    </row>
    <row r="35" spans="1:1" x14ac:dyDescent="0.3">
      <c r="A35" t="s">
        <v>13305</v>
      </c>
    </row>
    <row r="36" spans="1:1" x14ac:dyDescent="0.3">
      <c r="A36" t="s">
        <v>13308</v>
      </c>
    </row>
    <row r="38" spans="1:1" x14ac:dyDescent="0.3">
      <c r="A38" s="14" t="s">
        <v>13222</v>
      </c>
    </row>
    <row r="53" spans="1:1" x14ac:dyDescent="0.3">
      <c r="A53" t="s">
        <v>13314</v>
      </c>
    </row>
    <row r="54" spans="1:1" x14ac:dyDescent="0.3">
      <c r="A54" t="s">
        <v>13315</v>
      </c>
    </row>
    <row r="55" spans="1:1" x14ac:dyDescent="0.3">
      <c r="A55" t="s">
        <v>13316</v>
      </c>
    </row>
    <row r="56" spans="1:1" x14ac:dyDescent="0.3">
      <c r="A56" t="s">
        <v>13318</v>
      </c>
    </row>
    <row r="57" spans="1:1" x14ac:dyDescent="0.3">
      <c r="A57" t="s">
        <v>13317</v>
      </c>
    </row>
    <row r="58" spans="1:1" x14ac:dyDescent="0.3">
      <c r="A58" t="s">
        <v>13319</v>
      </c>
    </row>
    <row r="59" spans="1:1" x14ac:dyDescent="0.3">
      <c r="A59" t="s">
        <v>13321</v>
      </c>
    </row>
    <row r="61" spans="1:1" x14ac:dyDescent="0.3">
      <c r="A61" s="14" t="s">
        <v>13080</v>
      </c>
    </row>
    <row r="63" spans="1:1" x14ac:dyDescent="0.3">
      <c r="A63" t="s">
        <v>13353</v>
      </c>
    </row>
    <row r="64" spans="1:1" x14ac:dyDescent="0.3">
      <c r="A64" t="s">
        <v>13354</v>
      </c>
    </row>
    <row r="65" spans="1:1" x14ac:dyDescent="0.3">
      <c r="A65" t="s">
        <v>13355</v>
      </c>
    </row>
    <row r="67" spans="1:1" x14ac:dyDescent="0.3">
      <c r="A67" t="s">
        <v>13306</v>
      </c>
    </row>
    <row r="68" spans="1:1" x14ac:dyDescent="0.3">
      <c r="A68" t="s">
        <v>13356</v>
      </c>
    </row>
    <row r="70" spans="1:1" x14ac:dyDescent="0.3">
      <c r="A70" t="s">
        <v>13357</v>
      </c>
    </row>
    <row r="71" spans="1:1" x14ac:dyDescent="0.3">
      <c r="A71" t="s">
        <v>13358</v>
      </c>
    </row>
    <row r="73" spans="1:1" x14ac:dyDescent="0.3">
      <c r="A73" t="s">
        <v>13359</v>
      </c>
    </row>
    <row r="74" spans="1:1" x14ac:dyDescent="0.3">
      <c r="A74" t="s">
        <v>13360</v>
      </c>
    </row>
    <row r="76" spans="1:1" x14ac:dyDescent="0.3">
      <c r="A76" t="s">
        <v>13361</v>
      </c>
    </row>
    <row r="77" spans="1:1" x14ac:dyDescent="0.3">
      <c r="A77" t="s">
        <v>13362</v>
      </c>
    </row>
    <row r="79" spans="1:1" x14ac:dyDescent="0.3">
      <c r="A79" t="s">
        <v>13300</v>
      </c>
    </row>
    <row r="80" spans="1:1" x14ac:dyDescent="0.3">
      <c r="A80" t="s">
        <v>13363</v>
      </c>
    </row>
    <row r="82" spans="1:1" x14ac:dyDescent="0.3">
      <c r="A82" t="s">
        <v>13366</v>
      </c>
    </row>
    <row r="83" spans="1:1" x14ac:dyDescent="0.3">
      <c r="A83" t="s">
        <v>13364</v>
      </c>
    </row>
    <row r="85" spans="1:1" x14ac:dyDescent="0.3">
      <c r="A85" t="s">
        <v>13365</v>
      </c>
    </row>
    <row r="86" spans="1:1" x14ac:dyDescent="0.3">
      <c r="A86" t="s">
        <v>13367</v>
      </c>
    </row>
    <row r="88" spans="1:1" x14ac:dyDescent="0.3">
      <c r="A88" t="s">
        <v>13368</v>
      </c>
    </row>
    <row r="89" spans="1:1" x14ac:dyDescent="0.3">
      <c r="A89" t="s">
        <v>13369</v>
      </c>
    </row>
    <row r="91" spans="1:1" x14ac:dyDescent="0.3">
      <c r="A91" t="s">
        <v>13371</v>
      </c>
    </row>
    <row r="92" spans="1:1" x14ac:dyDescent="0.3">
      <c r="A92" t="s">
        <v>13377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EE982-17CF-4905-B370-E4AFD7409C1E}">
  <sheetPr>
    <pageSetUpPr fitToPage="1"/>
  </sheetPr>
  <dimension ref="A1:O39"/>
  <sheetViews>
    <sheetView zoomScaleNormal="100" workbookViewId="0">
      <selection activeCell="R14" sqref="R14"/>
    </sheetView>
  </sheetViews>
  <sheetFormatPr defaultRowHeight="14.4" x14ac:dyDescent="0.3"/>
  <cols>
    <col min="1" max="1" width="25.5546875" bestFit="1" customWidth="1"/>
    <col min="2" max="2" width="10.33203125" hidden="1" customWidth="1"/>
    <col min="3" max="4" width="9.109375" customWidth="1"/>
    <col min="5" max="5" width="21.33203125" hidden="1" customWidth="1"/>
    <col min="6" max="6" width="24.88671875" hidden="1" customWidth="1"/>
    <col min="7" max="7" width="13.33203125" hidden="1" customWidth="1"/>
    <col min="8" max="8" width="11.5546875" hidden="1" customWidth="1"/>
    <col min="9" max="9" width="15" hidden="1" customWidth="1"/>
    <col min="10" max="10" width="10.33203125" customWidth="1"/>
    <col min="11" max="11" width="21.33203125" bestFit="1" customWidth="1"/>
    <col min="12" max="12" width="24.88671875" bestFit="1" customWidth="1"/>
    <col min="13" max="13" width="13.33203125" bestFit="1" customWidth="1"/>
    <col min="14" max="14" width="11.5546875" bestFit="1" customWidth="1"/>
    <col min="15" max="15" width="15" bestFit="1" customWidth="1"/>
  </cols>
  <sheetData>
    <row r="1" spans="1:15" x14ac:dyDescent="0.3">
      <c r="A1" t="s">
        <v>13283</v>
      </c>
    </row>
    <row r="3" spans="1:15" x14ac:dyDescent="0.3">
      <c r="A3" s="14" t="s">
        <v>21</v>
      </c>
      <c r="J3" s="14" t="s">
        <v>14619</v>
      </c>
    </row>
    <row r="4" spans="1:15" x14ac:dyDescent="0.3">
      <c r="A4" t="s">
        <v>13284</v>
      </c>
      <c r="B4" t="s">
        <v>13285</v>
      </c>
      <c r="C4" t="s">
        <v>13286</v>
      </c>
      <c r="D4" t="s">
        <v>13287</v>
      </c>
      <c r="E4" t="s">
        <v>13288</v>
      </c>
      <c r="F4" t="s">
        <v>13289</v>
      </c>
      <c r="G4" t="s">
        <v>14291</v>
      </c>
      <c r="H4" t="s">
        <v>14292</v>
      </c>
      <c r="I4" t="s">
        <v>14293</v>
      </c>
      <c r="J4" s="257" t="s">
        <v>13285</v>
      </c>
      <c r="K4" s="257" t="s">
        <v>13288</v>
      </c>
      <c r="L4" s="257" t="s">
        <v>13289</v>
      </c>
      <c r="M4" s="257" t="s">
        <v>14291</v>
      </c>
      <c r="N4" s="257" t="s">
        <v>14292</v>
      </c>
      <c r="O4" s="257" t="s">
        <v>14293</v>
      </c>
    </row>
    <row r="5" spans="1:15" x14ac:dyDescent="0.3">
      <c r="A5" t="s">
        <v>23</v>
      </c>
      <c r="B5" s="3">
        <v>850</v>
      </c>
      <c r="C5" s="3">
        <v>1.8</v>
      </c>
      <c r="D5" s="3">
        <v>2.11</v>
      </c>
      <c r="E5" s="3">
        <v>7898</v>
      </c>
      <c r="F5" s="3">
        <v>552.83000000000004</v>
      </c>
      <c r="G5" s="3">
        <v>1218.69</v>
      </c>
      <c r="H5" s="3">
        <v>40104.47</v>
      </c>
      <c r="I5" s="3">
        <v>1974.3913437993474</v>
      </c>
      <c r="J5" s="258">
        <v>850</v>
      </c>
      <c r="K5" s="259">
        <v>7603</v>
      </c>
      <c r="L5" s="259">
        <v>532.21</v>
      </c>
      <c r="M5" s="258">
        <v>1218.69</v>
      </c>
      <c r="N5" s="258">
        <v>40104.47</v>
      </c>
      <c r="O5" s="259">
        <v>1901</v>
      </c>
    </row>
    <row r="6" spans="1:15" x14ac:dyDescent="0.3">
      <c r="A6" t="s">
        <v>13065</v>
      </c>
      <c r="B6" s="3">
        <v>4950</v>
      </c>
      <c r="C6" s="3">
        <v>1.5</v>
      </c>
      <c r="D6" s="3">
        <v>1.72</v>
      </c>
      <c r="E6" s="3">
        <v>37535</v>
      </c>
      <c r="F6" s="3">
        <v>2627.43</v>
      </c>
      <c r="G6" s="3">
        <v>187330.72</v>
      </c>
      <c r="H6" s="3">
        <v>23759.27</v>
      </c>
      <c r="I6" s="3">
        <v>9383.6912635926346</v>
      </c>
      <c r="J6" s="258">
        <v>4950</v>
      </c>
      <c r="K6" s="259">
        <v>36840</v>
      </c>
      <c r="L6" s="259">
        <v>2578.8000000000002</v>
      </c>
      <c r="M6" s="258">
        <v>187330.72</v>
      </c>
      <c r="N6" s="258">
        <v>23759.27</v>
      </c>
      <c r="O6" s="259">
        <v>9210</v>
      </c>
    </row>
    <row r="7" spans="1:15" x14ac:dyDescent="0.3">
      <c r="A7" t="s">
        <v>13066</v>
      </c>
      <c r="B7" s="3">
        <v>4292</v>
      </c>
      <c r="C7" s="3">
        <v>1.2</v>
      </c>
      <c r="D7" s="3">
        <v>1.58</v>
      </c>
      <c r="E7" s="3">
        <v>26863</v>
      </c>
      <c r="F7" s="3">
        <v>1880.43</v>
      </c>
      <c r="G7" s="3">
        <v>257084.94</v>
      </c>
      <c r="H7" s="3">
        <v>31272.74</v>
      </c>
      <c r="I7" s="3">
        <v>6715.8086824563561</v>
      </c>
      <c r="J7" s="258">
        <v>4292</v>
      </c>
      <c r="K7" s="258">
        <v>26863</v>
      </c>
      <c r="L7" s="258">
        <v>1880.43</v>
      </c>
      <c r="M7" s="258">
        <v>257084.94</v>
      </c>
      <c r="N7" s="258">
        <v>31272.74</v>
      </c>
      <c r="O7" s="258">
        <v>6715.8086824563561</v>
      </c>
    </row>
    <row r="8" spans="1:15" x14ac:dyDescent="0.3">
      <c r="A8" t="s">
        <v>13067</v>
      </c>
      <c r="B8" s="3">
        <v>4192</v>
      </c>
      <c r="C8" s="3">
        <v>1</v>
      </c>
      <c r="D8" s="3">
        <v>1.37</v>
      </c>
      <c r="E8" s="3">
        <v>24524</v>
      </c>
      <c r="F8" s="3">
        <v>1716.7</v>
      </c>
      <c r="G8" s="3">
        <v>196281.71</v>
      </c>
      <c r="H8" s="3">
        <v>825.37</v>
      </c>
      <c r="I8" s="3">
        <v>6131.0758724004036</v>
      </c>
      <c r="J8" s="258">
        <v>4192</v>
      </c>
      <c r="K8" s="258">
        <v>24524</v>
      </c>
      <c r="L8" s="258">
        <v>1716.7</v>
      </c>
      <c r="M8" s="258">
        <v>196281.71</v>
      </c>
      <c r="N8" s="258">
        <v>825.37</v>
      </c>
      <c r="O8" s="258">
        <v>6131.0758724004036</v>
      </c>
    </row>
    <row r="9" spans="1:15" x14ac:dyDescent="0.3">
      <c r="A9" t="s">
        <v>13068</v>
      </c>
      <c r="B9" s="262">
        <v>6192</v>
      </c>
      <c r="C9" s="3">
        <v>1</v>
      </c>
      <c r="D9" s="3">
        <v>1.37</v>
      </c>
      <c r="E9" s="262">
        <v>36225</v>
      </c>
      <c r="F9" s="3">
        <v>2535.7399999999998</v>
      </c>
      <c r="G9" s="3">
        <v>172403.48</v>
      </c>
      <c r="H9" s="3">
        <v>59799.23</v>
      </c>
      <c r="I9" s="3">
        <v>9056.2079799203893</v>
      </c>
      <c r="J9" s="260">
        <v>6192</v>
      </c>
      <c r="K9" s="260">
        <v>36225</v>
      </c>
      <c r="L9" s="258">
        <v>2535.7399999999998</v>
      </c>
      <c r="M9" s="258">
        <v>172403.48</v>
      </c>
      <c r="N9" s="258">
        <v>59799.23</v>
      </c>
      <c r="O9" s="258">
        <v>9056.2079799203893</v>
      </c>
    </row>
    <row r="10" spans="1:15" x14ac:dyDescent="0.3">
      <c r="A10" s="74" t="s">
        <v>13069</v>
      </c>
      <c r="B10" s="75">
        <v>0</v>
      </c>
      <c r="C10" s="75">
        <v>0</v>
      </c>
      <c r="D10" s="75">
        <v>0</v>
      </c>
      <c r="E10" s="75">
        <v>0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75">
        <v>0</v>
      </c>
      <c r="O10" s="75">
        <v>0</v>
      </c>
    </row>
    <row r="11" spans="1:15" x14ac:dyDescent="0.3">
      <c r="A11" t="s">
        <v>13070</v>
      </c>
      <c r="B11" s="61">
        <v>5600</v>
      </c>
      <c r="C11" s="3">
        <v>0.8</v>
      </c>
      <c r="D11" s="3">
        <v>1.1599999999999999</v>
      </c>
      <c r="E11" s="3">
        <v>27643</v>
      </c>
      <c r="F11" s="3">
        <v>1935</v>
      </c>
      <c r="G11" s="3">
        <v>60141.74</v>
      </c>
      <c r="H11" s="120">
        <v>36362.25</v>
      </c>
      <c r="I11" s="120">
        <v>6910.721105036213</v>
      </c>
      <c r="J11" s="259">
        <v>5349</v>
      </c>
      <c r="K11" s="259">
        <v>26404</v>
      </c>
      <c r="L11" s="259">
        <v>1848.28</v>
      </c>
      <c r="M11" s="259">
        <v>54668.67</v>
      </c>
      <c r="N11" s="259">
        <v>36393.86</v>
      </c>
      <c r="O11" s="259">
        <v>6601</v>
      </c>
    </row>
    <row r="12" spans="1:15" x14ac:dyDescent="0.3">
      <c r="A12" t="s">
        <v>13071</v>
      </c>
      <c r="B12" s="61">
        <v>5670</v>
      </c>
      <c r="C12" s="3">
        <v>0.4</v>
      </c>
      <c r="D12" s="3">
        <v>0.81</v>
      </c>
      <c r="E12" s="3">
        <v>18536</v>
      </c>
      <c r="F12" s="3">
        <v>1297.55</v>
      </c>
      <c r="G12" s="3">
        <v>82739.12</v>
      </c>
      <c r="H12" s="3">
        <v>43846.239999999998</v>
      </c>
      <c r="I12" s="3">
        <v>4634.1121475445625</v>
      </c>
      <c r="J12" s="259">
        <v>0</v>
      </c>
      <c r="K12" s="259">
        <v>0</v>
      </c>
      <c r="L12" s="259">
        <v>0</v>
      </c>
      <c r="M12" s="259">
        <v>0</v>
      </c>
      <c r="N12" s="259">
        <v>0</v>
      </c>
      <c r="O12" s="259">
        <v>0</v>
      </c>
    </row>
    <row r="13" spans="1:15" x14ac:dyDescent="0.3">
      <c r="A13" t="s">
        <v>13072</v>
      </c>
      <c r="B13" s="3">
        <v>1670</v>
      </c>
      <c r="C13" s="3">
        <v>1.8</v>
      </c>
      <c r="D13" s="3">
        <v>2.29</v>
      </c>
      <c r="E13" s="3">
        <v>16557</v>
      </c>
      <c r="F13" s="3">
        <v>1158.96</v>
      </c>
      <c r="G13" s="3">
        <v>32288.39</v>
      </c>
      <c r="H13" s="3">
        <v>11965.57</v>
      </c>
      <c r="I13" s="3">
        <v>4139.1504822975403</v>
      </c>
      <c r="J13" s="258">
        <v>1670</v>
      </c>
      <c r="K13" s="258">
        <v>16557</v>
      </c>
      <c r="L13" s="258">
        <v>1158.96</v>
      </c>
      <c r="M13" s="258">
        <v>32288.39</v>
      </c>
      <c r="N13" s="258">
        <v>11965.57</v>
      </c>
      <c r="O13" s="258">
        <v>4139.1504822975403</v>
      </c>
    </row>
    <row r="14" spans="1:15" x14ac:dyDescent="0.3">
      <c r="A14" t="s">
        <v>13073</v>
      </c>
      <c r="B14" s="3">
        <v>4000</v>
      </c>
      <c r="C14" s="3">
        <v>1.5</v>
      </c>
      <c r="D14" s="3">
        <v>2.08</v>
      </c>
      <c r="E14" s="3">
        <v>35486</v>
      </c>
      <c r="F14" s="3">
        <v>2484</v>
      </c>
      <c r="G14" s="3">
        <v>10303.58</v>
      </c>
      <c r="H14" s="3">
        <v>104100.52</v>
      </c>
      <c r="I14" s="3">
        <v>8871.4224007454304</v>
      </c>
      <c r="J14" s="258">
        <v>4000</v>
      </c>
      <c r="K14" s="258">
        <v>35486</v>
      </c>
      <c r="L14" s="258">
        <v>2484</v>
      </c>
      <c r="M14" s="259">
        <v>10339.030000000001</v>
      </c>
      <c r="N14" s="259">
        <v>104054.39999999999</v>
      </c>
      <c r="O14" s="258">
        <v>8871.4224007454304</v>
      </c>
    </row>
    <row r="15" spans="1:15" x14ac:dyDescent="0.3">
      <c r="A15" t="s">
        <v>13074</v>
      </c>
      <c r="B15" s="3">
        <v>3992</v>
      </c>
      <c r="C15" s="3">
        <v>1.5</v>
      </c>
      <c r="D15" s="3">
        <v>1.98</v>
      </c>
      <c r="E15" s="3">
        <v>31129</v>
      </c>
      <c r="F15" s="3">
        <v>2179.04</v>
      </c>
      <c r="G15" s="3">
        <v>31229.53</v>
      </c>
      <c r="H15" s="3">
        <v>137619.45000000001</v>
      </c>
      <c r="I15" s="3">
        <v>7782.3017433870673</v>
      </c>
      <c r="J15" s="258">
        <v>3992</v>
      </c>
      <c r="K15" s="258">
        <v>31129</v>
      </c>
      <c r="L15" s="258">
        <v>2179.04</v>
      </c>
      <c r="M15" s="259">
        <v>31221.93</v>
      </c>
      <c r="N15" s="259">
        <v>137607</v>
      </c>
      <c r="O15" s="258">
        <v>7782.3017433870673</v>
      </c>
    </row>
    <row r="16" spans="1:15" x14ac:dyDescent="0.3">
      <c r="A16" t="s">
        <v>13075</v>
      </c>
      <c r="B16" s="61">
        <v>742</v>
      </c>
      <c r="C16" s="3">
        <v>1.2</v>
      </c>
      <c r="D16" s="3">
        <v>1.7</v>
      </c>
      <c r="E16" s="3">
        <v>5371</v>
      </c>
      <c r="F16" s="3">
        <v>375.94</v>
      </c>
      <c r="G16" s="3">
        <v>17518.400000000001</v>
      </c>
      <c r="H16" s="3">
        <v>758.23</v>
      </c>
      <c r="I16" s="3">
        <v>1342.6421031375437</v>
      </c>
      <c r="J16" s="259">
        <v>3292</v>
      </c>
      <c r="K16" s="259">
        <v>22747</v>
      </c>
      <c r="L16" s="259">
        <v>1592.29</v>
      </c>
      <c r="M16" s="259">
        <v>12014.31</v>
      </c>
      <c r="N16" s="259">
        <v>151425.70000000001</v>
      </c>
      <c r="O16" s="259">
        <v>5687</v>
      </c>
    </row>
    <row r="17" spans="1:15" x14ac:dyDescent="0.3">
      <c r="A17" t="s">
        <v>13076</v>
      </c>
      <c r="B17" s="61">
        <v>3000</v>
      </c>
      <c r="C17" s="3">
        <v>1.2</v>
      </c>
      <c r="D17" s="3">
        <v>1.65</v>
      </c>
      <c r="E17" s="262">
        <v>21713</v>
      </c>
      <c r="F17" s="3">
        <v>1519.91</v>
      </c>
      <c r="G17" s="3">
        <v>86040.81</v>
      </c>
      <c r="H17" s="3">
        <v>72.709999999999994</v>
      </c>
      <c r="I17" s="3">
        <v>5428.25369130743</v>
      </c>
      <c r="J17" s="263">
        <v>0</v>
      </c>
      <c r="K17" s="263">
        <v>0</v>
      </c>
      <c r="L17" s="263">
        <v>0</v>
      </c>
      <c r="M17" s="263">
        <v>0</v>
      </c>
      <c r="N17" s="263">
        <v>0</v>
      </c>
      <c r="O17" s="263">
        <v>0</v>
      </c>
    </row>
    <row r="18" spans="1:15" x14ac:dyDescent="0.3">
      <c r="A18" t="s">
        <v>13077</v>
      </c>
      <c r="B18" s="61">
        <v>3992</v>
      </c>
      <c r="C18" s="3">
        <v>1.2</v>
      </c>
      <c r="D18" s="3">
        <v>1.55</v>
      </c>
      <c r="E18" s="262">
        <v>27652</v>
      </c>
      <c r="F18" s="3">
        <v>1935.66</v>
      </c>
      <c r="G18" s="3">
        <v>48437.64</v>
      </c>
      <c r="H18" s="3">
        <v>9476.9500000000007</v>
      </c>
      <c r="I18" s="3">
        <v>6913.0671408764774</v>
      </c>
      <c r="J18" s="259">
        <v>2250</v>
      </c>
      <c r="K18" s="259">
        <v>14889</v>
      </c>
      <c r="L18" s="259">
        <v>1042.23</v>
      </c>
      <c r="M18" s="259">
        <v>19148.11</v>
      </c>
      <c r="N18" s="259">
        <v>21529</v>
      </c>
      <c r="O18" s="259">
        <v>3722</v>
      </c>
    </row>
    <row r="19" spans="1:15" x14ac:dyDescent="0.3">
      <c r="A19" t="s">
        <v>13078</v>
      </c>
      <c r="B19" s="61">
        <v>5252</v>
      </c>
      <c r="C19" s="3">
        <v>0.8</v>
      </c>
      <c r="D19" s="3">
        <v>1.29</v>
      </c>
      <c r="E19" s="262">
        <v>28307</v>
      </c>
      <c r="F19" s="3">
        <v>1981.51</v>
      </c>
      <c r="G19" s="3">
        <v>37813.67</v>
      </c>
      <c r="H19" s="3">
        <v>27871.72</v>
      </c>
      <c r="I19" s="3">
        <v>7076.8055578435433</v>
      </c>
      <c r="J19" s="259">
        <v>4747</v>
      </c>
      <c r="K19" s="259">
        <v>25585</v>
      </c>
      <c r="L19" s="259">
        <v>1790.95</v>
      </c>
      <c r="M19" s="259">
        <v>14982.62</v>
      </c>
      <c r="N19" s="259">
        <v>58408.31</v>
      </c>
      <c r="O19" s="259">
        <v>6396</v>
      </c>
    </row>
    <row r="20" spans="1:15" x14ac:dyDescent="0.3">
      <c r="A20" t="s">
        <v>13079</v>
      </c>
      <c r="B20" s="262">
        <v>2600</v>
      </c>
      <c r="C20" s="3">
        <v>0.8</v>
      </c>
      <c r="D20" s="3">
        <v>1.21</v>
      </c>
      <c r="E20" s="262">
        <v>13253</v>
      </c>
      <c r="F20" s="3">
        <v>927.69</v>
      </c>
      <c r="G20" s="3">
        <v>33821.54</v>
      </c>
      <c r="H20" s="3">
        <v>13007.64</v>
      </c>
      <c r="I20" s="3">
        <v>3313.1739996933261</v>
      </c>
      <c r="J20" s="260">
        <v>2600</v>
      </c>
      <c r="K20" s="260">
        <v>13253</v>
      </c>
      <c r="L20" s="258">
        <v>927.69</v>
      </c>
      <c r="M20" s="258">
        <v>33821.54</v>
      </c>
      <c r="N20" s="258">
        <v>13007.64</v>
      </c>
      <c r="O20" s="258">
        <v>3313.1739996933261</v>
      </c>
    </row>
    <row r="21" spans="1:15" s="14" customFormat="1" x14ac:dyDescent="0.3">
      <c r="A21" s="14" t="s">
        <v>13290</v>
      </c>
      <c r="B21" s="48">
        <f>SUM(B5:B20)</f>
        <v>56994</v>
      </c>
      <c r="C21" s="48"/>
      <c r="D21" s="48"/>
      <c r="E21" s="48">
        <f t="shared" ref="E21:I21" si="0">SUM(E5:E20)</f>
        <v>358692</v>
      </c>
      <c r="F21" s="48">
        <f t="shared" si="0"/>
        <v>25108.389999999996</v>
      </c>
      <c r="G21" s="48">
        <f t="shared" si="0"/>
        <v>1254653.9599999997</v>
      </c>
      <c r="H21" s="48">
        <f t="shared" si="0"/>
        <v>540842.3600000001</v>
      </c>
      <c r="I21" s="48">
        <f t="shared" si="0"/>
        <v>89672.825514038268</v>
      </c>
      <c r="J21" s="261">
        <f>SUM(J5:J20)</f>
        <v>48376</v>
      </c>
      <c r="K21" s="261">
        <f t="shared" ref="K21:O21" si="1">SUM(K5:K20)</f>
        <v>318105</v>
      </c>
      <c r="L21" s="261">
        <f t="shared" si="1"/>
        <v>22267.320000000003</v>
      </c>
      <c r="M21" s="261">
        <f t="shared" si="1"/>
        <v>1022804.1400000001</v>
      </c>
      <c r="N21" s="261">
        <f t="shared" si="1"/>
        <v>690152.56000000017</v>
      </c>
      <c r="O21" s="261">
        <f t="shared" si="1"/>
        <v>79526.14116090053</v>
      </c>
    </row>
    <row r="23" spans="1:15" x14ac:dyDescent="0.3">
      <c r="A23" s="14" t="s">
        <v>13135</v>
      </c>
    </row>
    <row r="24" spans="1:15" x14ac:dyDescent="0.3">
      <c r="A24" t="s">
        <v>13284</v>
      </c>
      <c r="B24" t="s">
        <v>13285</v>
      </c>
      <c r="C24" t="s">
        <v>13286</v>
      </c>
      <c r="D24" t="s">
        <v>13287</v>
      </c>
      <c r="E24" t="s">
        <v>13288</v>
      </c>
      <c r="F24" t="s">
        <v>13289</v>
      </c>
      <c r="G24" t="s">
        <v>14291</v>
      </c>
      <c r="H24" t="s">
        <v>14292</v>
      </c>
      <c r="I24" t="s">
        <v>14293</v>
      </c>
      <c r="J24" t="s">
        <v>13285</v>
      </c>
      <c r="K24" t="s">
        <v>13288</v>
      </c>
      <c r="L24" t="s">
        <v>13289</v>
      </c>
      <c r="M24" t="s">
        <v>14291</v>
      </c>
      <c r="N24" t="s">
        <v>14292</v>
      </c>
      <c r="O24" t="s">
        <v>14293</v>
      </c>
    </row>
    <row r="25" spans="1:15" x14ac:dyDescent="0.3">
      <c r="A25" t="s">
        <v>13136</v>
      </c>
      <c r="B25" s="3">
        <v>1950</v>
      </c>
      <c r="C25" s="3">
        <v>1.8</v>
      </c>
      <c r="D25" s="3">
        <v>2.65</v>
      </c>
      <c r="E25" s="3">
        <v>21796</v>
      </c>
      <c r="F25" s="3">
        <v>1525.75</v>
      </c>
      <c r="G25" s="3">
        <v>1049.1099999999999</v>
      </c>
      <c r="H25" s="3">
        <v>86734.59</v>
      </c>
      <c r="I25" s="3">
        <v>5449.1035556223233</v>
      </c>
      <c r="J25" s="3">
        <v>1950</v>
      </c>
      <c r="K25" s="3">
        <v>21796</v>
      </c>
      <c r="L25" s="3">
        <v>1525.75</v>
      </c>
      <c r="M25" s="3">
        <v>1049.1099999999999</v>
      </c>
      <c r="N25" s="3">
        <v>86734.59</v>
      </c>
      <c r="O25" s="3">
        <v>5449.1035556223233</v>
      </c>
    </row>
    <row r="26" spans="1:15" x14ac:dyDescent="0.3">
      <c r="A26" t="s">
        <v>13137</v>
      </c>
      <c r="B26" s="3">
        <v>4900</v>
      </c>
      <c r="C26" s="3">
        <v>1.8</v>
      </c>
      <c r="D26" s="3">
        <v>2.56</v>
      </c>
      <c r="E26" s="3">
        <v>53323</v>
      </c>
      <c r="F26" s="3">
        <v>3732.6</v>
      </c>
      <c r="G26" s="3">
        <v>87315.64</v>
      </c>
      <c r="H26" s="3">
        <v>35943.57</v>
      </c>
      <c r="I26" s="3">
        <v>13330.718068234666</v>
      </c>
      <c r="J26" s="3">
        <v>4900</v>
      </c>
      <c r="K26" s="3">
        <v>53323</v>
      </c>
      <c r="L26" s="3">
        <v>3732.6</v>
      </c>
      <c r="M26" s="3">
        <v>87315.64</v>
      </c>
      <c r="N26" s="3">
        <v>35943.57</v>
      </c>
      <c r="O26" s="3">
        <v>13330.718068234666</v>
      </c>
    </row>
    <row r="27" spans="1:15" x14ac:dyDescent="0.3">
      <c r="A27" t="s">
        <v>13138</v>
      </c>
      <c r="B27" s="3">
        <v>2982</v>
      </c>
      <c r="C27" s="3">
        <v>1.5</v>
      </c>
      <c r="D27" s="3">
        <v>2.02</v>
      </c>
      <c r="E27" s="3">
        <v>25880</v>
      </c>
      <c r="F27" s="3">
        <v>1811.58</v>
      </c>
      <c r="G27" s="3">
        <v>72198.38</v>
      </c>
      <c r="H27" s="3">
        <v>10868.67</v>
      </c>
      <c r="I27" s="3">
        <v>6469.9214018258108</v>
      </c>
      <c r="J27" s="3">
        <v>2982</v>
      </c>
      <c r="K27" s="3">
        <v>25880</v>
      </c>
      <c r="L27" s="3">
        <v>1811.58</v>
      </c>
      <c r="M27" s="3">
        <v>72198.38</v>
      </c>
      <c r="N27" s="3">
        <v>10868.67</v>
      </c>
      <c r="O27" s="3">
        <v>6469.9214018258108</v>
      </c>
    </row>
    <row r="28" spans="1:15" x14ac:dyDescent="0.3">
      <c r="A28" t="s">
        <v>13139</v>
      </c>
      <c r="B28" s="3">
        <v>5000</v>
      </c>
      <c r="C28" s="3">
        <v>1.2</v>
      </c>
      <c r="D28" s="3">
        <v>1.72</v>
      </c>
      <c r="E28" s="3">
        <v>36484</v>
      </c>
      <c r="F28" s="3">
        <v>2553.85</v>
      </c>
      <c r="G28" s="3">
        <v>86098.91</v>
      </c>
      <c r="H28" s="3">
        <v>94515.39</v>
      </c>
      <c r="I28" s="3">
        <v>9120.9050150467538</v>
      </c>
      <c r="J28" s="3">
        <v>5000</v>
      </c>
      <c r="K28" s="3">
        <v>36484</v>
      </c>
      <c r="L28" s="3">
        <v>2553.85</v>
      </c>
      <c r="M28" s="3">
        <v>86098.91</v>
      </c>
      <c r="N28" s="3">
        <v>94515.39</v>
      </c>
      <c r="O28" s="3">
        <v>9120.9050150467538</v>
      </c>
    </row>
    <row r="29" spans="1:15" x14ac:dyDescent="0.3">
      <c r="A29" t="s">
        <v>13140</v>
      </c>
      <c r="B29" s="3">
        <v>2670</v>
      </c>
      <c r="C29" s="3">
        <v>1</v>
      </c>
      <c r="D29" s="3">
        <v>1.4</v>
      </c>
      <c r="E29" s="3">
        <v>16511</v>
      </c>
      <c r="F29" s="3">
        <v>1155.79</v>
      </c>
      <c r="G29" s="3">
        <v>83046.67</v>
      </c>
      <c r="H29" s="3">
        <v>28206.89</v>
      </c>
      <c r="I29" s="3">
        <v>4127.8037132196223</v>
      </c>
      <c r="J29" s="3">
        <v>2670</v>
      </c>
      <c r="K29" s="3">
        <v>16511</v>
      </c>
      <c r="L29" s="3">
        <v>1155.79</v>
      </c>
      <c r="M29" s="3">
        <v>83046.67</v>
      </c>
      <c r="N29" s="3">
        <v>28206.89</v>
      </c>
      <c r="O29" s="3">
        <v>4127.8037132196223</v>
      </c>
    </row>
    <row r="30" spans="1:15" x14ac:dyDescent="0.3">
      <c r="A30" t="s">
        <v>13141</v>
      </c>
      <c r="B30" s="3">
        <v>2100</v>
      </c>
      <c r="C30" s="3">
        <v>0.8</v>
      </c>
      <c r="D30" s="3">
        <v>1.29</v>
      </c>
      <c r="E30" s="3">
        <v>11290</v>
      </c>
      <c r="F30" s="3">
        <v>790.3</v>
      </c>
      <c r="G30" s="3">
        <v>7609.24</v>
      </c>
      <c r="H30" s="3">
        <v>27541.360000000001</v>
      </c>
      <c r="I30" s="3">
        <v>2822.5133923108915</v>
      </c>
      <c r="J30" s="3">
        <v>2100</v>
      </c>
      <c r="K30" s="3">
        <v>11290</v>
      </c>
      <c r="L30" s="3">
        <v>790.3</v>
      </c>
      <c r="M30" s="3">
        <v>7609.24</v>
      </c>
      <c r="N30" s="3">
        <v>27541.360000000001</v>
      </c>
      <c r="O30" s="3">
        <v>2822.5133923108915</v>
      </c>
    </row>
    <row r="31" spans="1:15" x14ac:dyDescent="0.3">
      <c r="A31" s="51" t="s">
        <v>13142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</row>
    <row r="32" spans="1:15" x14ac:dyDescent="0.3">
      <c r="A32" t="s">
        <v>13143</v>
      </c>
      <c r="B32" s="3">
        <v>2591</v>
      </c>
      <c r="C32" s="3">
        <v>0.4</v>
      </c>
      <c r="D32" s="3">
        <v>0.73</v>
      </c>
      <c r="E32" s="3">
        <v>7755</v>
      </c>
      <c r="F32" s="3">
        <v>542.86</v>
      </c>
      <c r="G32" s="3">
        <v>11948.53</v>
      </c>
      <c r="H32" s="3">
        <v>5884.78</v>
      </c>
      <c r="I32" s="121">
        <v>1938.7744290842957</v>
      </c>
      <c r="J32" s="3">
        <v>2591</v>
      </c>
      <c r="K32" s="3">
        <v>7755</v>
      </c>
      <c r="L32" s="3">
        <v>542.86</v>
      </c>
      <c r="M32" s="3">
        <v>11948.53</v>
      </c>
      <c r="N32" s="3">
        <v>5884.78</v>
      </c>
      <c r="O32" s="121">
        <v>1938.7744290842957</v>
      </c>
    </row>
    <row r="33" spans="1:15" x14ac:dyDescent="0.3">
      <c r="A33" t="s">
        <v>13144</v>
      </c>
      <c r="B33" s="3">
        <v>4000</v>
      </c>
      <c r="C33" s="3">
        <v>1.2</v>
      </c>
      <c r="D33" s="3">
        <v>1.56</v>
      </c>
      <c r="E33" s="3">
        <v>11393</v>
      </c>
      <c r="F33" s="3">
        <v>797.49</v>
      </c>
      <c r="G33" s="3">
        <v>9648.14</v>
      </c>
      <c r="H33" s="3">
        <v>147510.42000000001</v>
      </c>
      <c r="I33" s="3">
        <v>2848.1732950946698</v>
      </c>
      <c r="J33" s="3">
        <v>4000</v>
      </c>
      <c r="K33" s="3">
        <v>11393</v>
      </c>
      <c r="L33" s="3">
        <v>797.49</v>
      </c>
      <c r="M33" s="3">
        <v>9648.14</v>
      </c>
      <c r="N33" s="3">
        <v>147510.42000000001</v>
      </c>
      <c r="O33" s="3">
        <v>2848.1732950946698</v>
      </c>
    </row>
    <row r="34" spans="1:15" x14ac:dyDescent="0.3">
      <c r="A34" t="s">
        <v>13145</v>
      </c>
      <c r="B34" s="3">
        <v>1392</v>
      </c>
      <c r="C34" s="3">
        <v>0.8</v>
      </c>
      <c r="D34" s="3">
        <v>1.1599999999999999</v>
      </c>
      <c r="E34" s="3">
        <v>26971</v>
      </c>
      <c r="F34" s="3">
        <v>1888</v>
      </c>
      <c r="G34" s="3">
        <v>1879.1</v>
      </c>
      <c r="H34" s="3">
        <v>128031.35</v>
      </c>
      <c r="I34" s="3">
        <v>6742.8538269791743</v>
      </c>
      <c r="J34" s="3">
        <v>1392</v>
      </c>
      <c r="K34" s="3">
        <v>26971</v>
      </c>
      <c r="L34" s="3">
        <v>1888</v>
      </c>
      <c r="M34" s="3">
        <v>1879.1</v>
      </c>
      <c r="N34" s="3">
        <v>128031.35</v>
      </c>
      <c r="O34" s="3">
        <v>6742.8538269791743</v>
      </c>
    </row>
    <row r="35" spans="1:15" x14ac:dyDescent="0.3">
      <c r="A35" t="s">
        <v>13146</v>
      </c>
      <c r="B35" s="3">
        <v>3186</v>
      </c>
      <c r="C35" s="3">
        <v>0.6</v>
      </c>
      <c r="D35" s="3">
        <v>0.85</v>
      </c>
      <c r="E35" s="3">
        <v>6851</v>
      </c>
      <c r="F35" s="3">
        <v>479.54</v>
      </c>
      <c r="G35" s="3">
        <v>42907</v>
      </c>
      <c r="H35" s="3">
        <v>37839.32</v>
      </c>
      <c r="I35" s="3">
        <v>1712.6521312242833</v>
      </c>
      <c r="J35" s="3">
        <v>3186</v>
      </c>
      <c r="K35" s="3">
        <v>6851</v>
      </c>
      <c r="L35" s="3">
        <v>479.54</v>
      </c>
      <c r="M35" s="3">
        <v>42907</v>
      </c>
      <c r="N35" s="3">
        <v>37839.32</v>
      </c>
      <c r="O35" s="3">
        <v>1712.6521312242833</v>
      </c>
    </row>
    <row r="36" spans="1:15" x14ac:dyDescent="0.3">
      <c r="A36" s="51" t="s">
        <v>13147</v>
      </c>
      <c r="B36" s="50">
        <v>0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50">
        <v>0</v>
      </c>
    </row>
    <row r="37" spans="1:15" s="14" customFormat="1" x14ac:dyDescent="0.3">
      <c r="A37" s="14" t="s">
        <v>13290</v>
      </c>
      <c r="B37" s="48">
        <f>SUM(B25:B36)</f>
        <v>30771</v>
      </c>
      <c r="C37" s="48"/>
      <c r="D37" s="48"/>
      <c r="E37" s="48">
        <f t="shared" ref="E37:O37" si="2">SUM(E25:E36)</f>
        <v>218254</v>
      </c>
      <c r="F37" s="48">
        <f t="shared" si="2"/>
        <v>15277.76</v>
      </c>
      <c r="G37" s="48">
        <f t="shared" si="2"/>
        <v>403700.72000000003</v>
      </c>
      <c r="H37" s="48">
        <f t="shared" si="2"/>
        <v>603076.34</v>
      </c>
      <c r="I37" s="48">
        <f t="shared" si="2"/>
        <v>54563.418828642498</v>
      </c>
      <c r="J37" s="48">
        <f t="shared" si="2"/>
        <v>30771</v>
      </c>
      <c r="K37" s="48">
        <f t="shared" si="2"/>
        <v>218254</v>
      </c>
      <c r="L37" s="48">
        <f t="shared" si="2"/>
        <v>15277.76</v>
      </c>
      <c r="M37" s="48">
        <f t="shared" si="2"/>
        <v>403700.72000000003</v>
      </c>
      <c r="N37" s="48">
        <f t="shared" si="2"/>
        <v>603076.34</v>
      </c>
      <c r="O37" s="48">
        <f t="shared" si="2"/>
        <v>54563.418828642498</v>
      </c>
    </row>
    <row r="39" spans="1:15" x14ac:dyDescent="0.3">
      <c r="B39" s="47">
        <f>+B21+B37</f>
        <v>87765</v>
      </c>
      <c r="E39" s="47">
        <f>+E21+E37</f>
        <v>576946</v>
      </c>
      <c r="F39" s="47">
        <f>+F21+F37</f>
        <v>40386.149999999994</v>
      </c>
      <c r="I39" s="47">
        <f>+I21+I37</f>
        <v>144236.24434268076</v>
      </c>
      <c r="J39" s="47">
        <f>+J21+J37</f>
        <v>79147</v>
      </c>
      <c r="K39" s="47">
        <f>+K21+K37</f>
        <v>536359</v>
      </c>
      <c r="L39" s="47">
        <f>+L21+L37</f>
        <v>37545.08</v>
      </c>
      <c r="O39" s="47">
        <f>+O21+O37</f>
        <v>134089.55998954302</v>
      </c>
    </row>
  </sheetData>
  <printOptions gridLines="1"/>
  <pageMargins left="0.51181102362204722" right="0.51181102362204722" top="0.78740157480314965" bottom="0.78740157480314965" header="0.31496062992125984" footer="0.31496062992125984"/>
  <pageSetup paperSize="9"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FDF8F-F619-4D4E-BFB3-D2A8C0323652}">
  <dimension ref="A1:L19"/>
  <sheetViews>
    <sheetView workbookViewId="0"/>
  </sheetViews>
  <sheetFormatPr defaultRowHeight="14.4" x14ac:dyDescent="0.3"/>
  <cols>
    <col min="1" max="1" width="13.44140625" customWidth="1"/>
    <col min="2" max="2" width="10.109375" bestFit="1" customWidth="1"/>
    <col min="4" max="4" width="12.109375" bestFit="1" customWidth="1"/>
    <col min="5" max="5" width="12.5546875" bestFit="1" customWidth="1"/>
    <col min="7" max="7" width="12" bestFit="1" customWidth="1"/>
    <col min="8" max="8" width="13.88671875" bestFit="1" customWidth="1"/>
    <col min="9" max="9" width="12.88671875" bestFit="1" customWidth="1"/>
    <col min="10" max="10" width="11.5546875" bestFit="1" customWidth="1"/>
    <col min="11" max="11" width="10.6640625" bestFit="1" customWidth="1"/>
    <col min="12" max="12" width="11.5546875" bestFit="1" customWidth="1"/>
  </cols>
  <sheetData>
    <row r="1" spans="1:12" x14ac:dyDescent="0.3">
      <c r="A1" t="s">
        <v>13350</v>
      </c>
    </row>
    <row r="2" spans="1:12" x14ac:dyDescent="0.3">
      <c r="K2" s="58">
        <f>+BDI!C16</f>
        <v>0.25270000000000004</v>
      </c>
    </row>
    <row r="3" spans="1:12" x14ac:dyDescent="0.3">
      <c r="A3" s="14" t="s">
        <v>21</v>
      </c>
      <c r="G3" s="324" t="s">
        <v>13907</v>
      </c>
      <c r="H3" s="324"/>
      <c r="I3" s="324"/>
      <c r="J3" s="324"/>
      <c r="K3" s="324"/>
      <c r="L3" s="324"/>
    </row>
    <row r="4" spans="1:12" s="1" customFormat="1" x14ac:dyDescent="0.3">
      <c r="A4" s="1" t="s">
        <v>13284</v>
      </c>
      <c r="B4" s="1" t="s">
        <v>13285</v>
      </c>
      <c r="C4" s="1" t="s">
        <v>13286</v>
      </c>
      <c r="D4" s="1" t="s">
        <v>13351</v>
      </c>
      <c r="E4" s="1" t="s">
        <v>13352</v>
      </c>
      <c r="F4" s="1" t="s">
        <v>13287</v>
      </c>
      <c r="G4" s="59" t="s">
        <v>27</v>
      </c>
      <c r="H4" s="59" t="s">
        <v>13926</v>
      </c>
      <c r="I4" s="59" t="s">
        <v>13927</v>
      </c>
      <c r="J4" s="59" t="s">
        <v>13928</v>
      </c>
      <c r="K4" s="59" t="s">
        <v>13050</v>
      </c>
      <c r="L4" s="59" t="s">
        <v>13290</v>
      </c>
    </row>
    <row r="5" spans="1:12" x14ac:dyDescent="0.3">
      <c r="A5" t="s">
        <v>13092</v>
      </c>
      <c r="B5" s="3">
        <v>8</v>
      </c>
      <c r="C5" s="3">
        <v>3.2</v>
      </c>
      <c r="D5" s="3">
        <v>474.39</v>
      </c>
      <c r="E5" s="3">
        <v>472.83</v>
      </c>
      <c r="F5" s="3">
        <f>+D5-E5</f>
        <v>1.5600000000000023</v>
      </c>
      <c r="G5" s="60" t="s">
        <v>13917</v>
      </c>
      <c r="H5" s="61">
        <v>80000</v>
      </c>
      <c r="I5" s="61">
        <f>+H5*0.3</f>
        <v>24000</v>
      </c>
      <c r="J5" s="62">
        <f>+H5+I5</f>
        <v>104000</v>
      </c>
      <c r="K5" s="61">
        <f t="shared" ref="K5:K13" si="0">+J5*$K$2</f>
        <v>26280.800000000003</v>
      </c>
      <c r="L5" s="62">
        <f>+J5+K5</f>
        <v>130280.8</v>
      </c>
    </row>
    <row r="6" spans="1:12" x14ac:dyDescent="0.3">
      <c r="A6" t="s">
        <v>13093</v>
      </c>
      <c r="B6" s="3">
        <v>8</v>
      </c>
      <c r="C6" s="3">
        <v>2.6</v>
      </c>
      <c r="D6" s="3">
        <v>473.58</v>
      </c>
      <c r="E6" s="3">
        <v>472.19</v>
      </c>
      <c r="F6" s="3">
        <f t="shared" ref="F6:F13" si="1">+D6-E6</f>
        <v>1.3899999999999864</v>
      </c>
      <c r="G6" s="60" t="s">
        <v>13918</v>
      </c>
      <c r="H6" s="61">
        <v>64000</v>
      </c>
      <c r="I6" s="61">
        <f t="shared" ref="I6:I13" si="2">+H6*0.3</f>
        <v>19200</v>
      </c>
      <c r="J6" s="62">
        <f t="shared" ref="J6:J13" si="3">+H6+I6</f>
        <v>83200</v>
      </c>
      <c r="K6" s="61">
        <f t="shared" si="0"/>
        <v>21024.640000000003</v>
      </c>
      <c r="L6" s="62">
        <f t="shared" ref="L6:L13" si="4">+J6+K6</f>
        <v>104224.64</v>
      </c>
    </row>
    <row r="7" spans="1:12" x14ac:dyDescent="0.3">
      <c r="A7" t="s">
        <v>13094</v>
      </c>
      <c r="B7" s="3">
        <v>8</v>
      </c>
      <c r="C7" s="3">
        <v>2.6</v>
      </c>
      <c r="D7" s="3">
        <v>472.74</v>
      </c>
      <c r="E7" s="3">
        <v>471.35</v>
      </c>
      <c r="F7" s="3">
        <f t="shared" si="1"/>
        <v>1.3899999999999864</v>
      </c>
      <c r="G7" s="60" t="s">
        <v>13919</v>
      </c>
      <c r="H7" s="61">
        <v>64000</v>
      </c>
      <c r="I7" s="61">
        <f t="shared" si="2"/>
        <v>19200</v>
      </c>
      <c r="J7" s="62">
        <f t="shared" si="3"/>
        <v>83200</v>
      </c>
      <c r="K7" s="61">
        <f t="shared" si="0"/>
        <v>21024.640000000003</v>
      </c>
      <c r="L7" s="62">
        <f t="shared" si="4"/>
        <v>104224.64</v>
      </c>
    </row>
    <row r="8" spans="1:12" x14ac:dyDescent="0.3">
      <c r="A8" t="s">
        <v>13095</v>
      </c>
      <c r="B8" s="3">
        <v>8</v>
      </c>
      <c r="C8" s="3">
        <v>1.3</v>
      </c>
      <c r="D8" s="3">
        <v>471.3</v>
      </c>
      <c r="E8" s="3">
        <v>470.11</v>
      </c>
      <c r="F8" s="3">
        <f t="shared" si="1"/>
        <v>1.1899999999999977</v>
      </c>
      <c r="G8" s="60" t="s">
        <v>13920</v>
      </c>
      <c r="H8" s="61">
        <v>40800</v>
      </c>
      <c r="I8" s="61">
        <f t="shared" si="2"/>
        <v>12240</v>
      </c>
      <c r="J8" s="62">
        <f t="shared" si="3"/>
        <v>53040</v>
      </c>
      <c r="K8" s="61">
        <f t="shared" si="0"/>
        <v>13403.208000000002</v>
      </c>
      <c r="L8" s="62">
        <f t="shared" si="4"/>
        <v>66443.207999999999</v>
      </c>
    </row>
    <row r="9" spans="1:12" x14ac:dyDescent="0.3">
      <c r="A9" t="s">
        <v>13096</v>
      </c>
      <c r="B9" s="325" t="s">
        <v>14620</v>
      </c>
      <c r="C9" s="325"/>
      <c r="D9" s="325"/>
      <c r="E9" s="325"/>
      <c r="F9" s="325"/>
      <c r="G9" s="325"/>
      <c r="H9" s="325"/>
      <c r="I9" s="325"/>
      <c r="J9" s="325"/>
      <c r="K9" s="325"/>
      <c r="L9" s="325"/>
    </row>
    <row r="10" spans="1:12" x14ac:dyDescent="0.3">
      <c r="A10" t="s">
        <v>13097</v>
      </c>
      <c r="B10" s="3">
        <v>8</v>
      </c>
      <c r="C10" s="3">
        <v>4</v>
      </c>
      <c r="D10" s="3">
        <v>479.76</v>
      </c>
      <c r="E10" s="3">
        <v>477.8</v>
      </c>
      <c r="F10" s="3">
        <f t="shared" si="1"/>
        <v>1.9599999999999795</v>
      </c>
      <c r="G10" s="60" t="s">
        <v>13922</v>
      </c>
      <c r="H10" s="61">
        <v>124000</v>
      </c>
      <c r="I10" s="61">
        <f t="shared" si="2"/>
        <v>37200</v>
      </c>
      <c r="J10" s="62">
        <f t="shared" si="3"/>
        <v>161200</v>
      </c>
      <c r="K10" s="61">
        <f t="shared" si="0"/>
        <v>40735.240000000005</v>
      </c>
      <c r="L10" s="62">
        <f t="shared" si="4"/>
        <v>201935.24</v>
      </c>
    </row>
    <row r="11" spans="1:12" x14ac:dyDescent="0.3">
      <c r="A11" t="s">
        <v>13098</v>
      </c>
      <c r="B11" s="3">
        <v>8</v>
      </c>
      <c r="C11" s="3">
        <v>3.3</v>
      </c>
      <c r="D11" s="3">
        <v>479.12</v>
      </c>
      <c r="E11" s="3">
        <v>477.4</v>
      </c>
      <c r="F11" s="3">
        <f t="shared" si="1"/>
        <v>1.7200000000000273</v>
      </c>
      <c r="G11" s="60" t="s">
        <v>13923</v>
      </c>
      <c r="H11" s="61">
        <v>93600</v>
      </c>
      <c r="I11" s="61">
        <f t="shared" si="2"/>
        <v>28080</v>
      </c>
      <c r="J11" s="62">
        <f t="shared" si="3"/>
        <v>121680</v>
      </c>
      <c r="K11" s="61">
        <f t="shared" si="0"/>
        <v>30748.536000000004</v>
      </c>
      <c r="L11" s="62">
        <f t="shared" si="4"/>
        <v>152428.53599999999</v>
      </c>
    </row>
    <row r="12" spans="1:12" x14ac:dyDescent="0.3">
      <c r="A12" t="s">
        <v>13099</v>
      </c>
      <c r="B12" s="3">
        <v>8</v>
      </c>
      <c r="C12" s="3">
        <v>3.1</v>
      </c>
      <c r="D12" s="3">
        <v>463.48</v>
      </c>
      <c r="E12" s="3">
        <v>461.92</v>
      </c>
      <c r="F12" s="3">
        <f t="shared" si="1"/>
        <v>1.5600000000000023</v>
      </c>
      <c r="G12" s="60" t="s">
        <v>13924</v>
      </c>
      <c r="H12" s="61">
        <v>81600</v>
      </c>
      <c r="I12" s="61">
        <f t="shared" si="2"/>
        <v>24480</v>
      </c>
      <c r="J12" s="62">
        <f t="shared" si="3"/>
        <v>106080</v>
      </c>
      <c r="K12" s="61">
        <f t="shared" si="0"/>
        <v>26806.416000000005</v>
      </c>
      <c r="L12" s="62">
        <f t="shared" si="4"/>
        <v>132886.416</v>
      </c>
    </row>
    <row r="13" spans="1:12" x14ac:dyDescent="0.3">
      <c r="A13" t="s">
        <v>13100</v>
      </c>
      <c r="B13" s="3">
        <v>8</v>
      </c>
      <c r="C13" s="3">
        <v>2.2999999999999998</v>
      </c>
      <c r="D13" s="3">
        <v>462.63</v>
      </c>
      <c r="E13" s="3">
        <v>461.32</v>
      </c>
      <c r="F13" s="3">
        <f t="shared" si="1"/>
        <v>1.3100000000000023</v>
      </c>
      <c r="G13" s="60" t="s">
        <v>13925</v>
      </c>
      <c r="H13" s="61">
        <v>86800</v>
      </c>
      <c r="I13" s="61">
        <f t="shared" si="2"/>
        <v>26040</v>
      </c>
      <c r="J13" s="62">
        <f t="shared" si="3"/>
        <v>112840</v>
      </c>
      <c r="K13" s="61">
        <f t="shared" si="0"/>
        <v>28514.668000000005</v>
      </c>
      <c r="L13" s="62">
        <f t="shared" si="4"/>
        <v>141354.66800000001</v>
      </c>
    </row>
    <row r="14" spans="1:12" x14ac:dyDescent="0.3">
      <c r="G14" s="60"/>
      <c r="H14" s="60"/>
      <c r="I14" s="60"/>
      <c r="J14" s="60"/>
      <c r="K14" s="60"/>
      <c r="L14" s="60"/>
    </row>
    <row r="15" spans="1:12" x14ac:dyDescent="0.3">
      <c r="A15" s="14" t="s">
        <v>13135</v>
      </c>
      <c r="G15" s="60"/>
      <c r="H15" s="60"/>
      <c r="I15" s="60"/>
      <c r="J15" s="60"/>
      <c r="K15" s="60"/>
      <c r="L15" s="60"/>
    </row>
    <row r="16" spans="1:12" s="1" customFormat="1" x14ac:dyDescent="0.3">
      <c r="A16" s="1" t="s">
        <v>13284</v>
      </c>
      <c r="B16" s="1" t="s">
        <v>13285</v>
      </c>
      <c r="C16" s="1" t="s">
        <v>13286</v>
      </c>
      <c r="D16" s="1" t="s">
        <v>13351</v>
      </c>
      <c r="E16" s="1" t="s">
        <v>13352</v>
      </c>
      <c r="F16" s="1" t="s">
        <v>13287</v>
      </c>
      <c r="G16" s="59"/>
      <c r="H16" s="59" t="s">
        <v>13926</v>
      </c>
      <c r="I16" s="59" t="s">
        <v>13927</v>
      </c>
      <c r="J16" s="59" t="s">
        <v>13928</v>
      </c>
      <c r="K16" s="59" t="s">
        <v>13050</v>
      </c>
      <c r="L16" s="59" t="s">
        <v>13290</v>
      </c>
    </row>
    <row r="17" spans="1:12" x14ac:dyDescent="0.3">
      <c r="A17" t="s">
        <v>13148</v>
      </c>
      <c r="B17" s="3">
        <v>8</v>
      </c>
      <c r="C17" s="3">
        <v>4</v>
      </c>
      <c r="D17" s="3">
        <v>478.14</v>
      </c>
      <c r="E17" s="3">
        <v>476.1</v>
      </c>
      <c r="F17" s="3">
        <f t="shared" ref="F17:F19" si="5">+D17-E17</f>
        <v>2.0399999999999636</v>
      </c>
      <c r="G17" s="60" t="s">
        <v>13929</v>
      </c>
      <c r="H17" s="61">
        <v>128000</v>
      </c>
      <c r="I17" s="61">
        <f t="shared" ref="I17:I19" si="6">+H17*0.3</f>
        <v>38400</v>
      </c>
      <c r="J17" s="62">
        <f t="shared" ref="J17:J19" si="7">+H17+I17</f>
        <v>166400</v>
      </c>
      <c r="K17" s="61">
        <f>+J17*$K$2</f>
        <v>42049.280000000006</v>
      </c>
      <c r="L17" s="62">
        <f t="shared" ref="L17:L19" si="8">+J17+K17</f>
        <v>208449.28</v>
      </c>
    </row>
    <row r="18" spans="1:12" x14ac:dyDescent="0.3">
      <c r="A18" t="s">
        <v>13149</v>
      </c>
      <c r="B18" s="3">
        <v>8</v>
      </c>
      <c r="C18" s="3">
        <v>2.7</v>
      </c>
      <c r="D18" s="3">
        <v>480.13</v>
      </c>
      <c r="E18" s="3">
        <v>478.73</v>
      </c>
      <c r="F18" s="3">
        <f t="shared" si="5"/>
        <v>1.3999999999999773</v>
      </c>
      <c r="G18" s="60" t="s">
        <v>13930</v>
      </c>
      <c r="H18" s="61">
        <v>66400</v>
      </c>
      <c r="I18" s="61">
        <f t="shared" si="6"/>
        <v>19920</v>
      </c>
      <c r="J18" s="62">
        <f t="shared" si="7"/>
        <v>86320</v>
      </c>
      <c r="K18" s="61">
        <f>+J18*$K$2</f>
        <v>21813.064000000002</v>
      </c>
      <c r="L18" s="62">
        <f t="shared" si="8"/>
        <v>108133.064</v>
      </c>
    </row>
    <row r="19" spans="1:12" x14ac:dyDescent="0.3">
      <c r="A19" t="s">
        <v>13150</v>
      </c>
      <c r="B19" s="3">
        <v>8</v>
      </c>
      <c r="C19" s="3">
        <v>2.1</v>
      </c>
      <c r="D19" s="3">
        <v>479.69</v>
      </c>
      <c r="E19" s="3">
        <v>478.51</v>
      </c>
      <c r="F19" s="3">
        <f t="shared" si="5"/>
        <v>1.1800000000000068</v>
      </c>
      <c r="G19" s="60" t="s">
        <v>13931</v>
      </c>
      <c r="H19" s="61">
        <v>48400</v>
      </c>
      <c r="I19" s="61">
        <f t="shared" si="6"/>
        <v>14520</v>
      </c>
      <c r="J19" s="62">
        <f t="shared" si="7"/>
        <v>62920</v>
      </c>
      <c r="K19" s="61">
        <f>+J19*$K$2</f>
        <v>15899.884000000002</v>
      </c>
      <c r="L19" s="62">
        <f t="shared" si="8"/>
        <v>78819.884000000005</v>
      </c>
    </row>
  </sheetData>
  <mergeCells count="2">
    <mergeCell ref="G3:L3"/>
    <mergeCell ref="B9:L9"/>
  </mergeCells>
  <printOptions gridLines="1"/>
  <pageMargins left="0.51181102362204722" right="0.51181102362204722" top="0.78740157480314965" bottom="0.78740157480314965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DDA1C-5170-47CE-86A9-54162E8AF387}">
  <dimension ref="B1:AC31"/>
  <sheetViews>
    <sheetView workbookViewId="0"/>
  </sheetViews>
  <sheetFormatPr defaultRowHeight="14.4" x14ac:dyDescent="0.3"/>
  <cols>
    <col min="2" max="2" width="10.109375" customWidth="1"/>
    <col min="3" max="3" width="19.33203125" customWidth="1"/>
    <col min="4" max="4" width="9.33203125" customWidth="1"/>
    <col min="5" max="7" width="0" hidden="1" customWidth="1"/>
    <col min="8" max="8" width="10.33203125" hidden="1" customWidth="1"/>
    <col min="9" max="10" width="0" hidden="1" customWidth="1"/>
    <col min="11" max="11" width="12.5546875" customWidth="1"/>
    <col min="13" max="14" width="0" hidden="1" customWidth="1"/>
    <col min="15" max="15" width="10.6640625" hidden="1" customWidth="1"/>
    <col min="16" max="16" width="14.5546875" hidden="1" customWidth="1"/>
    <col min="18" max="18" width="14.109375" customWidth="1"/>
    <col min="19" max="19" width="14" customWidth="1"/>
    <col min="20" max="21" width="0" hidden="1" customWidth="1"/>
    <col min="24" max="27" width="0" hidden="1" customWidth="1"/>
  </cols>
  <sheetData>
    <row r="1" spans="2:29" ht="15" thickBot="1" x14ac:dyDescent="0.35"/>
    <row r="2" spans="2:29" ht="15" thickBot="1" x14ac:dyDescent="0.35">
      <c r="E2" s="342" t="s">
        <v>14102</v>
      </c>
      <c r="F2" s="343"/>
      <c r="G2" s="343"/>
      <c r="H2" s="343"/>
      <c r="I2" s="343"/>
      <c r="J2" s="343"/>
      <c r="K2" s="343"/>
      <c r="L2" s="344"/>
      <c r="M2" s="342" t="s">
        <v>14103</v>
      </c>
      <c r="N2" s="343"/>
      <c r="O2" s="343"/>
      <c r="P2" s="343"/>
      <c r="Q2" s="343"/>
      <c r="R2" s="344"/>
      <c r="S2" s="342" t="s">
        <v>14104</v>
      </c>
      <c r="T2" s="343"/>
      <c r="U2" s="343"/>
      <c r="V2" s="343"/>
      <c r="W2" s="344"/>
      <c r="X2" s="342" t="s">
        <v>14105</v>
      </c>
      <c r="Y2" s="343"/>
      <c r="Z2" s="343"/>
      <c r="AA2" s="343"/>
      <c r="AB2" s="343"/>
      <c r="AC2" s="344"/>
    </row>
    <row r="3" spans="2:29" ht="28.8" x14ac:dyDescent="0.3">
      <c r="B3" s="76" t="s">
        <v>14106</v>
      </c>
      <c r="C3" s="77" t="s">
        <v>14107</v>
      </c>
      <c r="D3" s="78" t="s">
        <v>14108</v>
      </c>
      <c r="E3" s="76" t="s">
        <v>14109</v>
      </c>
      <c r="F3" s="79" t="s">
        <v>14110</v>
      </c>
      <c r="G3" s="79" t="s">
        <v>14111</v>
      </c>
      <c r="H3" s="79" t="s">
        <v>14112</v>
      </c>
      <c r="I3" s="79" t="s">
        <v>14113</v>
      </c>
      <c r="J3" s="80" t="s">
        <v>14114</v>
      </c>
      <c r="K3" s="81" t="s">
        <v>14115</v>
      </c>
      <c r="L3" s="82" t="s">
        <v>14116</v>
      </c>
      <c r="M3" s="76" t="s">
        <v>14117</v>
      </c>
      <c r="N3" s="79" t="s">
        <v>14118</v>
      </c>
      <c r="O3" s="79" t="s">
        <v>14119</v>
      </c>
      <c r="P3" s="82" t="s">
        <v>14114</v>
      </c>
      <c r="Q3" s="83" t="s">
        <v>14115</v>
      </c>
      <c r="R3" s="84" t="s">
        <v>14116</v>
      </c>
      <c r="S3" s="85" t="s">
        <v>14120</v>
      </c>
      <c r="T3" s="85" t="s">
        <v>14121</v>
      </c>
      <c r="U3" s="85" t="s">
        <v>14117</v>
      </c>
      <c r="V3" s="86" t="s">
        <v>14115</v>
      </c>
      <c r="W3" s="86" t="s">
        <v>14116</v>
      </c>
      <c r="X3" s="85" t="s">
        <v>14122</v>
      </c>
      <c r="Y3" s="86" t="s">
        <v>14123</v>
      </c>
      <c r="Z3" s="86" t="s">
        <v>14124</v>
      </c>
      <c r="AA3" s="86" t="s">
        <v>14125</v>
      </c>
      <c r="AB3" s="86" t="s">
        <v>14121</v>
      </c>
      <c r="AC3" s="87" t="s">
        <v>14126</v>
      </c>
    </row>
    <row r="4" spans="2:29" x14ac:dyDescent="0.3">
      <c r="B4" s="88" t="s">
        <v>14127</v>
      </c>
      <c r="C4" s="89" t="s">
        <v>14128</v>
      </c>
      <c r="D4" s="90">
        <v>20.5</v>
      </c>
      <c r="E4" s="345">
        <v>3.22</v>
      </c>
      <c r="F4" s="331">
        <v>2.1800000000000002</v>
      </c>
      <c r="G4" s="331">
        <v>5.37</v>
      </c>
      <c r="H4" s="91">
        <v>7</v>
      </c>
      <c r="I4" s="7">
        <f>(1.19+2.41)+(0.96+0.5+1)+(1*H4)</f>
        <v>13.06</v>
      </c>
      <c r="J4" s="92">
        <f>(1+1.18)+(1.5+3.09+2.09)+(1.92*H4)</f>
        <v>22.299999999999997</v>
      </c>
      <c r="K4" s="93">
        <f>I4*D4</f>
        <v>267.73</v>
      </c>
      <c r="L4" s="94">
        <f>($E$4+$F$4*H4+$G$4)*D4</f>
        <v>488.92500000000001</v>
      </c>
      <c r="M4" s="345">
        <v>0.4</v>
      </c>
      <c r="N4" s="331">
        <v>66.38</v>
      </c>
      <c r="O4" s="348">
        <v>5.15</v>
      </c>
      <c r="P4" s="329">
        <v>24.47</v>
      </c>
      <c r="Q4" s="95">
        <f>2*((2*$N$4)+($M$4*$O$4))</f>
        <v>269.64</v>
      </c>
      <c r="R4" s="93">
        <f>$N$4*$M$4</f>
        <v>26.552</v>
      </c>
      <c r="S4" s="95">
        <f t="shared" ref="S4:S25" si="0">SQRT(((1.5*D4)-2.2)^2+(0.5*D4*0.5)^2)</f>
        <v>29.006346288355591</v>
      </c>
      <c r="T4" s="331">
        <f>1.5+AB4</f>
        <v>2.5</v>
      </c>
      <c r="U4" s="331">
        <f>M4</f>
        <v>0.4</v>
      </c>
      <c r="V4" s="96">
        <f>2*((2*S4*$T$4)+($T$4*$U$4))</f>
        <v>292.06346288355593</v>
      </c>
      <c r="W4" s="96">
        <f>S4*$T$4*$U$4*2</f>
        <v>58.012692576711189</v>
      </c>
      <c r="X4" s="95">
        <f t="shared" ref="X4:X25" si="1">D4</f>
        <v>20.5</v>
      </c>
      <c r="Y4" s="96">
        <f>X4*1.5</f>
        <v>30.75</v>
      </c>
      <c r="Z4" s="331">
        <v>2.2000000000000002</v>
      </c>
      <c r="AA4" s="96">
        <f>Y4-$Z$4</f>
        <v>28.55</v>
      </c>
      <c r="AB4" s="96">
        <v>1</v>
      </c>
      <c r="AC4" s="92">
        <f>AB4*((X4*$Z$4)+((X4+Y4)*0.5*AA4))</f>
        <v>776.69375000000002</v>
      </c>
    </row>
    <row r="5" spans="2:29" x14ac:dyDescent="0.3">
      <c r="B5" s="88" t="s">
        <v>14129</v>
      </c>
      <c r="C5" s="89" t="s">
        <v>14130</v>
      </c>
      <c r="D5" s="90">
        <v>14.8</v>
      </c>
      <c r="E5" s="346"/>
      <c r="F5" s="332"/>
      <c r="G5" s="332"/>
      <c r="H5" s="91">
        <v>7</v>
      </c>
      <c r="I5" s="7">
        <f t="shared" ref="I5:I25" si="2">(1.19+2.41)+(0.96+0.5+1)+(1*H5)</f>
        <v>13.06</v>
      </c>
      <c r="J5" s="92">
        <f t="shared" ref="J5:J25" si="3">(1+1.18)+(1.5+3.09+2.09)+(1.92*H5)</f>
        <v>22.299999999999997</v>
      </c>
      <c r="K5" s="93">
        <f t="shared" ref="K5:K25" si="4">I5*D5</f>
        <v>193.28800000000001</v>
      </c>
      <c r="L5" s="94">
        <f t="shared" ref="L5:L25" si="5">($E$4+$F$4*H5+$G$4)*D5</f>
        <v>352.98</v>
      </c>
      <c r="M5" s="346"/>
      <c r="N5" s="332"/>
      <c r="O5" s="348"/>
      <c r="P5" s="329"/>
      <c r="Q5" s="95">
        <f t="shared" ref="Q5:Q25" si="6">2*((2*$N$4)+($M$4*$O$4))</f>
        <v>269.64</v>
      </c>
      <c r="R5" s="93">
        <f t="shared" ref="R5:R25" si="7">$N$4*$M$4</f>
        <v>26.552</v>
      </c>
      <c r="S5" s="95">
        <f t="shared" si="0"/>
        <v>20.339370688396436</v>
      </c>
      <c r="T5" s="332"/>
      <c r="U5" s="332"/>
      <c r="V5" s="96">
        <f t="shared" ref="V5:V25" si="8">2*((2*S5*$T$4)+($T$4*$U$4))</f>
        <v>205.39370688396434</v>
      </c>
      <c r="W5" s="96">
        <f t="shared" ref="W5:W25" si="9">S5*$T$4*$U$4*2</f>
        <v>40.678741376792871</v>
      </c>
      <c r="X5" s="95">
        <f t="shared" si="1"/>
        <v>14.8</v>
      </c>
      <c r="Y5" s="96">
        <f t="shared" ref="Y5:Y25" si="10">X5*1.5</f>
        <v>22.200000000000003</v>
      </c>
      <c r="Z5" s="332"/>
      <c r="AA5" s="96">
        <f t="shared" ref="AA5:AA25" si="11">Y5-$Z$4</f>
        <v>20.000000000000004</v>
      </c>
      <c r="AB5" s="96">
        <v>1</v>
      </c>
      <c r="AC5" s="92">
        <f t="shared" ref="AC5:AC25" si="12">AB5*((X5*$Z$4)+((X5+Y5)*0.5*AA5))</f>
        <v>402.56000000000006</v>
      </c>
    </row>
    <row r="6" spans="2:29" x14ac:dyDescent="0.3">
      <c r="B6" s="88" t="s">
        <v>14131</v>
      </c>
      <c r="C6" s="89" t="s">
        <v>14132</v>
      </c>
      <c r="D6" s="90">
        <v>10.8</v>
      </c>
      <c r="E6" s="346"/>
      <c r="F6" s="332"/>
      <c r="G6" s="332"/>
      <c r="H6" s="91">
        <v>7</v>
      </c>
      <c r="I6" s="7">
        <f t="shared" si="2"/>
        <v>13.06</v>
      </c>
      <c r="J6" s="92">
        <f t="shared" si="3"/>
        <v>22.299999999999997</v>
      </c>
      <c r="K6" s="93">
        <f t="shared" si="4"/>
        <v>141.048</v>
      </c>
      <c r="L6" s="94">
        <f t="shared" si="5"/>
        <v>257.58000000000004</v>
      </c>
      <c r="M6" s="346"/>
      <c r="N6" s="332"/>
      <c r="O6" s="348"/>
      <c r="P6" s="329"/>
      <c r="Q6" s="95">
        <f t="shared" si="6"/>
        <v>269.64</v>
      </c>
      <c r="R6" s="93">
        <f t="shared" si="7"/>
        <v>26.552</v>
      </c>
      <c r="S6" s="95">
        <f t="shared" si="0"/>
        <v>14.257980221616247</v>
      </c>
      <c r="T6" s="332"/>
      <c r="U6" s="332"/>
      <c r="V6" s="96">
        <f t="shared" si="8"/>
        <v>144.57980221616248</v>
      </c>
      <c r="W6" s="96">
        <f t="shared" si="9"/>
        <v>28.515960443232498</v>
      </c>
      <c r="X6" s="95">
        <f t="shared" si="1"/>
        <v>10.8</v>
      </c>
      <c r="Y6" s="96">
        <f t="shared" si="10"/>
        <v>16.200000000000003</v>
      </c>
      <c r="Z6" s="332"/>
      <c r="AA6" s="96">
        <f t="shared" si="11"/>
        <v>14.000000000000004</v>
      </c>
      <c r="AB6" s="96">
        <v>1</v>
      </c>
      <c r="AC6" s="92">
        <f t="shared" si="12"/>
        <v>212.7600000000001</v>
      </c>
    </row>
    <row r="7" spans="2:29" x14ac:dyDescent="0.3">
      <c r="B7" s="88" t="s">
        <v>14133</v>
      </c>
      <c r="C7" s="89" t="s">
        <v>14134</v>
      </c>
      <c r="D7" s="90">
        <v>10.8</v>
      </c>
      <c r="E7" s="346"/>
      <c r="F7" s="332"/>
      <c r="G7" s="332"/>
      <c r="H7" s="91">
        <v>7</v>
      </c>
      <c r="I7" s="7">
        <f t="shared" si="2"/>
        <v>13.06</v>
      </c>
      <c r="J7" s="92">
        <f t="shared" si="3"/>
        <v>22.299999999999997</v>
      </c>
      <c r="K7" s="93">
        <f t="shared" si="4"/>
        <v>141.048</v>
      </c>
      <c r="L7" s="94">
        <f t="shared" si="5"/>
        <v>257.58000000000004</v>
      </c>
      <c r="M7" s="346"/>
      <c r="N7" s="332"/>
      <c r="O7" s="348"/>
      <c r="P7" s="329"/>
      <c r="Q7" s="95">
        <f t="shared" si="6"/>
        <v>269.64</v>
      </c>
      <c r="R7" s="93">
        <f t="shared" si="7"/>
        <v>26.552</v>
      </c>
      <c r="S7" s="95">
        <f t="shared" si="0"/>
        <v>14.257980221616247</v>
      </c>
      <c r="T7" s="332"/>
      <c r="U7" s="332"/>
      <c r="V7" s="96">
        <f t="shared" si="8"/>
        <v>144.57980221616248</v>
      </c>
      <c r="W7" s="96">
        <f t="shared" si="9"/>
        <v>28.515960443232498</v>
      </c>
      <c r="X7" s="95">
        <f t="shared" si="1"/>
        <v>10.8</v>
      </c>
      <c r="Y7" s="96">
        <f t="shared" si="10"/>
        <v>16.200000000000003</v>
      </c>
      <c r="Z7" s="332"/>
      <c r="AA7" s="96">
        <f t="shared" si="11"/>
        <v>14.000000000000004</v>
      </c>
      <c r="AB7" s="96">
        <v>1</v>
      </c>
      <c r="AC7" s="92">
        <f t="shared" si="12"/>
        <v>212.7600000000001</v>
      </c>
    </row>
    <row r="8" spans="2:29" x14ac:dyDescent="0.3">
      <c r="B8" s="88" t="s">
        <v>14135</v>
      </c>
      <c r="C8" s="89" t="s">
        <v>14136</v>
      </c>
      <c r="D8" s="90">
        <v>6.2</v>
      </c>
      <c r="E8" s="346"/>
      <c r="F8" s="332"/>
      <c r="G8" s="332"/>
      <c r="H8" s="91">
        <v>7</v>
      </c>
      <c r="I8" s="7">
        <f t="shared" si="2"/>
        <v>13.06</v>
      </c>
      <c r="J8" s="92">
        <f t="shared" si="3"/>
        <v>22.299999999999997</v>
      </c>
      <c r="K8" s="93">
        <f t="shared" si="4"/>
        <v>80.972000000000008</v>
      </c>
      <c r="L8" s="94">
        <f t="shared" si="5"/>
        <v>147.87</v>
      </c>
      <c r="M8" s="346"/>
      <c r="N8" s="332"/>
      <c r="O8" s="348"/>
      <c r="P8" s="329"/>
      <c r="Q8" s="95">
        <f t="shared" si="6"/>
        <v>269.64</v>
      </c>
      <c r="R8" s="93">
        <f t="shared" si="7"/>
        <v>26.552</v>
      </c>
      <c r="S8" s="95">
        <f t="shared" si="0"/>
        <v>7.2672209268743178</v>
      </c>
      <c r="T8" s="332"/>
      <c r="U8" s="332"/>
      <c r="V8" s="96">
        <f t="shared" si="8"/>
        <v>74.672209268743174</v>
      </c>
      <c r="W8" s="96">
        <f t="shared" si="9"/>
        <v>14.534441853748636</v>
      </c>
      <c r="X8" s="95">
        <f t="shared" si="1"/>
        <v>6.2</v>
      </c>
      <c r="Y8" s="96">
        <f t="shared" si="10"/>
        <v>9.3000000000000007</v>
      </c>
      <c r="Z8" s="332"/>
      <c r="AA8" s="96">
        <f t="shared" si="11"/>
        <v>7.1000000000000005</v>
      </c>
      <c r="AB8" s="96">
        <v>1</v>
      </c>
      <c r="AC8" s="92">
        <f t="shared" si="12"/>
        <v>68.665000000000006</v>
      </c>
    </row>
    <row r="9" spans="2:29" x14ac:dyDescent="0.3">
      <c r="B9" s="264" t="s">
        <v>14137</v>
      </c>
      <c r="C9" s="265" t="s">
        <v>14138</v>
      </c>
      <c r="D9" s="266"/>
      <c r="E9" s="346"/>
      <c r="F9" s="332"/>
      <c r="G9" s="332"/>
      <c r="H9" s="91">
        <v>7</v>
      </c>
      <c r="I9" s="7">
        <f t="shared" si="2"/>
        <v>13.06</v>
      </c>
      <c r="J9" s="92">
        <f t="shared" si="3"/>
        <v>22.299999999999997</v>
      </c>
      <c r="K9" s="267"/>
      <c r="L9" s="268"/>
      <c r="M9" s="346"/>
      <c r="N9" s="332"/>
      <c r="O9" s="348"/>
      <c r="P9" s="329"/>
      <c r="Q9" s="269"/>
      <c r="R9" s="267"/>
      <c r="S9" s="269" t="s">
        <v>14624</v>
      </c>
      <c r="T9" s="332"/>
      <c r="U9" s="332"/>
      <c r="V9" s="270"/>
      <c r="W9" s="270"/>
      <c r="X9" s="95">
        <f t="shared" si="1"/>
        <v>0</v>
      </c>
      <c r="Y9" s="96">
        <f t="shared" si="10"/>
        <v>0</v>
      </c>
      <c r="Z9" s="332"/>
      <c r="AA9" s="96">
        <f t="shared" si="11"/>
        <v>-2.2000000000000002</v>
      </c>
      <c r="AB9" s="270"/>
      <c r="AC9" s="271"/>
    </row>
    <row r="10" spans="2:29" x14ac:dyDescent="0.3">
      <c r="B10" s="88" t="s">
        <v>14127</v>
      </c>
      <c r="C10" s="89" t="s">
        <v>14139</v>
      </c>
      <c r="D10" s="90">
        <v>24.9</v>
      </c>
      <c r="E10" s="346"/>
      <c r="F10" s="332"/>
      <c r="G10" s="332"/>
      <c r="H10" s="91">
        <v>7</v>
      </c>
      <c r="I10" s="7">
        <f t="shared" si="2"/>
        <v>13.06</v>
      </c>
      <c r="J10" s="92">
        <f t="shared" si="3"/>
        <v>22.299999999999997</v>
      </c>
      <c r="K10" s="93">
        <f t="shared" si="4"/>
        <v>325.19400000000002</v>
      </c>
      <c r="L10" s="94">
        <f t="shared" si="5"/>
        <v>593.86500000000001</v>
      </c>
      <c r="M10" s="346"/>
      <c r="N10" s="332"/>
      <c r="O10" s="348"/>
      <c r="P10" s="329"/>
      <c r="Q10" s="95">
        <f t="shared" si="6"/>
        <v>269.64</v>
      </c>
      <c r="R10" s="93">
        <f t="shared" si="7"/>
        <v>26.552</v>
      </c>
      <c r="S10" s="95">
        <f t="shared" si="0"/>
        <v>35.696962405784603</v>
      </c>
      <c r="T10" s="332"/>
      <c r="U10" s="332"/>
      <c r="V10" s="96">
        <f t="shared" si="8"/>
        <v>358.96962405784603</v>
      </c>
      <c r="W10" s="96">
        <f t="shared" si="9"/>
        <v>71.393924811569207</v>
      </c>
      <c r="X10" s="95">
        <f t="shared" si="1"/>
        <v>24.9</v>
      </c>
      <c r="Y10" s="96">
        <f t="shared" si="10"/>
        <v>37.349999999999994</v>
      </c>
      <c r="Z10" s="332"/>
      <c r="AA10" s="96">
        <f t="shared" si="11"/>
        <v>35.149999999999991</v>
      </c>
      <c r="AB10" s="96">
        <v>1</v>
      </c>
      <c r="AC10" s="92">
        <f t="shared" si="12"/>
        <v>1148.8237499999996</v>
      </c>
    </row>
    <row r="11" spans="2:29" x14ac:dyDescent="0.3">
      <c r="B11" s="88" t="s">
        <v>14129</v>
      </c>
      <c r="C11" s="89" t="s">
        <v>14140</v>
      </c>
      <c r="D11" s="90">
        <v>17.8</v>
      </c>
      <c r="E11" s="346"/>
      <c r="F11" s="332"/>
      <c r="G11" s="332"/>
      <c r="H11" s="91">
        <v>7</v>
      </c>
      <c r="I11" s="7">
        <f t="shared" si="2"/>
        <v>13.06</v>
      </c>
      <c r="J11" s="92">
        <f t="shared" si="3"/>
        <v>22.299999999999997</v>
      </c>
      <c r="K11" s="93">
        <f t="shared" si="4"/>
        <v>232.46800000000002</v>
      </c>
      <c r="L11" s="94">
        <f t="shared" si="5"/>
        <v>424.53000000000003</v>
      </c>
      <c r="M11" s="346"/>
      <c r="N11" s="332"/>
      <c r="O11" s="348"/>
      <c r="P11" s="329"/>
      <c r="Q11" s="95">
        <f t="shared" si="6"/>
        <v>269.64</v>
      </c>
      <c r="R11" s="93">
        <f t="shared" si="7"/>
        <v>26.552</v>
      </c>
      <c r="S11" s="95">
        <f t="shared" si="0"/>
        <v>24.900853399030328</v>
      </c>
      <c r="T11" s="332"/>
      <c r="U11" s="332"/>
      <c r="V11" s="96">
        <f t="shared" si="8"/>
        <v>251.00853399030328</v>
      </c>
      <c r="W11" s="96">
        <f t="shared" si="9"/>
        <v>49.801706798060657</v>
      </c>
      <c r="X11" s="95">
        <f t="shared" si="1"/>
        <v>17.8</v>
      </c>
      <c r="Y11" s="96">
        <f t="shared" si="10"/>
        <v>26.700000000000003</v>
      </c>
      <c r="Z11" s="332"/>
      <c r="AA11" s="96">
        <f t="shared" si="11"/>
        <v>24.500000000000004</v>
      </c>
      <c r="AB11" s="96">
        <v>1</v>
      </c>
      <c r="AC11" s="92">
        <f t="shared" si="12"/>
        <v>584.28500000000008</v>
      </c>
    </row>
    <row r="12" spans="2:29" x14ac:dyDescent="0.3">
      <c r="B12" s="88" t="s">
        <v>14131</v>
      </c>
      <c r="C12" s="89" t="s">
        <v>14141</v>
      </c>
      <c r="D12" s="90">
        <v>21.2</v>
      </c>
      <c r="E12" s="346"/>
      <c r="F12" s="332"/>
      <c r="G12" s="332"/>
      <c r="H12" s="91">
        <v>7</v>
      </c>
      <c r="I12" s="7">
        <f t="shared" si="2"/>
        <v>13.06</v>
      </c>
      <c r="J12" s="92">
        <f t="shared" si="3"/>
        <v>22.299999999999997</v>
      </c>
      <c r="K12" s="93">
        <f t="shared" si="4"/>
        <v>276.87200000000001</v>
      </c>
      <c r="L12" s="94">
        <f t="shared" si="5"/>
        <v>505.62</v>
      </c>
      <c r="M12" s="346"/>
      <c r="N12" s="332"/>
      <c r="O12" s="348"/>
      <c r="P12" s="329"/>
      <c r="Q12" s="95">
        <f t="shared" si="6"/>
        <v>269.64</v>
      </c>
      <c r="R12" s="93">
        <f t="shared" si="7"/>
        <v>26.552</v>
      </c>
      <c r="S12" s="95">
        <f t="shared" si="0"/>
        <v>30.070749907509786</v>
      </c>
      <c r="T12" s="332"/>
      <c r="U12" s="332"/>
      <c r="V12" s="96">
        <f t="shared" si="8"/>
        <v>302.70749907509787</v>
      </c>
      <c r="W12" s="96">
        <f t="shared" si="9"/>
        <v>60.141499815019579</v>
      </c>
      <c r="X12" s="95">
        <f t="shared" si="1"/>
        <v>21.2</v>
      </c>
      <c r="Y12" s="96">
        <f t="shared" si="10"/>
        <v>31.799999999999997</v>
      </c>
      <c r="Z12" s="332"/>
      <c r="AA12" s="96">
        <f t="shared" si="11"/>
        <v>29.599999999999998</v>
      </c>
      <c r="AB12" s="96">
        <v>1</v>
      </c>
      <c r="AC12" s="92">
        <f t="shared" si="12"/>
        <v>831.04</v>
      </c>
    </row>
    <row r="13" spans="2:29" x14ac:dyDescent="0.3">
      <c r="B13" s="88" t="s">
        <v>14133</v>
      </c>
      <c r="C13" s="89" t="s">
        <v>14142</v>
      </c>
      <c r="D13" s="90">
        <v>15.1</v>
      </c>
      <c r="E13" s="346"/>
      <c r="F13" s="332"/>
      <c r="G13" s="332"/>
      <c r="H13" s="91">
        <v>7</v>
      </c>
      <c r="I13" s="7">
        <f t="shared" si="2"/>
        <v>13.06</v>
      </c>
      <c r="J13" s="92">
        <f t="shared" si="3"/>
        <v>22.299999999999997</v>
      </c>
      <c r="K13" s="93">
        <f t="shared" si="4"/>
        <v>197.20599999999999</v>
      </c>
      <c r="L13" s="94">
        <f t="shared" si="5"/>
        <v>360.13499999999999</v>
      </c>
      <c r="M13" s="346"/>
      <c r="N13" s="332"/>
      <c r="O13" s="348"/>
      <c r="P13" s="329"/>
      <c r="Q13" s="95">
        <f t="shared" si="6"/>
        <v>269.64</v>
      </c>
      <c r="R13" s="93">
        <f t="shared" si="7"/>
        <v>26.552</v>
      </c>
      <c r="S13" s="95">
        <f t="shared" si="0"/>
        <v>20.795507327305099</v>
      </c>
      <c r="T13" s="332"/>
      <c r="U13" s="332"/>
      <c r="V13" s="96">
        <f t="shared" si="8"/>
        <v>209.955073273051</v>
      </c>
      <c r="W13" s="96">
        <f t="shared" si="9"/>
        <v>41.591014654610206</v>
      </c>
      <c r="X13" s="95">
        <f t="shared" si="1"/>
        <v>15.1</v>
      </c>
      <c r="Y13" s="96">
        <f t="shared" si="10"/>
        <v>22.65</v>
      </c>
      <c r="Z13" s="332"/>
      <c r="AA13" s="96">
        <f t="shared" si="11"/>
        <v>20.45</v>
      </c>
      <c r="AB13" s="96">
        <v>1</v>
      </c>
      <c r="AC13" s="92">
        <f t="shared" si="12"/>
        <v>419.21375</v>
      </c>
    </row>
    <row r="14" spans="2:29" x14ac:dyDescent="0.3">
      <c r="B14" s="88" t="s">
        <v>14135</v>
      </c>
      <c r="C14" s="89" t="s">
        <v>14143</v>
      </c>
      <c r="D14" s="90">
        <v>8.6999999999999993</v>
      </c>
      <c r="E14" s="346"/>
      <c r="F14" s="332"/>
      <c r="G14" s="332"/>
      <c r="H14" s="91">
        <v>7</v>
      </c>
      <c r="I14" s="7">
        <f t="shared" si="2"/>
        <v>13.06</v>
      </c>
      <c r="J14" s="92">
        <f t="shared" si="3"/>
        <v>22.299999999999997</v>
      </c>
      <c r="K14" s="93">
        <f t="shared" si="4"/>
        <v>113.622</v>
      </c>
      <c r="L14" s="94">
        <f t="shared" si="5"/>
        <v>207.495</v>
      </c>
      <c r="M14" s="346"/>
      <c r="N14" s="332"/>
      <c r="O14" s="348"/>
      <c r="P14" s="329"/>
      <c r="Q14" s="95">
        <f t="shared" si="6"/>
        <v>269.64</v>
      </c>
      <c r="R14" s="93">
        <f t="shared" si="7"/>
        <v>26.552</v>
      </c>
      <c r="S14" s="95">
        <f t="shared" si="0"/>
        <v>11.065854011326914</v>
      </c>
      <c r="T14" s="332"/>
      <c r="U14" s="332"/>
      <c r="V14" s="96">
        <f t="shared" si="8"/>
        <v>112.65854011326914</v>
      </c>
      <c r="W14" s="96">
        <f t="shared" si="9"/>
        <v>22.131708022653829</v>
      </c>
      <c r="X14" s="95">
        <f t="shared" si="1"/>
        <v>8.6999999999999993</v>
      </c>
      <c r="Y14" s="96">
        <f t="shared" si="10"/>
        <v>13.049999999999999</v>
      </c>
      <c r="Z14" s="332"/>
      <c r="AA14" s="96">
        <f t="shared" si="11"/>
        <v>10.849999999999998</v>
      </c>
      <c r="AB14" s="96">
        <v>1</v>
      </c>
      <c r="AC14" s="92">
        <f t="shared" si="12"/>
        <v>137.13374999999996</v>
      </c>
    </row>
    <row r="15" spans="2:29" x14ac:dyDescent="0.3">
      <c r="B15" s="264" t="s">
        <v>14137</v>
      </c>
      <c r="C15" s="265" t="s">
        <v>14144</v>
      </c>
      <c r="D15" s="266"/>
      <c r="E15" s="346"/>
      <c r="F15" s="332"/>
      <c r="G15" s="332"/>
      <c r="H15" s="91">
        <v>7</v>
      </c>
      <c r="I15" s="7">
        <f t="shared" si="2"/>
        <v>13.06</v>
      </c>
      <c r="J15" s="92">
        <f t="shared" si="3"/>
        <v>22.299999999999997</v>
      </c>
      <c r="K15" s="267"/>
      <c r="L15" s="268"/>
      <c r="M15" s="346"/>
      <c r="N15" s="332"/>
      <c r="O15" s="348"/>
      <c r="P15" s="329"/>
      <c r="Q15" s="269"/>
      <c r="R15" s="267"/>
      <c r="S15" s="269" t="s">
        <v>14624</v>
      </c>
      <c r="T15" s="332"/>
      <c r="U15" s="332"/>
      <c r="V15" s="270"/>
      <c r="W15" s="270"/>
      <c r="X15" s="95">
        <f t="shared" si="1"/>
        <v>0</v>
      </c>
      <c r="Y15" s="96">
        <f t="shared" si="10"/>
        <v>0</v>
      </c>
      <c r="Z15" s="332"/>
      <c r="AA15" s="96">
        <f t="shared" si="11"/>
        <v>-2.2000000000000002</v>
      </c>
      <c r="AB15" s="270"/>
      <c r="AC15" s="271"/>
    </row>
    <row r="16" spans="2:29" x14ac:dyDescent="0.3">
      <c r="B16" s="88" t="s">
        <v>14145</v>
      </c>
      <c r="C16" s="89"/>
      <c r="D16" s="90">
        <v>4.8</v>
      </c>
      <c r="E16" s="346"/>
      <c r="F16" s="332"/>
      <c r="G16" s="332"/>
      <c r="H16" s="91">
        <v>7</v>
      </c>
      <c r="I16" s="7">
        <f t="shared" si="2"/>
        <v>13.06</v>
      </c>
      <c r="J16" s="92">
        <f t="shared" si="3"/>
        <v>22.299999999999997</v>
      </c>
      <c r="K16" s="93">
        <f t="shared" si="4"/>
        <v>62.688000000000002</v>
      </c>
      <c r="L16" s="94">
        <f t="shared" si="5"/>
        <v>114.48</v>
      </c>
      <c r="M16" s="346"/>
      <c r="N16" s="332"/>
      <c r="O16" s="348"/>
      <c r="P16" s="329"/>
      <c r="Q16" s="95">
        <f t="shared" si="6"/>
        <v>269.64</v>
      </c>
      <c r="R16" s="93">
        <f t="shared" si="7"/>
        <v>26.552</v>
      </c>
      <c r="S16" s="95">
        <f t="shared" si="0"/>
        <v>5.1419840528729761</v>
      </c>
      <c r="T16" s="332"/>
      <c r="U16" s="332"/>
      <c r="V16" s="96">
        <f t="shared" si="8"/>
        <v>53.419840528729765</v>
      </c>
      <c r="W16" s="96">
        <f t="shared" si="9"/>
        <v>10.283968105745954</v>
      </c>
      <c r="X16" s="95">
        <f t="shared" si="1"/>
        <v>4.8</v>
      </c>
      <c r="Y16" s="96">
        <f t="shared" si="10"/>
        <v>7.1999999999999993</v>
      </c>
      <c r="Z16" s="332"/>
      <c r="AA16" s="96">
        <f t="shared" si="11"/>
        <v>4.9999999999999991</v>
      </c>
      <c r="AB16" s="96">
        <v>1</v>
      </c>
      <c r="AC16" s="92">
        <f t="shared" si="12"/>
        <v>40.559999999999995</v>
      </c>
    </row>
    <row r="17" spans="2:29" x14ac:dyDescent="0.3">
      <c r="B17" s="88" t="s">
        <v>14127</v>
      </c>
      <c r="C17" s="89" t="s">
        <v>14146</v>
      </c>
      <c r="D17" s="90">
        <v>33</v>
      </c>
      <c r="E17" s="346"/>
      <c r="F17" s="332"/>
      <c r="G17" s="332"/>
      <c r="H17" s="91">
        <v>7</v>
      </c>
      <c r="I17" s="7">
        <f t="shared" si="2"/>
        <v>13.06</v>
      </c>
      <c r="J17" s="92">
        <f t="shared" si="3"/>
        <v>22.299999999999997</v>
      </c>
      <c r="K17" s="93">
        <f t="shared" si="4"/>
        <v>430.98</v>
      </c>
      <c r="L17" s="94">
        <f t="shared" si="5"/>
        <v>787.05000000000007</v>
      </c>
      <c r="M17" s="346"/>
      <c r="N17" s="332"/>
      <c r="O17" s="348"/>
      <c r="P17" s="329"/>
      <c r="Q17" s="95">
        <f t="shared" si="6"/>
        <v>269.64</v>
      </c>
      <c r="R17" s="93">
        <f t="shared" si="7"/>
        <v>26.552</v>
      </c>
      <c r="S17" s="95">
        <f t="shared" si="0"/>
        <v>48.014086474700314</v>
      </c>
      <c r="T17" s="332"/>
      <c r="U17" s="332"/>
      <c r="V17" s="96">
        <f t="shared" si="8"/>
        <v>482.14086474700315</v>
      </c>
      <c r="W17" s="96">
        <f t="shared" si="9"/>
        <v>96.028172949400641</v>
      </c>
      <c r="X17" s="95">
        <f t="shared" si="1"/>
        <v>33</v>
      </c>
      <c r="Y17" s="96">
        <f t="shared" si="10"/>
        <v>49.5</v>
      </c>
      <c r="Z17" s="332"/>
      <c r="AA17" s="96">
        <f t="shared" si="11"/>
        <v>47.3</v>
      </c>
      <c r="AB17" s="96">
        <v>1</v>
      </c>
      <c r="AC17" s="92">
        <f t="shared" si="12"/>
        <v>2023.7249999999997</v>
      </c>
    </row>
    <row r="18" spans="2:29" x14ac:dyDescent="0.3">
      <c r="B18" s="88" t="s">
        <v>14129</v>
      </c>
      <c r="C18" s="89" t="s">
        <v>14147</v>
      </c>
      <c r="D18" s="90">
        <v>16.7</v>
      </c>
      <c r="E18" s="346"/>
      <c r="F18" s="332"/>
      <c r="G18" s="332"/>
      <c r="H18" s="91">
        <v>7</v>
      </c>
      <c r="I18" s="7">
        <f t="shared" si="2"/>
        <v>13.06</v>
      </c>
      <c r="J18" s="92">
        <f t="shared" si="3"/>
        <v>22.299999999999997</v>
      </c>
      <c r="K18" s="93">
        <f t="shared" si="4"/>
        <v>218.102</v>
      </c>
      <c r="L18" s="94">
        <f t="shared" si="5"/>
        <v>398.29500000000002</v>
      </c>
      <c r="M18" s="346"/>
      <c r="N18" s="332"/>
      <c r="O18" s="348"/>
      <c r="P18" s="329"/>
      <c r="Q18" s="95">
        <f t="shared" si="6"/>
        <v>269.64</v>
      </c>
      <c r="R18" s="93">
        <f t="shared" si="7"/>
        <v>26.552</v>
      </c>
      <c r="S18" s="95">
        <f t="shared" si="0"/>
        <v>23.228282868089924</v>
      </c>
      <c r="T18" s="332"/>
      <c r="U18" s="332"/>
      <c r="V18" s="96">
        <f t="shared" si="8"/>
        <v>234.28282868089923</v>
      </c>
      <c r="W18" s="96">
        <f t="shared" si="9"/>
        <v>46.456565736179847</v>
      </c>
      <c r="X18" s="95">
        <f t="shared" si="1"/>
        <v>16.7</v>
      </c>
      <c r="Y18" s="96">
        <f t="shared" si="10"/>
        <v>25.049999999999997</v>
      </c>
      <c r="Z18" s="332"/>
      <c r="AA18" s="96">
        <f t="shared" si="11"/>
        <v>22.849999999999998</v>
      </c>
      <c r="AB18" s="96">
        <v>1</v>
      </c>
      <c r="AC18" s="92">
        <f t="shared" si="12"/>
        <v>513.73374999999999</v>
      </c>
    </row>
    <row r="19" spans="2:29" x14ac:dyDescent="0.3">
      <c r="B19" s="88" t="s">
        <v>14131</v>
      </c>
      <c r="C19" s="89" t="s">
        <v>14148</v>
      </c>
      <c r="D19" s="90">
        <v>18.5</v>
      </c>
      <c r="E19" s="346"/>
      <c r="F19" s="332"/>
      <c r="G19" s="332"/>
      <c r="H19" s="91">
        <v>7</v>
      </c>
      <c r="I19" s="7">
        <f t="shared" si="2"/>
        <v>13.06</v>
      </c>
      <c r="J19" s="92">
        <f t="shared" si="3"/>
        <v>22.299999999999997</v>
      </c>
      <c r="K19" s="93">
        <f t="shared" si="4"/>
        <v>241.61</v>
      </c>
      <c r="L19" s="94">
        <f t="shared" si="5"/>
        <v>441.22500000000002</v>
      </c>
      <c r="M19" s="346"/>
      <c r="N19" s="332"/>
      <c r="O19" s="348"/>
      <c r="P19" s="329"/>
      <c r="Q19" s="95">
        <f t="shared" si="6"/>
        <v>269.64</v>
      </c>
      <c r="R19" s="93">
        <f t="shared" si="7"/>
        <v>26.552</v>
      </c>
      <c r="S19" s="95">
        <f t="shared" si="0"/>
        <v>25.96522915362004</v>
      </c>
      <c r="T19" s="332"/>
      <c r="U19" s="332"/>
      <c r="V19" s="96">
        <f t="shared" si="8"/>
        <v>261.65229153620038</v>
      </c>
      <c r="W19" s="96">
        <f t="shared" si="9"/>
        <v>51.93045830724008</v>
      </c>
      <c r="X19" s="95">
        <f t="shared" si="1"/>
        <v>18.5</v>
      </c>
      <c r="Y19" s="96">
        <f t="shared" si="10"/>
        <v>27.75</v>
      </c>
      <c r="Z19" s="332"/>
      <c r="AA19" s="96">
        <f t="shared" si="11"/>
        <v>25.55</v>
      </c>
      <c r="AB19" s="96">
        <v>1</v>
      </c>
      <c r="AC19" s="92">
        <f t="shared" si="12"/>
        <v>631.54375000000005</v>
      </c>
    </row>
    <row r="20" spans="2:29" x14ac:dyDescent="0.3">
      <c r="B20" s="88" t="s">
        <v>14133</v>
      </c>
      <c r="C20" s="89" t="s">
        <v>14149</v>
      </c>
      <c r="D20" s="90">
        <v>11.5</v>
      </c>
      <c r="E20" s="346"/>
      <c r="F20" s="332"/>
      <c r="G20" s="332"/>
      <c r="H20" s="91">
        <v>7</v>
      </c>
      <c r="I20" s="7">
        <f t="shared" si="2"/>
        <v>13.06</v>
      </c>
      <c r="J20" s="92">
        <f t="shared" si="3"/>
        <v>22.299999999999997</v>
      </c>
      <c r="K20" s="93">
        <f t="shared" si="4"/>
        <v>150.19</v>
      </c>
      <c r="L20" s="94">
        <f t="shared" si="5"/>
        <v>274.27500000000003</v>
      </c>
      <c r="M20" s="346"/>
      <c r="N20" s="332"/>
      <c r="O20" s="348"/>
      <c r="P20" s="329"/>
      <c r="Q20" s="95">
        <f t="shared" si="6"/>
        <v>269.64</v>
      </c>
      <c r="R20" s="93">
        <f t="shared" si="7"/>
        <v>26.552</v>
      </c>
      <c r="S20" s="95">
        <f t="shared" si="0"/>
        <v>15.322144921648537</v>
      </c>
      <c r="T20" s="332"/>
      <c r="U20" s="332"/>
      <c r="V20" s="96">
        <f t="shared" si="8"/>
        <v>155.22144921648538</v>
      </c>
      <c r="W20" s="96">
        <f t="shared" si="9"/>
        <v>30.644289843297077</v>
      </c>
      <c r="X20" s="95">
        <f t="shared" si="1"/>
        <v>11.5</v>
      </c>
      <c r="Y20" s="96">
        <f t="shared" si="10"/>
        <v>17.25</v>
      </c>
      <c r="Z20" s="332"/>
      <c r="AA20" s="96">
        <f t="shared" si="11"/>
        <v>15.05</v>
      </c>
      <c r="AB20" s="96">
        <v>1</v>
      </c>
      <c r="AC20" s="92">
        <f t="shared" si="12"/>
        <v>241.64375000000001</v>
      </c>
    </row>
    <row r="21" spans="2:29" x14ac:dyDescent="0.3">
      <c r="B21" s="88" t="s">
        <v>14135</v>
      </c>
      <c r="C21" s="89" t="s">
        <v>14150</v>
      </c>
      <c r="D21" s="90">
        <v>8.3000000000000007</v>
      </c>
      <c r="E21" s="346"/>
      <c r="F21" s="332"/>
      <c r="G21" s="332"/>
      <c r="H21" s="91">
        <v>7</v>
      </c>
      <c r="I21" s="7">
        <f t="shared" si="2"/>
        <v>13.06</v>
      </c>
      <c r="J21" s="92">
        <f t="shared" si="3"/>
        <v>22.299999999999997</v>
      </c>
      <c r="K21" s="93">
        <f t="shared" si="4"/>
        <v>108.39800000000001</v>
      </c>
      <c r="L21" s="94">
        <f t="shared" si="5"/>
        <v>197.95500000000004</v>
      </c>
      <c r="M21" s="346"/>
      <c r="N21" s="332"/>
      <c r="O21" s="348"/>
      <c r="P21" s="329"/>
      <c r="Q21" s="95">
        <f t="shared" si="6"/>
        <v>269.64</v>
      </c>
      <c r="R21" s="93">
        <f t="shared" si="7"/>
        <v>26.552</v>
      </c>
      <c r="S21" s="95">
        <f t="shared" si="0"/>
        <v>10.45792163864312</v>
      </c>
      <c r="T21" s="332"/>
      <c r="U21" s="332"/>
      <c r="V21" s="96">
        <f t="shared" si="8"/>
        <v>106.5792163864312</v>
      </c>
      <c r="W21" s="96">
        <f t="shared" si="9"/>
        <v>20.915843277286243</v>
      </c>
      <c r="X21" s="95">
        <f t="shared" si="1"/>
        <v>8.3000000000000007</v>
      </c>
      <c r="Y21" s="96">
        <f t="shared" si="10"/>
        <v>12.450000000000001</v>
      </c>
      <c r="Z21" s="332"/>
      <c r="AA21" s="96">
        <f t="shared" si="11"/>
        <v>10.25</v>
      </c>
      <c r="AB21" s="96">
        <v>1</v>
      </c>
      <c r="AC21" s="92">
        <f t="shared" si="12"/>
        <v>124.60375000000001</v>
      </c>
    </row>
    <row r="22" spans="2:29" x14ac:dyDescent="0.3">
      <c r="B22" s="88" t="s">
        <v>14137</v>
      </c>
      <c r="C22" s="89" t="s">
        <v>14151</v>
      </c>
      <c r="D22" s="90">
        <v>3.1</v>
      </c>
      <c r="E22" s="346"/>
      <c r="F22" s="332"/>
      <c r="G22" s="332"/>
      <c r="H22" s="91">
        <v>7</v>
      </c>
      <c r="I22" s="7">
        <f t="shared" si="2"/>
        <v>13.06</v>
      </c>
      <c r="J22" s="92">
        <f t="shared" si="3"/>
        <v>22.299999999999997</v>
      </c>
      <c r="K22" s="93">
        <f t="shared" si="4"/>
        <v>40.486000000000004</v>
      </c>
      <c r="L22" s="94">
        <f t="shared" si="5"/>
        <v>73.935000000000002</v>
      </c>
      <c r="M22" s="346"/>
      <c r="N22" s="332"/>
      <c r="O22" s="348"/>
      <c r="P22" s="329"/>
      <c r="Q22" s="95">
        <f t="shared" si="6"/>
        <v>269.64</v>
      </c>
      <c r="R22" s="93">
        <f t="shared" si="7"/>
        <v>26.552</v>
      </c>
      <c r="S22" s="95">
        <f t="shared" si="0"/>
        <v>2.5696546460565477</v>
      </c>
      <c r="T22" s="332"/>
      <c r="U22" s="332"/>
      <c r="V22" s="96">
        <f t="shared" si="8"/>
        <v>27.696546460565479</v>
      </c>
      <c r="W22" s="96">
        <f t="shared" si="9"/>
        <v>5.1393092921130963</v>
      </c>
      <c r="X22" s="95">
        <f t="shared" si="1"/>
        <v>3.1</v>
      </c>
      <c r="Y22" s="96">
        <f t="shared" si="10"/>
        <v>4.6500000000000004</v>
      </c>
      <c r="Z22" s="332"/>
      <c r="AA22" s="96">
        <f t="shared" si="11"/>
        <v>2.4500000000000002</v>
      </c>
      <c r="AB22" s="96">
        <v>1</v>
      </c>
      <c r="AC22" s="92">
        <f t="shared" si="12"/>
        <v>16.313750000000002</v>
      </c>
    </row>
    <row r="23" spans="2:29" x14ac:dyDescent="0.3">
      <c r="B23" s="88" t="s">
        <v>14152</v>
      </c>
      <c r="C23" s="89" t="s">
        <v>14153</v>
      </c>
      <c r="D23" s="90">
        <v>14.4</v>
      </c>
      <c r="E23" s="346"/>
      <c r="F23" s="332"/>
      <c r="G23" s="332"/>
      <c r="H23" s="91">
        <v>7</v>
      </c>
      <c r="I23" s="7">
        <f t="shared" si="2"/>
        <v>13.06</v>
      </c>
      <c r="J23" s="92">
        <f t="shared" si="3"/>
        <v>22.299999999999997</v>
      </c>
      <c r="K23" s="93">
        <f t="shared" si="4"/>
        <v>188.06400000000002</v>
      </c>
      <c r="L23" s="94">
        <f t="shared" si="5"/>
        <v>343.44000000000005</v>
      </c>
      <c r="M23" s="346"/>
      <c r="N23" s="332"/>
      <c r="O23" s="348"/>
      <c r="P23" s="329"/>
      <c r="Q23" s="95">
        <f t="shared" si="6"/>
        <v>269.64</v>
      </c>
      <c r="R23" s="93">
        <f t="shared" si="7"/>
        <v>26.552</v>
      </c>
      <c r="S23" s="95">
        <f t="shared" si="0"/>
        <v>19.73119357768303</v>
      </c>
      <c r="T23" s="332"/>
      <c r="U23" s="332"/>
      <c r="V23" s="96">
        <f t="shared" si="8"/>
        <v>199.3119357768303</v>
      </c>
      <c r="W23" s="96">
        <f t="shared" si="9"/>
        <v>39.462387155366059</v>
      </c>
      <c r="X23" s="95">
        <f t="shared" si="1"/>
        <v>14.4</v>
      </c>
      <c r="Y23" s="96">
        <f t="shared" si="10"/>
        <v>21.6</v>
      </c>
      <c r="Z23" s="332"/>
      <c r="AA23" s="96">
        <f t="shared" si="11"/>
        <v>19.400000000000002</v>
      </c>
      <c r="AB23" s="96">
        <v>1</v>
      </c>
      <c r="AC23" s="92">
        <f t="shared" si="12"/>
        <v>380.88000000000005</v>
      </c>
    </row>
    <row r="24" spans="2:29" x14ac:dyDescent="0.3">
      <c r="B24" s="88" t="s">
        <v>14154</v>
      </c>
      <c r="C24" s="89" t="s">
        <v>14155</v>
      </c>
      <c r="D24" s="90">
        <v>6.2</v>
      </c>
      <c r="E24" s="346"/>
      <c r="F24" s="332"/>
      <c r="G24" s="332"/>
      <c r="H24" s="91">
        <v>7</v>
      </c>
      <c r="I24" s="7">
        <f t="shared" si="2"/>
        <v>13.06</v>
      </c>
      <c r="J24" s="92">
        <f t="shared" si="3"/>
        <v>22.299999999999997</v>
      </c>
      <c r="K24" s="93">
        <f t="shared" si="4"/>
        <v>80.972000000000008</v>
      </c>
      <c r="L24" s="94">
        <f t="shared" si="5"/>
        <v>147.87</v>
      </c>
      <c r="M24" s="346"/>
      <c r="N24" s="332"/>
      <c r="O24" s="348"/>
      <c r="P24" s="329"/>
      <c r="Q24" s="95">
        <f t="shared" si="6"/>
        <v>269.64</v>
      </c>
      <c r="R24" s="93">
        <f t="shared" si="7"/>
        <v>26.552</v>
      </c>
      <c r="S24" s="95">
        <f t="shared" si="0"/>
        <v>7.2672209268743178</v>
      </c>
      <c r="T24" s="332"/>
      <c r="U24" s="332"/>
      <c r="V24" s="96">
        <f t="shared" si="8"/>
        <v>74.672209268743174</v>
      </c>
      <c r="W24" s="96">
        <f t="shared" si="9"/>
        <v>14.534441853748636</v>
      </c>
      <c r="X24" s="95">
        <f t="shared" si="1"/>
        <v>6.2</v>
      </c>
      <c r="Y24" s="96">
        <f t="shared" si="10"/>
        <v>9.3000000000000007</v>
      </c>
      <c r="Z24" s="332"/>
      <c r="AA24" s="96">
        <f t="shared" si="11"/>
        <v>7.1000000000000005</v>
      </c>
      <c r="AB24" s="96">
        <v>1</v>
      </c>
      <c r="AC24" s="92">
        <f t="shared" si="12"/>
        <v>68.665000000000006</v>
      </c>
    </row>
    <row r="25" spans="2:29" ht="15" thickBot="1" x14ac:dyDescent="0.35">
      <c r="B25" s="97" t="s">
        <v>14156</v>
      </c>
      <c r="C25" s="98" t="s">
        <v>14157</v>
      </c>
      <c r="D25" s="99">
        <v>2.9</v>
      </c>
      <c r="E25" s="347"/>
      <c r="F25" s="333"/>
      <c r="G25" s="333"/>
      <c r="H25" s="100">
        <v>7</v>
      </c>
      <c r="I25" s="101">
        <f t="shared" si="2"/>
        <v>13.06</v>
      </c>
      <c r="J25" s="102">
        <f t="shared" si="3"/>
        <v>22.299999999999997</v>
      </c>
      <c r="K25" s="93">
        <f t="shared" si="4"/>
        <v>37.874000000000002</v>
      </c>
      <c r="L25" s="94">
        <f t="shared" si="5"/>
        <v>69.165000000000006</v>
      </c>
      <c r="M25" s="347"/>
      <c r="N25" s="333"/>
      <c r="O25" s="349"/>
      <c r="P25" s="330"/>
      <c r="Q25" s="95">
        <f t="shared" si="6"/>
        <v>269.64</v>
      </c>
      <c r="R25" s="103">
        <f t="shared" si="7"/>
        <v>26.552</v>
      </c>
      <c r="S25" s="104">
        <f t="shared" si="0"/>
        <v>2.2689479941153339</v>
      </c>
      <c r="T25" s="333"/>
      <c r="U25" s="333"/>
      <c r="V25" s="96">
        <f t="shared" si="8"/>
        <v>24.689479941153337</v>
      </c>
      <c r="W25" s="96">
        <f t="shared" si="9"/>
        <v>4.5378959882306678</v>
      </c>
      <c r="X25" s="104">
        <f t="shared" si="1"/>
        <v>2.9</v>
      </c>
      <c r="Y25" s="105">
        <f t="shared" si="10"/>
        <v>4.3499999999999996</v>
      </c>
      <c r="Z25" s="333"/>
      <c r="AA25" s="96">
        <f t="shared" si="11"/>
        <v>2.1499999999999995</v>
      </c>
      <c r="AB25" s="105">
        <v>1</v>
      </c>
      <c r="AC25" s="92">
        <f t="shared" si="12"/>
        <v>14.173749999999998</v>
      </c>
    </row>
    <row r="26" spans="2:29" ht="15" thickBot="1" x14ac:dyDescent="0.35">
      <c r="B26" s="334" t="s">
        <v>13983</v>
      </c>
      <c r="C26" s="335"/>
      <c r="D26" s="335"/>
      <c r="E26" s="335"/>
      <c r="F26" s="335"/>
      <c r="G26" s="335"/>
      <c r="H26" s="335"/>
      <c r="I26" s="335"/>
      <c r="J26" s="336"/>
      <c r="K26" s="106">
        <f>SUM(K4:K25)</f>
        <v>3528.8119999999999</v>
      </c>
      <c r="L26" s="107">
        <f t="shared" ref="L26" si="13">SUM(L4:L25)</f>
        <v>6444.27</v>
      </c>
      <c r="M26" s="337"/>
      <c r="N26" s="338"/>
      <c r="O26" s="338"/>
      <c r="P26" s="338"/>
      <c r="Q26" s="106">
        <f t="shared" ref="Q26:R26" si="14">SUM(Q4:Q25)</f>
        <v>5392.8</v>
      </c>
      <c r="R26" s="107">
        <f t="shared" si="14"/>
        <v>531.04000000000019</v>
      </c>
      <c r="S26" s="337"/>
      <c r="T26" s="338"/>
      <c r="U26" s="338"/>
      <c r="V26" s="106">
        <f t="shared" ref="V26:W26" si="15">SUM(V4:V25)</f>
        <v>3716.2549165211963</v>
      </c>
      <c r="W26" s="107">
        <f t="shared" si="15"/>
        <v>735.25098330423953</v>
      </c>
      <c r="X26" s="339"/>
      <c r="Y26" s="340"/>
      <c r="Z26" s="340"/>
      <c r="AA26" s="340"/>
      <c r="AB26" s="341"/>
      <c r="AC26" s="108">
        <f t="shared" ref="AC26" si="16">SUM(AC4:AC25)</f>
        <v>8849.7774999999983</v>
      </c>
    </row>
    <row r="28" spans="2:29" ht="15" thickBot="1" x14ac:dyDescent="0.35"/>
    <row r="29" spans="2:29" ht="15" thickBot="1" x14ac:dyDescent="0.35">
      <c r="B29" s="326" t="s">
        <v>14158</v>
      </c>
      <c r="C29" s="327"/>
      <c r="D29" s="328"/>
    </row>
    <row r="30" spans="2:29" x14ac:dyDescent="0.3">
      <c r="B30" s="109" t="s">
        <v>14159</v>
      </c>
      <c r="C30" s="110">
        <f>K26+Q26+V26</f>
        <v>12637.866916521198</v>
      </c>
      <c r="D30" s="111" t="s">
        <v>2904</v>
      </c>
    </row>
    <row r="31" spans="2:29" ht="15" thickBot="1" x14ac:dyDescent="0.35">
      <c r="B31" s="112" t="s">
        <v>3042</v>
      </c>
      <c r="C31" s="113">
        <f>L26+R26+W26</f>
        <v>7710.5609833042399</v>
      </c>
      <c r="D31" s="114" t="s">
        <v>427</v>
      </c>
    </row>
  </sheetData>
  <mergeCells count="19">
    <mergeCell ref="E2:L2"/>
    <mergeCell ref="M2:R2"/>
    <mergeCell ref="S2:W2"/>
    <mergeCell ref="X2:AC2"/>
    <mergeCell ref="E4:E25"/>
    <mergeCell ref="F4:F25"/>
    <mergeCell ref="G4:G25"/>
    <mergeCell ref="M4:M25"/>
    <mergeCell ref="N4:N25"/>
    <mergeCell ref="O4:O25"/>
    <mergeCell ref="B29:D29"/>
    <mergeCell ref="P4:P25"/>
    <mergeCell ref="T4:T25"/>
    <mergeCell ref="U4:U25"/>
    <mergeCell ref="Z4:Z25"/>
    <mergeCell ref="B26:J26"/>
    <mergeCell ref="M26:P26"/>
    <mergeCell ref="S26:U26"/>
    <mergeCell ref="X26:AB2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813DB-B483-4F46-BA7E-8728CC7F8209}">
  <dimension ref="K8"/>
  <sheetViews>
    <sheetView workbookViewId="0"/>
  </sheetViews>
  <sheetFormatPr defaultRowHeight="14.4" x14ac:dyDescent="0.3"/>
  <sheetData>
    <row r="8" spans="11:11" x14ac:dyDescent="0.3">
      <c r="K8" t="s">
        <v>14621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6107-B2BB-45FC-96F7-D96EC16B0AF7}">
  <dimension ref="A1:L1065"/>
  <sheetViews>
    <sheetView zoomScaleNormal="100" workbookViewId="0"/>
  </sheetViews>
  <sheetFormatPr defaultRowHeight="14.4" x14ac:dyDescent="0.3"/>
  <cols>
    <col min="1" max="1" width="15.33203125" customWidth="1"/>
    <col min="2" max="2" width="20.5546875" bestFit="1" customWidth="1"/>
    <col min="6" max="6" width="9.5546875" bestFit="1" customWidth="1"/>
    <col min="7" max="7" width="11.5546875" bestFit="1" customWidth="1"/>
    <col min="8" max="10" width="13.33203125" bestFit="1" customWidth="1"/>
    <col min="12" max="12" width="11.109375" bestFit="1" customWidth="1"/>
  </cols>
  <sheetData>
    <row r="1" spans="1:12" x14ac:dyDescent="0.3">
      <c r="A1" t="s">
        <v>13268</v>
      </c>
    </row>
    <row r="3" spans="1:12" x14ac:dyDescent="0.3">
      <c r="A3" t="s">
        <v>21</v>
      </c>
      <c r="B3" t="str">
        <f>+'Ficha Canais'!A5</f>
        <v>Canal: CS19 - Trecho 1</v>
      </c>
      <c r="E3" t="s">
        <v>13269</v>
      </c>
      <c r="F3" s="3">
        <f>+'Ficha Canais'!B5</f>
        <v>850</v>
      </c>
      <c r="G3" t="s">
        <v>13270</v>
      </c>
      <c r="H3" t="s">
        <v>14586</v>
      </c>
      <c r="I3" s="3">
        <v>5</v>
      </c>
    </row>
    <row r="4" spans="1:12" x14ac:dyDescent="0.3">
      <c r="A4" s="51"/>
      <c r="B4" s="52" t="s">
        <v>13328</v>
      </c>
      <c r="C4" s="52" t="s">
        <v>13272</v>
      </c>
      <c r="D4" s="52" t="s">
        <v>13273</v>
      </c>
      <c r="E4" s="52" t="s">
        <v>13274</v>
      </c>
      <c r="F4" s="52" t="s">
        <v>13275</v>
      </c>
      <c r="G4" s="52" t="s">
        <v>13276</v>
      </c>
      <c r="H4" s="52" t="s">
        <v>13277</v>
      </c>
      <c r="I4" s="52" t="s">
        <v>13329</v>
      </c>
      <c r="J4" s="53" t="s">
        <v>13309</v>
      </c>
      <c r="L4" t="str">
        <f>+Planilha!E28</f>
        <v>TERRAPLENAGEM E TRATAMENTOS</v>
      </c>
    </row>
    <row r="5" spans="1:12" x14ac:dyDescent="0.3">
      <c r="A5" t="s">
        <v>13322</v>
      </c>
      <c r="B5" s="3">
        <f>+F3</f>
        <v>850</v>
      </c>
      <c r="C5" s="3">
        <v>40</v>
      </c>
      <c r="D5" s="3">
        <v>0</v>
      </c>
      <c r="E5" s="3">
        <v>0</v>
      </c>
      <c r="F5" s="3">
        <v>0</v>
      </c>
      <c r="G5" s="49">
        <f>+B5*C5</f>
        <v>34000</v>
      </c>
      <c r="H5" s="47">
        <v>0</v>
      </c>
      <c r="I5" s="47">
        <v>0</v>
      </c>
      <c r="J5" s="54">
        <f>SUM(G5:I5)</f>
        <v>34000</v>
      </c>
      <c r="L5" t="str">
        <f>+Planilha!E29</f>
        <v>Desmatamento, destocamento e limpeza de área com árvores de diâmetro até 0,15 m</v>
      </c>
    </row>
    <row r="6" spans="1:12" x14ac:dyDescent="0.3">
      <c r="A6" t="s">
        <v>13323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68">
        <v>1218.69</v>
      </c>
      <c r="I6" s="47">
        <v>0</v>
      </c>
      <c r="J6" s="54">
        <f t="shared" ref="J6:J39" si="0">SUM(G6:I6)</f>
        <v>1218.69</v>
      </c>
      <c r="L6" t="str">
        <f>+Planilha!E30</f>
        <v>Escavação, carga e transporte de material de 1ª categoria - DMT de 1.000 a 1.200 m - caminho de serviço em leito natural - com escavadeira e caminhão basculante de 14 m³</v>
      </c>
    </row>
    <row r="7" spans="1:12" x14ac:dyDescent="0.3">
      <c r="A7" t="s">
        <v>13271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68">
        <v>40104.47</v>
      </c>
      <c r="I7" s="47">
        <v>0</v>
      </c>
      <c r="J7" s="54">
        <f t="shared" si="0"/>
        <v>40104.47</v>
      </c>
      <c r="L7" t="str">
        <f>+Planilha!E31</f>
        <v>Compactação de aterros a 100% do Proctor normal</v>
      </c>
    </row>
    <row r="8" spans="1:12" x14ac:dyDescent="0.3">
      <c r="A8" t="s">
        <v>13324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68">
        <f>+(H7-H6)*1.4*I3</f>
        <v>272200.45999999996</v>
      </c>
      <c r="I8" s="47">
        <v>0</v>
      </c>
      <c r="J8" s="54">
        <f t="shared" si="0"/>
        <v>272200.45999999996</v>
      </c>
      <c r="L8" t="str">
        <f>+Planilha!E32</f>
        <v>Transporte com caminhão basculante de 14 m³ - rodovia em leito natural</v>
      </c>
    </row>
    <row r="9" spans="1:12" s="60" customFormat="1" x14ac:dyDescent="0.3">
      <c r="A9" s="60" t="s">
        <v>13335</v>
      </c>
      <c r="B9" s="61">
        <f>+F3</f>
        <v>850</v>
      </c>
      <c r="C9" s="61">
        <v>0</v>
      </c>
      <c r="D9" s="61">
        <f>+'Ficha Canais'!$C$5</f>
        <v>1.8</v>
      </c>
      <c r="E9" s="61">
        <v>0</v>
      </c>
      <c r="F9" s="61">
        <v>0</v>
      </c>
      <c r="G9" s="194">
        <f>+B9*D9</f>
        <v>1530</v>
      </c>
      <c r="H9" s="62">
        <v>0</v>
      </c>
      <c r="I9" s="62"/>
      <c r="J9" s="195">
        <f>SUM(G9:I9)</f>
        <v>1530</v>
      </c>
      <c r="L9" s="60" t="s">
        <v>9441</v>
      </c>
    </row>
    <row r="10" spans="1:12" x14ac:dyDescent="0.3">
      <c r="A10" t="s">
        <v>13325</v>
      </c>
      <c r="B10" s="3">
        <f>+F3</f>
        <v>850</v>
      </c>
      <c r="C10" s="3">
        <v>0</v>
      </c>
      <c r="D10" s="3">
        <v>1.8</v>
      </c>
      <c r="E10" s="3">
        <v>2.11</v>
      </c>
      <c r="F10" s="3">
        <f>(E10*1.8*2)+D10+0.8</f>
        <v>10.196000000000002</v>
      </c>
      <c r="G10" s="69">
        <v>1901</v>
      </c>
      <c r="H10" s="3">
        <v>0</v>
      </c>
      <c r="I10" s="47">
        <v>0</v>
      </c>
      <c r="J10" s="54">
        <f t="shared" si="0"/>
        <v>1901</v>
      </c>
      <c r="L10" t="str">
        <f>+Planilha!E34</f>
        <v>Fornecimento e instalação de geocomposto drenante para os taludes</v>
      </c>
    </row>
    <row r="11" spans="1:12" s="60" customFormat="1" x14ac:dyDescent="0.3">
      <c r="A11" s="60" t="s">
        <v>14514</v>
      </c>
      <c r="B11" s="61">
        <v>850</v>
      </c>
      <c r="C11" s="61">
        <v>0</v>
      </c>
      <c r="D11" s="61">
        <v>0</v>
      </c>
      <c r="E11" s="61">
        <v>0</v>
      </c>
      <c r="F11" s="61">
        <v>0</v>
      </c>
      <c r="G11" s="62">
        <v>0</v>
      </c>
      <c r="H11" s="194">
        <f>+G12*0.2</f>
        <v>1520.6000000000001</v>
      </c>
      <c r="I11" s="62">
        <v>0</v>
      </c>
      <c r="J11" s="195">
        <f t="shared" si="0"/>
        <v>1520.6000000000001</v>
      </c>
      <c r="L11" s="60" t="s">
        <v>14497</v>
      </c>
    </row>
    <row r="12" spans="1:12" x14ac:dyDescent="0.3">
      <c r="A12" t="s">
        <v>13326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69">
        <v>7603</v>
      </c>
      <c r="H12" s="3">
        <v>0</v>
      </c>
      <c r="I12" s="47">
        <v>0</v>
      </c>
      <c r="J12" s="54">
        <f t="shared" si="0"/>
        <v>7603</v>
      </c>
      <c r="L12" t="str">
        <f>+Planilha!E36</f>
        <v>Fornecimento e aplicação de geomembrana sintética para impermeabilização do canal, 1,00 mm de espessura (PEAD)</v>
      </c>
    </row>
    <row r="13" spans="1:12" s="60" customFormat="1" x14ac:dyDescent="0.3">
      <c r="A13" s="60" t="s">
        <v>14515</v>
      </c>
      <c r="B13" s="61">
        <v>850</v>
      </c>
      <c r="C13" s="61">
        <v>0</v>
      </c>
      <c r="D13" s="61">
        <v>0</v>
      </c>
      <c r="E13" s="61">
        <v>0</v>
      </c>
      <c r="F13" s="61">
        <v>0</v>
      </c>
      <c r="G13" s="62">
        <v>0</v>
      </c>
      <c r="H13" s="61">
        <v>0</v>
      </c>
      <c r="I13" s="194">
        <f>+B13*2</f>
        <v>1700</v>
      </c>
      <c r="J13" s="195">
        <f>+I13</f>
        <v>1700</v>
      </c>
      <c r="L13" s="60" t="s">
        <v>14505</v>
      </c>
    </row>
    <row r="14" spans="1:12" x14ac:dyDescent="0.3">
      <c r="A14" t="s">
        <v>3042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70">
        <f>+G12*0.07</f>
        <v>532.21</v>
      </c>
      <c r="I14" s="47">
        <v>0</v>
      </c>
      <c r="J14" s="54">
        <f t="shared" si="0"/>
        <v>532.21</v>
      </c>
      <c r="L14" t="str">
        <f>+Planilha!E38</f>
        <v>Concreto para bombeamento fck = 30 MPa - confecção em central dosadora de 30 m³/h - areia e brita comerciais</v>
      </c>
    </row>
    <row r="15" spans="1:12" x14ac:dyDescent="0.3">
      <c r="A15" t="s">
        <v>13327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70">
        <f>+H14</f>
        <v>532.21</v>
      </c>
      <c r="I15" s="47">
        <v>0</v>
      </c>
      <c r="J15" s="54">
        <f t="shared" si="0"/>
        <v>532.21</v>
      </c>
      <c r="L15" t="str">
        <f>+Planilha!E39</f>
        <v>Lançamento mecânico de concreto com bomba rebocável com capacidade de 30 m³/h - confecção em central dosadora de 30 m³/h</v>
      </c>
    </row>
    <row r="16" spans="1:12" x14ac:dyDescent="0.3">
      <c r="A16" t="s">
        <v>13278</v>
      </c>
      <c r="B16" s="3">
        <f>+F3</f>
        <v>850</v>
      </c>
      <c r="C16" s="3">
        <v>0</v>
      </c>
      <c r="D16" s="3">
        <v>0</v>
      </c>
      <c r="E16" s="3">
        <v>0</v>
      </c>
      <c r="F16" s="47">
        <f>+F10</f>
        <v>10.196000000000002</v>
      </c>
      <c r="G16" s="3">
        <v>0</v>
      </c>
      <c r="H16" s="3">
        <v>0</v>
      </c>
      <c r="I16" s="49">
        <f>+B16/2*F16</f>
        <v>4333.3000000000011</v>
      </c>
      <c r="J16" s="54">
        <f t="shared" si="0"/>
        <v>4333.3000000000011</v>
      </c>
      <c r="L16" t="str">
        <f>+Planilha!E40</f>
        <v>Lábios poliméricos em junta de pavimento de concreto - L = 20 mm e H = 30 mm - confecção e assentamento</v>
      </c>
    </row>
    <row r="17" spans="1:12" x14ac:dyDescent="0.3">
      <c r="A17" t="s">
        <v>13279</v>
      </c>
      <c r="B17" s="3">
        <f>+F3</f>
        <v>850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49">
        <f>+B17*2</f>
        <v>1700</v>
      </c>
      <c r="J17" s="54">
        <f t="shared" si="0"/>
        <v>1700</v>
      </c>
      <c r="L17" t="str">
        <f>+Planilha!E41</f>
        <v>Guias de proteção em concreto pré-moldado</v>
      </c>
    </row>
    <row r="18" spans="1:12" x14ac:dyDescent="0.3">
      <c r="A18" t="s">
        <v>13282</v>
      </c>
      <c r="B18" s="47">
        <f>+F3</f>
        <v>850</v>
      </c>
      <c r="C18" s="3">
        <v>12</v>
      </c>
      <c r="D18" s="3">
        <v>0</v>
      </c>
      <c r="E18" s="3">
        <v>0</v>
      </c>
      <c r="F18" s="3">
        <v>0</v>
      </c>
      <c r="G18" s="49">
        <f>+B18*C18</f>
        <v>10200</v>
      </c>
      <c r="H18" s="3">
        <v>0</v>
      </c>
      <c r="I18" s="47">
        <v>0</v>
      </c>
      <c r="J18" s="54">
        <f t="shared" si="0"/>
        <v>10200</v>
      </c>
      <c r="L18" t="str">
        <f>+Planilha!E42</f>
        <v>Revestimento vegetal com grama em mudas em superfícies inclinadas</v>
      </c>
    </row>
    <row r="19" spans="1:12" x14ac:dyDescent="0.3">
      <c r="A19" s="51"/>
      <c r="B19" s="52" t="s">
        <v>13328</v>
      </c>
      <c r="C19" s="52" t="s">
        <v>13272</v>
      </c>
      <c r="D19" s="52" t="s">
        <v>13273</v>
      </c>
      <c r="E19" s="52" t="s">
        <v>13274</v>
      </c>
      <c r="F19" s="52" t="s">
        <v>13275</v>
      </c>
      <c r="G19" s="52" t="s">
        <v>13276</v>
      </c>
      <c r="H19" s="52" t="s">
        <v>13277</v>
      </c>
      <c r="I19" s="52" t="s">
        <v>13329</v>
      </c>
      <c r="J19" s="56">
        <v>0</v>
      </c>
      <c r="L19" t="str">
        <f>+Planilha!E43</f>
        <v>DRENAGEM INTERNA DOS CANAIS</v>
      </c>
    </row>
    <row r="20" spans="1:12" x14ac:dyDescent="0.3">
      <c r="A20" t="s">
        <v>13330</v>
      </c>
      <c r="B20" s="3">
        <f>+F3</f>
        <v>850</v>
      </c>
      <c r="C20" s="3">
        <v>0</v>
      </c>
      <c r="D20" s="3">
        <v>1.2</v>
      </c>
      <c r="E20" s="3">
        <v>0.7</v>
      </c>
      <c r="F20" s="3">
        <v>0</v>
      </c>
      <c r="G20" s="3">
        <v>0</v>
      </c>
      <c r="H20" s="50">
        <f>+B20*D20*E20</f>
        <v>714</v>
      </c>
      <c r="I20" s="3">
        <v>0</v>
      </c>
      <c r="J20" s="54">
        <f t="shared" si="0"/>
        <v>714</v>
      </c>
      <c r="L20" t="str">
        <f>+Planilha!E44</f>
        <v>Escavação mecânica de vala em material de 1ª categoria</v>
      </c>
    </row>
    <row r="21" spans="1:12" x14ac:dyDescent="0.3">
      <c r="A21" t="s">
        <v>13310</v>
      </c>
      <c r="B21" s="3">
        <f>+F3</f>
        <v>850</v>
      </c>
      <c r="C21" s="3"/>
      <c r="D21" s="3">
        <v>0.6</v>
      </c>
      <c r="E21" s="3">
        <v>0.6</v>
      </c>
      <c r="F21" s="3"/>
      <c r="G21" s="3"/>
      <c r="H21" s="50">
        <f>+H20-(B21*D21*E21)</f>
        <v>408</v>
      </c>
      <c r="I21" s="3"/>
      <c r="J21" s="54">
        <f t="shared" si="0"/>
        <v>408</v>
      </c>
      <c r="L21" t="str">
        <f>+Planilha!E45</f>
        <v>Reaterro e compactação com soquete vibratório</v>
      </c>
    </row>
    <row r="22" spans="1:12" x14ac:dyDescent="0.3">
      <c r="A22" t="s">
        <v>13324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50">
        <f>(H20-H21)*1.4*5</f>
        <v>2142</v>
      </c>
      <c r="I22" s="3"/>
      <c r="J22" s="54">
        <f t="shared" si="0"/>
        <v>2142</v>
      </c>
      <c r="L22" t="str">
        <f>+Planilha!E46</f>
        <v>Transporte com caminhão basculante de 14 m³ - rodovia em leito natural</v>
      </c>
    </row>
    <row r="23" spans="1:12" x14ac:dyDescent="0.3">
      <c r="A23" t="s">
        <v>13311</v>
      </c>
      <c r="B23" s="3">
        <f>+F3</f>
        <v>850</v>
      </c>
      <c r="C23" s="3">
        <v>0</v>
      </c>
      <c r="D23" s="3">
        <v>0.6</v>
      </c>
      <c r="E23" s="3">
        <v>0.6</v>
      </c>
      <c r="F23" s="3">
        <v>0</v>
      </c>
      <c r="G23" s="50">
        <f>B23*D23*4</f>
        <v>2040</v>
      </c>
      <c r="H23" s="3">
        <v>0</v>
      </c>
      <c r="I23" s="3">
        <v>0</v>
      </c>
      <c r="J23" s="54">
        <f t="shared" si="0"/>
        <v>2040</v>
      </c>
      <c r="L23" t="str">
        <f>+Planilha!E47</f>
        <v>Fornecimento e aplicação de manta geotêxtil (Execução de dreno com manta geotêxtil 400 g/m2)</v>
      </c>
    </row>
    <row r="24" spans="1:12" x14ac:dyDescent="0.3">
      <c r="A24" t="s">
        <v>13312</v>
      </c>
      <c r="B24" s="3">
        <f>+F3</f>
        <v>850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50">
        <f>+B24</f>
        <v>850</v>
      </c>
      <c r="J24" s="54">
        <f t="shared" si="0"/>
        <v>850</v>
      </c>
      <c r="L24" t="str">
        <f>+Planilha!E48</f>
        <v>Tubo de concreto perfurado produzido na obra para drenagem - D = 0,40 m - fornecimento e instalação</v>
      </c>
    </row>
    <row r="25" spans="1:12" x14ac:dyDescent="0.3">
      <c r="A25" t="s">
        <v>13313</v>
      </c>
      <c r="B25" s="3">
        <f>+F3</f>
        <v>850</v>
      </c>
      <c r="C25" s="3">
        <v>0</v>
      </c>
      <c r="D25" s="3">
        <v>0.6</v>
      </c>
      <c r="E25" s="3">
        <v>0.6</v>
      </c>
      <c r="F25" s="3">
        <v>0</v>
      </c>
      <c r="G25" s="3">
        <v>0</v>
      </c>
      <c r="H25" s="50">
        <f>B25*D25*E25-(B25*3.14*0.4*0.4/4)</f>
        <v>199.23999999999998</v>
      </c>
      <c r="I25" s="3">
        <v>0</v>
      </c>
      <c r="J25" s="54">
        <f t="shared" si="0"/>
        <v>199.23999999999998</v>
      </c>
      <c r="L25" t="str">
        <f>+Planilha!E49</f>
        <v>Lastro de brita comercial compactado com soquete vibratório - espalhamento manual</v>
      </c>
    </row>
    <row r="26" spans="1:12" x14ac:dyDescent="0.3">
      <c r="A26" t="s">
        <v>13320</v>
      </c>
      <c r="B26" s="3">
        <f>+F3</f>
        <v>850</v>
      </c>
      <c r="C26" s="3">
        <v>1.2</v>
      </c>
      <c r="D26" s="3">
        <v>0</v>
      </c>
      <c r="E26" s="3">
        <v>0.1</v>
      </c>
      <c r="F26" s="3">
        <v>0</v>
      </c>
      <c r="G26" s="3">
        <v>0</v>
      </c>
      <c r="H26" s="50">
        <f>+B26*C26*E26</f>
        <v>102</v>
      </c>
      <c r="I26" s="3"/>
      <c r="J26" s="54">
        <f t="shared" si="0"/>
        <v>102</v>
      </c>
      <c r="L26" t="str">
        <f>+Planilha!E50</f>
        <v>Lastro de areia comercial - espalhamento manual</v>
      </c>
    </row>
    <row r="27" spans="1:12" x14ac:dyDescent="0.3">
      <c r="A27" s="51"/>
      <c r="B27" s="52" t="s">
        <v>13328</v>
      </c>
      <c r="C27" s="52" t="s">
        <v>13272</v>
      </c>
      <c r="D27" s="52" t="s">
        <v>13273</v>
      </c>
      <c r="E27" s="52" t="s">
        <v>13274</v>
      </c>
      <c r="F27" s="52" t="s">
        <v>13275</v>
      </c>
      <c r="G27" s="52" t="s">
        <v>13276</v>
      </c>
      <c r="H27" s="52" t="s">
        <v>13277</v>
      </c>
      <c r="I27" s="52" t="s">
        <v>13329</v>
      </c>
      <c r="J27" s="56">
        <v>0</v>
      </c>
      <c r="L27" t="str">
        <f>+Planilha!E51</f>
        <v>OBRAS DE DRENAGEM SUPERFICIAL - VALETAS, SARJETAS, BUEIROS, GALERIAS E PASSAGENS MOLHADAS</v>
      </c>
    </row>
    <row r="28" spans="1:12" x14ac:dyDescent="0.3">
      <c r="A28" t="s">
        <v>13331</v>
      </c>
      <c r="B28" s="3">
        <f>+F3</f>
        <v>850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f>+B28*2</f>
        <v>1700</v>
      </c>
      <c r="J28" s="54">
        <f t="shared" si="0"/>
        <v>1700</v>
      </c>
      <c r="L28" t="str">
        <f>+Planilha!E52</f>
        <v>Valeta de proteção de cortes com revestimento vegetal - VPCG 120-30 - escavação mecânica</v>
      </c>
    </row>
    <row r="29" spans="1:12" x14ac:dyDescent="0.3">
      <c r="A29" t="s">
        <v>13332</v>
      </c>
      <c r="B29" s="3">
        <f>+F3</f>
        <v>850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f>+B29*2</f>
        <v>1700</v>
      </c>
      <c r="J29" s="54">
        <f t="shared" si="0"/>
        <v>1700</v>
      </c>
      <c r="L29" t="str">
        <f>+Planilha!E53</f>
        <v>Sarjeta triangular de grama - STG 125-25 - escavação mecânica</v>
      </c>
    </row>
    <row r="30" spans="1:12" x14ac:dyDescent="0.3">
      <c r="A30" t="s">
        <v>13333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54">
        <f t="shared" si="0"/>
        <v>0</v>
      </c>
      <c r="L30" t="str">
        <f>+Planilha!E54</f>
        <v>Corpo de BSTC D = 0,80 m PA1 - areia, brita e pedra de mão comerciais</v>
      </c>
    </row>
    <row r="31" spans="1:12" x14ac:dyDescent="0.3">
      <c r="A31" t="s">
        <v>13334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54">
        <f t="shared" si="0"/>
        <v>0</v>
      </c>
      <c r="L31" t="str">
        <f>+Planilha!E55</f>
        <v>Boca de BSTC D = 0,80 m - esconsidade 0° - areia e brita comerciais - alas retas</v>
      </c>
    </row>
    <row r="32" spans="1:12" x14ac:dyDescent="0.3">
      <c r="A32" s="51"/>
      <c r="B32" s="52" t="s">
        <v>13328</v>
      </c>
      <c r="C32" s="52" t="s">
        <v>13272</v>
      </c>
      <c r="D32" s="52" t="s">
        <v>13273</v>
      </c>
      <c r="E32" s="52" t="s">
        <v>13274</v>
      </c>
      <c r="F32" s="52" t="s">
        <v>13275</v>
      </c>
      <c r="G32" s="52" t="s">
        <v>13276</v>
      </c>
      <c r="H32" s="52" t="s">
        <v>13277</v>
      </c>
      <c r="I32" s="52" t="s">
        <v>13329</v>
      </c>
      <c r="J32" s="56">
        <v>0</v>
      </c>
      <c r="L32" t="str">
        <f>+Planilha!E56</f>
        <v>ESTRADAS LATERAIS</v>
      </c>
    </row>
    <row r="33" spans="1:12" x14ac:dyDescent="0.3">
      <c r="A33" t="s">
        <v>13330</v>
      </c>
      <c r="B33" s="3">
        <f>+F3</f>
        <v>850</v>
      </c>
      <c r="C33" s="3">
        <v>0</v>
      </c>
      <c r="D33" s="3">
        <v>3.5</v>
      </c>
      <c r="E33" s="3">
        <v>0.15</v>
      </c>
      <c r="F33" s="3">
        <v>0</v>
      </c>
      <c r="G33" s="3">
        <v>0</v>
      </c>
      <c r="H33" s="3">
        <f>+B33*D33*E33*2</f>
        <v>892.5</v>
      </c>
      <c r="I33" s="3">
        <v>0</v>
      </c>
      <c r="J33" s="54">
        <f t="shared" si="0"/>
        <v>892.5</v>
      </c>
      <c r="L33" t="str">
        <f>+Planilha!E57</f>
        <v>Escavação mecânica com retroescavadeira em material de 1ª categoria</v>
      </c>
    </row>
    <row r="34" spans="1:12" x14ac:dyDescent="0.3">
      <c r="A34" t="s">
        <v>13271</v>
      </c>
      <c r="B34" s="3">
        <f>+F3</f>
        <v>850</v>
      </c>
      <c r="C34" s="3">
        <v>0</v>
      </c>
      <c r="D34" s="3">
        <v>3.5</v>
      </c>
      <c r="E34" s="3">
        <v>0.1</v>
      </c>
      <c r="F34" s="3">
        <v>0</v>
      </c>
      <c r="G34" s="3">
        <v>0</v>
      </c>
      <c r="H34" s="3">
        <f>+B34*D34*E34*2</f>
        <v>595</v>
      </c>
      <c r="I34" s="3">
        <v>0</v>
      </c>
      <c r="J34" s="54">
        <f t="shared" si="0"/>
        <v>595</v>
      </c>
      <c r="L34" t="str">
        <f>+Planilha!E58</f>
        <v>Compactação de aterros a 100% do Proctor normal</v>
      </c>
    </row>
    <row r="35" spans="1:12" x14ac:dyDescent="0.3">
      <c r="A35" t="s">
        <v>13324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f>+H33-H34</f>
        <v>297.5</v>
      </c>
      <c r="I35" s="3">
        <v>0</v>
      </c>
      <c r="J35" s="54">
        <f t="shared" si="0"/>
        <v>297.5</v>
      </c>
      <c r="L35" t="str">
        <f>+Planilha!E59</f>
        <v>Transporte com caminhão basculante de 14 m³ - rodovia em leito natural</v>
      </c>
    </row>
    <row r="36" spans="1:12" x14ac:dyDescent="0.3">
      <c r="A36" t="s">
        <v>13335</v>
      </c>
      <c r="B36" s="3">
        <f>+F3</f>
        <v>850</v>
      </c>
      <c r="C36" s="3">
        <v>0</v>
      </c>
      <c r="D36" s="3">
        <v>3.5</v>
      </c>
      <c r="E36" s="3">
        <v>0</v>
      </c>
      <c r="F36" s="3">
        <v>0</v>
      </c>
      <c r="G36" s="3">
        <f>+B36*D36*2</f>
        <v>5950</v>
      </c>
      <c r="H36" s="3">
        <v>0</v>
      </c>
      <c r="I36" s="3">
        <v>0</v>
      </c>
      <c r="J36" s="54">
        <f t="shared" si="0"/>
        <v>5950</v>
      </c>
      <c r="L36" t="str">
        <f>+Planilha!E60</f>
        <v>Regularização de superfície com motoniveladora</v>
      </c>
    </row>
    <row r="37" spans="1:12" x14ac:dyDescent="0.3">
      <c r="A37" t="s">
        <v>13336</v>
      </c>
      <c r="B37" s="3">
        <f>+F3</f>
        <v>850</v>
      </c>
      <c r="C37" s="3">
        <v>0</v>
      </c>
      <c r="D37" s="3">
        <v>3.5</v>
      </c>
      <c r="E37" s="3">
        <v>0.15</v>
      </c>
      <c r="F37" s="3">
        <v>0</v>
      </c>
      <c r="G37" s="3"/>
      <c r="H37" s="3">
        <f>+B37*D37*E37</f>
        <v>446.25</v>
      </c>
      <c r="I37" s="3">
        <v>0</v>
      </c>
      <c r="J37" s="54">
        <f t="shared" si="0"/>
        <v>446.25</v>
      </c>
      <c r="L37" t="str">
        <f>+Planilha!E61</f>
        <v>Revestimento primário para as pistas laterais</v>
      </c>
    </row>
    <row r="38" spans="1:12" x14ac:dyDescent="0.3">
      <c r="A38" s="51"/>
      <c r="B38" s="52" t="s">
        <v>13328</v>
      </c>
      <c r="C38" s="52" t="s">
        <v>13272</v>
      </c>
      <c r="D38" s="52" t="s">
        <v>13273</v>
      </c>
      <c r="E38" s="52" t="s">
        <v>13274</v>
      </c>
      <c r="F38" s="52" t="s">
        <v>13275</v>
      </c>
      <c r="G38" s="52" t="s">
        <v>13276</v>
      </c>
      <c r="H38" s="52" t="s">
        <v>13277</v>
      </c>
      <c r="I38" s="52" t="s">
        <v>13329</v>
      </c>
      <c r="J38" s="56">
        <v>0</v>
      </c>
      <c r="L38" t="str">
        <f>+Planilha!E62</f>
        <v>SERVIÇOS COMPLEMENTARES</v>
      </c>
    </row>
    <row r="39" spans="1:12" x14ac:dyDescent="0.3">
      <c r="A39" s="3" t="s">
        <v>13337</v>
      </c>
      <c r="B39" s="3">
        <f>+F3</f>
        <v>850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f>+B39*2</f>
        <v>1700</v>
      </c>
      <c r="J39" s="55">
        <f t="shared" si="0"/>
        <v>1700</v>
      </c>
      <c r="L39" t="str">
        <f>+Planilha!E63</f>
        <v>Cerca com 4 fios de arame liso galvanizado e mourão de madeira a cada 2,5 m e esticador a cada 50 m</v>
      </c>
    </row>
    <row r="41" spans="1:12" x14ac:dyDescent="0.3">
      <c r="A41" t="s">
        <v>21</v>
      </c>
      <c r="B41" t="str">
        <f>+'Ficha Canais'!A6</f>
        <v>Canal: CS19 - Trecho 2</v>
      </c>
      <c r="E41" t="s">
        <v>13269</v>
      </c>
      <c r="F41" s="3">
        <f>+'Ficha Canais'!B6</f>
        <v>4950</v>
      </c>
      <c r="G41" t="s">
        <v>13270</v>
      </c>
      <c r="H41" t="s">
        <v>14586</v>
      </c>
      <c r="I41" s="3">
        <f>+I3</f>
        <v>5</v>
      </c>
    </row>
    <row r="42" spans="1:12" x14ac:dyDescent="0.3">
      <c r="A42" s="51"/>
      <c r="B42" s="52" t="s">
        <v>13328</v>
      </c>
      <c r="C42" s="52" t="s">
        <v>13272</v>
      </c>
      <c r="D42" s="52" t="s">
        <v>13273</v>
      </c>
      <c r="E42" s="52" t="s">
        <v>13274</v>
      </c>
      <c r="F42" s="52" t="s">
        <v>13275</v>
      </c>
      <c r="G42" s="52" t="s">
        <v>13276</v>
      </c>
      <c r="H42" s="52" t="s">
        <v>13277</v>
      </c>
      <c r="I42" s="52" t="s">
        <v>13329</v>
      </c>
      <c r="J42" s="53" t="s">
        <v>13309</v>
      </c>
    </row>
    <row r="43" spans="1:12" x14ac:dyDescent="0.3">
      <c r="A43" t="s">
        <v>13322</v>
      </c>
      <c r="B43" s="3">
        <f>+F41</f>
        <v>4950</v>
      </c>
      <c r="C43" s="3">
        <v>40</v>
      </c>
      <c r="D43" s="3">
        <v>0</v>
      </c>
      <c r="E43" s="3">
        <v>0</v>
      </c>
      <c r="F43" s="3">
        <v>0</v>
      </c>
      <c r="G43" s="49">
        <f>+B43*C43</f>
        <v>198000</v>
      </c>
      <c r="H43" s="47">
        <v>0</v>
      </c>
      <c r="I43" s="47">
        <v>0</v>
      </c>
      <c r="J43" s="54">
        <f>SUM(G43:I43)</f>
        <v>198000</v>
      </c>
    </row>
    <row r="44" spans="1:12" x14ac:dyDescent="0.3">
      <c r="A44" t="s">
        <v>13323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68">
        <v>187330.72</v>
      </c>
      <c r="I44" s="47">
        <v>0</v>
      </c>
      <c r="J44" s="54">
        <f t="shared" ref="J44:J56" si="1">SUM(G44:I44)</f>
        <v>187330.72</v>
      </c>
    </row>
    <row r="45" spans="1:12" x14ac:dyDescent="0.3">
      <c r="A45" t="s">
        <v>13271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68">
        <v>23759.27</v>
      </c>
      <c r="I45" s="47">
        <v>0</v>
      </c>
      <c r="J45" s="54">
        <f t="shared" si="1"/>
        <v>23759.27</v>
      </c>
    </row>
    <row r="46" spans="1:12" x14ac:dyDescent="0.3">
      <c r="A46" t="s">
        <v>13324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68">
        <f>-(H45-H44)*1.4*I41</f>
        <v>1145000.1499999999</v>
      </c>
      <c r="I46" s="47">
        <v>0</v>
      </c>
      <c r="J46" s="54">
        <f t="shared" si="1"/>
        <v>1145000.1499999999</v>
      </c>
    </row>
    <row r="47" spans="1:12" s="60" customFormat="1" x14ac:dyDescent="0.3">
      <c r="A47" s="60" t="s">
        <v>13335</v>
      </c>
      <c r="B47" s="61">
        <f>+F41</f>
        <v>4950</v>
      </c>
      <c r="C47" s="61">
        <v>0</v>
      </c>
      <c r="D47" s="61">
        <f>+'Ficha Canais'!$C$6</f>
        <v>1.5</v>
      </c>
      <c r="E47" s="61">
        <v>0</v>
      </c>
      <c r="F47" s="61">
        <v>0</v>
      </c>
      <c r="G47" s="194">
        <f>+B47*D47</f>
        <v>7425</v>
      </c>
      <c r="H47" s="62">
        <v>0</v>
      </c>
      <c r="I47" s="62"/>
      <c r="J47" s="195">
        <f t="shared" ref="J47" si="2">SUM(G47:I47)</f>
        <v>7425</v>
      </c>
    </row>
    <row r="48" spans="1:12" x14ac:dyDescent="0.3">
      <c r="A48" t="s">
        <v>13325</v>
      </c>
      <c r="B48" s="3">
        <f>+F41</f>
        <v>4950</v>
      </c>
      <c r="C48" s="3">
        <v>0</v>
      </c>
      <c r="D48" s="3">
        <v>1.5</v>
      </c>
      <c r="E48" s="3">
        <v>1.72</v>
      </c>
      <c r="F48" s="3">
        <f>(E48*1.8*2)+D48+0.8</f>
        <v>8.4920000000000009</v>
      </c>
      <c r="G48" s="69">
        <v>9210</v>
      </c>
      <c r="H48" s="3">
        <v>0</v>
      </c>
      <c r="I48" s="47">
        <v>0</v>
      </c>
      <c r="J48" s="54">
        <f t="shared" si="1"/>
        <v>9210</v>
      </c>
    </row>
    <row r="49" spans="1:10" s="60" customFormat="1" x14ac:dyDescent="0.3">
      <c r="A49" s="60" t="s">
        <v>14514</v>
      </c>
      <c r="B49" s="61">
        <f>+F41</f>
        <v>4950</v>
      </c>
      <c r="C49" s="61">
        <v>0</v>
      </c>
      <c r="D49" s="61">
        <v>0</v>
      </c>
      <c r="E49" s="61">
        <v>0</v>
      </c>
      <c r="F49" s="61">
        <v>0</v>
      </c>
      <c r="G49" s="62">
        <v>0</v>
      </c>
      <c r="H49" s="194">
        <f>+G50*0.2</f>
        <v>7368</v>
      </c>
      <c r="I49" s="62">
        <v>0</v>
      </c>
      <c r="J49" s="195">
        <f t="shared" ref="J49" si="3">SUM(G49:I49)</f>
        <v>7368</v>
      </c>
    </row>
    <row r="50" spans="1:10" x14ac:dyDescent="0.3">
      <c r="A50" t="s">
        <v>13326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69">
        <v>36840</v>
      </c>
      <c r="H50" s="3">
        <v>0</v>
      </c>
      <c r="I50" s="47">
        <v>0</v>
      </c>
      <c r="J50" s="54">
        <f t="shared" si="1"/>
        <v>36840</v>
      </c>
    </row>
    <row r="51" spans="1:10" s="60" customFormat="1" x14ac:dyDescent="0.3">
      <c r="A51" s="60" t="s">
        <v>14515</v>
      </c>
      <c r="B51" s="61">
        <f>+F41</f>
        <v>4950</v>
      </c>
      <c r="C51" s="61">
        <v>0</v>
      </c>
      <c r="D51" s="61">
        <v>0</v>
      </c>
      <c r="E51" s="61">
        <v>0</v>
      </c>
      <c r="F51" s="61">
        <v>0</v>
      </c>
      <c r="G51" s="62">
        <v>0</v>
      </c>
      <c r="H51" s="61">
        <v>0</v>
      </c>
      <c r="I51" s="194">
        <f>+B51*2</f>
        <v>9900</v>
      </c>
      <c r="J51" s="195">
        <f>+I51</f>
        <v>9900</v>
      </c>
    </row>
    <row r="52" spans="1:10" x14ac:dyDescent="0.3">
      <c r="A52" t="s">
        <v>3042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70">
        <f>+G50*0.07</f>
        <v>2578.8000000000002</v>
      </c>
      <c r="I52" s="47">
        <v>0</v>
      </c>
      <c r="J52" s="54">
        <f t="shared" si="1"/>
        <v>2578.8000000000002</v>
      </c>
    </row>
    <row r="53" spans="1:10" x14ac:dyDescent="0.3">
      <c r="A53" t="s">
        <v>13327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70">
        <f>+H52</f>
        <v>2578.8000000000002</v>
      </c>
      <c r="I53" s="47">
        <v>0</v>
      </c>
      <c r="J53" s="54">
        <f t="shared" si="1"/>
        <v>2578.8000000000002</v>
      </c>
    </row>
    <row r="54" spans="1:10" x14ac:dyDescent="0.3">
      <c r="A54" t="s">
        <v>13278</v>
      </c>
      <c r="B54" s="3">
        <f>+F41</f>
        <v>4950</v>
      </c>
      <c r="C54" s="3">
        <v>0</v>
      </c>
      <c r="D54" s="3">
        <v>0</v>
      </c>
      <c r="E54" s="3">
        <v>0</v>
      </c>
      <c r="F54" s="47">
        <f>+F48</f>
        <v>8.4920000000000009</v>
      </c>
      <c r="G54" s="3">
        <v>0</v>
      </c>
      <c r="H54" s="3">
        <v>0</v>
      </c>
      <c r="I54" s="49">
        <f>+B54/2*F54</f>
        <v>21017.7</v>
      </c>
      <c r="J54" s="54">
        <f t="shared" si="1"/>
        <v>21017.7</v>
      </c>
    </row>
    <row r="55" spans="1:10" x14ac:dyDescent="0.3">
      <c r="A55" t="s">
        <v>13279</v>
      </c>
      <c r="B55" s="3">
        <f>+F41</f>
        <v>4950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49">
        <f>+B55*2</f>
        <v>9900</v>
      </c>
      <c r="J55" s="54">
        <f t="shared" si="1"/>
        <v>9900</v>
      </c>
    </row>
    <row r="56" spans="1:10" x14ac:dyDescent="0.3">
      <c r="A56" t="s">
        <v>13282</v>
      </c>
      <c r="B56" s="47">
        <f>+F41</f>
        <v>4950</v>
      </c>
      <c r="C56" s="3">
        <v>12</v>
      </c>
      <c r="D56" s="3">
        <v>0</v>
      </c>
      <c r="E56" s="3">
        <v>0</v>
      </c>
      <c r="F56" s="3">
        <v>0</v>
      </c>
      <c r="G56" s="49">
        <f>+B56*C56</f>
        <v>59400</v>
      </c>
      <c r="H56" s="3">
        <v>0</v>
      </c>
      <c r="I56" s="47">
        <v>0</v>
      </c>
      <c r="J56" s="54">
        <f t="shared" si="1"/>
        <v>59400</v>
      </c>
    </row>
    <row r="57" spans="1:10" x14ac:dyDescent="0.3">
      <c r="A57" s="51"/>
      <c r="B57" s="52" t="s">
        <v>13328</v>
      </c>
      <c r="C57" s="52" t="s">
        <v>13272</v>
      </c>
      <c r="D57" s="52" t="s">
        <v>13273</v>
      </c>
      <c r="E57" s="52" t="s">
        <v>13274</v>
      </c>
      <c r="F57" s="52" t="s">
        <v>13275</v>
      </c>
      <c r="G57" s="52" t="s">
        <v>13276</v>
      </c>
      <c r="H57" s="52" t="s">
        <v>13277</v>
      </c>
      <c r="I57" s="52" t="s">
        <v>13329</v>
      </c>
      <c r="J57" s="56">
        <v>0</v>
      </c>
    </row>
    <row r="58" spans="1:10" x14ac:dyDescent="0.3">
      <c r="A58" t="s">
        <v>13330</v>
      </c>
      <c r="B58" s="3">
        <f>+F41</f>
        <v>4950</v>
      </c>
      <c r="C58" s="3">
        <v>0</v>
      </c>
      <c r="D58" s="3">
        <v>1.2</v>
      </c>
      <c r="E58" s="3">
        <v>0.7</v>
      </c>
      <c r="F58" s="3">
        <v>0</v>
      </c>
      <c r="G58" s="3">
        <v>0</v>
      </c>
      <c r="H58" s="50">
        <f>+B58*D58*E58</f>
        <v>4158</v>
      </c>
      <c r="I58" s="3">
        <v>0</v>
      </c>
      <c r="J58" s="54">
        <f t="shared" ref="J58:J64" si="4">SUM(G58:I58)</f>
        <v>4158</v>
      </c>
    </row>
    <row r="59" spans="1:10" x14ac:dyDescent="0.3">
      <c r="A59" t="s">
        <v>13310</v>
      </c>
      <c r="B59" s="3">
        <f>+F41</f>
        <v>4950</v>
      </c>
      <c r="C59" s="3"/>
      <c r="D59" s="3">
        <v>0.6</v>
      </c>
      <c r="E59" s="3">
        <v>0.6</v>
      </c>
      <c r="F59" s="3"/>
      <c r="G59" s="3"/>
      <c r="H59" s="50">
        <f>+H58-(B59*D59*E59)</f>
        <v>2376</v>
      </c>
      <c r="I59" s="3"/>
      <c r="J59" s="54">
        <f t="shared" si="4"/>
        <v>2376</v>
      </c>
    </row>
    <row r="60" spans="1:10" x14ac:dyDescent="0.3">
      <c r="A60" t="s">
        <v>13324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50">
        <f>(H58-H59)*1.4*5</f>
        <v>12473.999999999998</v>
      </c>
      <c r="I60" s="3"/>
      <c r="J60" s="54">
        <f t="shared" si="4"/>
        <v>12473.999999999998</v>
      </c>
    </row>
    <row r="61" spans="1:10" x14ac:dyDescent="0.3">
      <c r="A61" t="s">
        <v>13311</v>
      </c>
      <c r="B61" s="3">
        <f>+F41</f>
        <v>4950</v>
      </c>
      <c r="C61" s="3">
        <v>0</v>
      </c>
      <c r="D61" s="3">
        <v>0.6</v>
      </c>
      <c r="E61" s="3">
        <v>0.6</v>
      </c>
      <c r="F61" s="3">
        <v>0</v>
      </c>
      <c r="G61" s="50">
        <f>B61*D61*4</f>
        <v>11880</v>
      </c>
      <c r="H61" s="3">
        <v>0</v>
      </c>
      <c r="I61" s="3">
        <v>0</v>
      </c>
      <c r="J61" s="54">
        <f t="shared" si="4"/>
        <v>11880</v>
      </c>
    </row>
    <row r="62" spans="1:10" x14ac:dyDescent="0.3">
      <c r="A62" t="s">
        <v>13312</v>
      </c>
      <c r="B62" s="3">
        <f>+F41</f>
        <v>4950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50">
        <f>+B62</f>
        <v>4950</v>
      </c>
      <c r="J62" s="54">
        <f t="shared" si="4"/>
        <v>4950</v>
      </c>
    </row>
    <row r="63" spans="1:10" x14ac:dyDescent="0.3">
      <c r="A63" t="s">
        <v>13313</v>
      </c>
      <c r="B63" s="3">
        <f>+F41</f>
        <v>4950</v>
      </c>
      <c r="C63" s="3">
        <v>0</v>
      </c>
      <c r="D63" s="3">
        <v>0.6</v>
      </c>
      <c r="E63" s="3">
        <v>0.6</v>
      </c>
      <c r="F63" s="3">
        <v>0</v>
      </c>
      <c r="G63" s="3">
        <v>0</v>
      </c>
      <c r="H63" s="50">
        <f>B63*D63*E63-(B63*3.14*0.4*0.4/4)</f>
        <v>1160.2799999999997</v>
      </c>
      <c r="I63" s="3">
        <v>0</v>
      </c>
      <c r="J63" s="54">
        <f t="shared" si="4"/>
        <v>1160.2799999999997</v>
      </c>
    </row>
    <row r="64" spans="1:10" x14ac:dyDescent="0.3">
      <c r="A64" t="s">
        <v>13320</v>
      </c>
      <c r="B64" s="3">
        <f>+F41</f>
        <v>4950</v>
      </c>
      <c r="C64" s="3">
        <v>1.2</v>
      </c>
      <c r="D64" s="3">
        <v>0</v>
      </c>
      <c r="E64" s="3">
        <v>0.1</v>
      </c>
      <c r="F64" s="3">
        <v>0</v>
      </c>
      <c r="G64" s="3">
        <v>0</v>
      </c>
      <c r="H64" s="50">
        <f>+B64*C64*E64</f>
        <v>594</v>
      </c>
      <c r="I64" s="3"/>
      <c r="J64" s="54">
        <f t="shared" si="4"/>
        <v>594</v>
      </c>
    </row>
    <row r="65" spans="1:10" x14ac:dyDescent="0.3">
      <c r="A65" s="51"/>
      <c r="B65" s="52" t="s">
        <v>13328</v>
      </c>
      <c r="C65" s="52" t="s">
        <v>13272</v>
      </c>
      <c r="D65" s="52" t="s">
        <v>13273</v>
      </c>
      <c r="E65" s="52" t="s">
        <v>13274</v>
      </c>
      <c r="F65" s="52" t="s">
        <v>13275</v>
      </c>
      <c r="G65" s="52" t="s">
        <v>13276</v>
      </c>
      <c r="H65" s="52" t="s">
        <v>13277</v>
      </c>
      <c r="I65" s="52" t="s">
        <v>13329</v>
      </c>
      <c r="J65" s="56">
        <v>0</v>
      </c>
    </row>
    <row r="66" spans="1:10" x14ac:dyDescent="0.3">
      <c r="A66" t="s">
        <v>13331</v>
      </c>
      <c r="B66" s="3">
        <f>+F41</f>
        <v>4950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f>+B66*2</f>
        <v>9900</v>
      </c>
      <c r="J66" s="54">
        <f t="shared" ref="J66:J69" si="5">SUM(G66:I66)</f>
        <v>9900</v>
      </c>
    </row>
    <row r="67" spans="1:10" x14ac:dyDescent="0.3">
      <c r="A67" t="s">
        <v>13332</v>
      </c>
      <c r="B67" s="3">
        <f>+F41</f>
        <v>4950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f>+B67*2</f>
        <v>9900</v>
      </c>
      <c r="J67" s="54">
        <f t="shared" si="5"/>
        <v>9900</v>
      </c>
    </row>
    <row r="68" spans="1:10" x14ac:dyDescent="0.3">
      <c r="A68" t="s">
        <v>13333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f>25.5+22+25</f>
        <v>72.5</v>
      </c>
      <c r="J68" s="54">
        <f t="shared" si="5"/>
        <v>72.5</v>
      </c>
    </row>
    <row r="69" spans="1:10" x14ac:dyDescent="0.3">
      <c r="A69" t="s">
        <v>13334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6</v>
      </c>
      <c r="J69" s="54">
        <f t="shared" si="5"/>
        <v>6</v>
      </c>
    </row>
    <row r="70" spans="1:10" x14ac:dyDescent="0.3">
      <c r="A70" s="51"/>
      <c r="B70" s="52" t="s">
        <v>13328</v>
      </c>
      <c r="C70" s="52" t="s">
        <v>13272</v>
      </c>
      <c r="D70" s="52" t="s">
        <v>13273</v>
      </c>
      <c r="E70" s="52" t="s">
        <v>13274</v>
      </c>
      <c r="F70" s="52" t="s">
        <v>13275</v>
      </c>
      <c r="G70" s="52" t="s">
        <v>13276</v>
      </c>
      <c r="H70" s="52" t="s">
        <v>13277</v>
      </c>
      <c r="I70" s="52" t="s">
        <v>13329</v>
      </c>
      <c r="J70" s="56">
        <v>0</v>
      </c>
    </row>
    <row r="71" spans="1:10" x14ac:dyDescent="0.3">
      <c r="A71" t="s">
        <v>13330</v>
      </c>
      <c r="B71" s="3">
        <f>+F41</f>
        <v>4950</v>
      </c>
      <c r="C71" s="3">
        <v>0</v>
      </c>
      <c r="D71" s="3">
        <v>3.5</v>
      </c>
      <c r="E71" s="3">
        <v>0.15</v>
      </c>
      <c r="F71" s="3">
        <v>0</v>
      </c>
      <c r="G71" s="3">
        <v>0</v>
      </c>
      <c r="H71" s="3">
        <f>+B71*D71*E71*2</f>
        <v>5197.5</v>
      </c>
      <c r="I71" s="3">
        <v>0</v>
      </c>
      <c r="J71" s="54">
        <f t="shared" ref="J71:J75" si="6">SUM(G71:I71)</f>
        <v>5197.5</v>
      </c>
    </row>
    <row r="72" spans="1:10" x14ac:dyDescent="0.3">
      <c r="A72" t="s">
        <v>13271</v>
      </c>
      <c r="B72" s="3">
        <f>+F41</f>
        <v>4950</v>
      </c>
      <c r="C72" s="3">
        <v>0</v>
      </c>
      <c r="D72" s="3">
        <v>3.5</v>
      </c>
      <c r="E72" s="3">
        <v>0.1</v>
      </c>
      <c r="F72" s="3">
        <v>0</v>
      </c>
      <c r="G72" s="3">
        <v>0</v>
      </c>
      <c r="H72" s="3">
        <f>+B72*D72*E72*2</f>
        <v>3465</v>
      </c>
      <c r="I72" s="3">
        <v>0</v>
      </c>
      <c r="J72" s="54">
        <f t="shared" si="6"/>
        <v>3465</v>
      </c>
    </row>
    <row r="73" spans="1:10" x14ac:dyDescent="0.3">
      <c r="A73" t="s">
        <v>13324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f>+H71-H72</f>
        <v>1732.5</v>
      </c>
      <c r="I73" s="3">
        <v>0</v>
      </c>
      <c r="J73" s="54">
        <f t="shared" si="6"/>
        <v>1732.5</v>
      </c>
    </row>
    <row r="74" spans="1:10" x14ac:dyDescent="0.3">
      <c r="A74" t="s">
        <v>13335</v>
      </c>
      <c r="B74" s="3">
        <f>+F41</f>
        <v>4950</v>
      </c>
      <c r="C74" s="3">
        <v>0</v>
      </c>
      <c r="D74" s="3">
        <v>3.5</v>
      </c>
      <c r="E74" s="3">
        <v>0</v>
      </c>
      <c r="F74" s="3">
        <v>0</v>
      </c>
      <c r="G74" s="3">
        <f>+B74*D74*2</f>
        <v>34650</v>
      </c>
      <c r="H74" s="3">
        <v>0</v>
      </c>
      <c r="I74" s="3">
        <v>0</v>
      </c>
      <c r="J74" s="54">
        <f t="shared" si="6"/>
        <v>34650</v>
      </c>
    </row>
    <row r="75" spans="1:10" x14ac:dyDescent="0.3">
      <c r="A75" t="s">
        <v>13336</v>
      </c>
      <c r="B75" s="3">
        <f>+F41</f>
        <v>4950</v>
      </c>
      <c r="C75" s="3">
        <v>0</v>
      </c>
      <c r="D75" s="3">
        <v>3.5</v>
      </c>
      <c r="E75" s="3">
        <v>0.15</v>
      </c>
      <c r="F75" s="3">
        <v>0</v>
      </c>
      <c r="G75" s="3"/>
      <c r="H75" s="3">
        <f>+B75*D75*E75</f>
        <v>2598.75</v>
      </c>
      <c r="I75" s="3">
        <v>0</v>
      </c>
      <c r="J75" s="54">
        <f t="shared" si="6"/>
        <v>2598.75</v>
      </c>
    </row>
    <row r="76" spans="1:10" x14ac:dyDescent="0.3">
      <c r="A76" s="51"/>
      <c r="B76" s="52" t="s">
        <v>13328</v>
      </c>
      <c r="C76" s="52" t="s">
        <v>13272</v>
      </c>
      <c r="D76" s="52" t="s">
        <v>13273</v>
      </c>
      <c r="E76" s="52" t="s">
        <v>13274</v>
      </c>
      <c r="F76" s="52" t="s">
        <v>13275</v>
      </c>
      <c r="G76" s="52" t="s">
        <v>13276</v>
      </c>
      <c r="H76" s="52" t="s">
        <v>13277</v>
      </c>
      <c r="I76" s="52" t="s">
        <v>13329</v>
      </c>
      <c r="J76" s="56">
        <v>0</v>
      </c>
    </row>
    <row r="77" spans="1:10" x14ac:dyDescent="0.3">
      <c r="A77" s="3" t="s">
        <v>13337</v>
      </c>
      <c r="B77" s="3">
        <f>+F41</f>
        <v>4950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f>+B77*2</f>
        <v>9900</v>
      </c>
      <c r="J77" s="55">
        <f t="shared" ref="J77" si="7">SUM(G77:I77)</f>
        <v>9900</v>
      </c>
    </row>
    <row r="79" spans="1:10" x14ac:dyDescent="0.3">
      <c r="A79" t="s">
        <v>21</v>
      </c>
      <c r="B79" t="str">
        <f>+'Ficha Canais'!A7</f>
        <v>Canal: CS19 - Trecho 3</v>
      </c>
      <c r="E79" t="s">
        <v>13269</v>
      </c>
      <c r="F79" s="3">
        <f>+'Ficha Canais'!B7</f>
        <v>4292</v>
      </c>
      <c r="G79" t="s">
        <v>13270</v>
      </c>
      <c r="H79" t="s">
        <v>14586</v>
      </c>
      <c r="I79" s="3">
        <f>+I41</f>
        <v>5</v>
      </c>
    </row>
    <row r="80" spans="1:10" x14ac:dyDescent="0.3">
      <c r="A80" s="51"/>
      <c r="B80" s="52" t="s">
        <v>13328</v>
      </c>
      <c r="C80" s="52" t="s">
        <v>13272</v>
      </c>
      <c r="D80" s="52" t="s">
        <v>13273</v>
      </c>
      <c r="E80" s="52" t="s">
        <v>13274</v>
      </c>
      <c r="F80" s="52" t="s">
        <v>13275</v>
      </c>
      <c r="G80" s="52" t="s">
        <v>13276</v>
      </c>
      <c r="H80" s="52" t="s">
        <v>13277</v>
      </c>
      <c r="I80" s="52" t="s">
        <v>13329</v>
      </c>
      <c r="J80" s="53" t="s">
        <v>13309</v>
      </c>
    </row>
    <row r="81" spans="1:10" x14ac:dyDescent="0.3">
      <c r="A81" t="s">
        <v>13322</v>
      </c>
      <c r="B81" s="3">
        <f>+F79</f>
        <v>4292</v>
      </c>
      <c r="C81" s="3">
        <v>40</v>
      </c>
      <c r="D81" s="3">
        <v>0</v>
      </c>
      <c r="E81" s="3">
        <v>0</v>
      </c>
      <c r="F81" s="3">
        <v>0</v>
      </c>
      <c r="G81" s="49">
        <f>+B81*C81</f>
        <v>171680</v>
      </c>
      <c r="H81" s="47">
        <v>0</v>
      </c>
      <c r="I81" s="47">
        <v>0</v>
      </c>
      <c r="J81" s="54">
        <f>SUM(G81:I81)</f>
        <v>171680</v>
      </c>
    </row>
    <row r="82" spans="1:10" x14ac:dyDescent="0.3">
      <c r="A82" t="s">
        <v>13323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68">
        <v>257084.94</v>
      </c>
      <c r="I82" s="47">
        <v>0</v>
      </c>
      <c r="J82" s="54">
        <f t="shared" ref="J82:J94" si="8">SUM(G82:I82)</f>
        <v>257084.94</v>
      </c>
    </row>
    <row r="83" spans="1:10" x14ac:dyDescent="0.3">
      <c r="A83" t="s">
        <v>13271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68">
        <v>31272.74</v>
      </c>
      <c r="I83" s="47">
        <v>0</v>
      </c>
      <c r="J83" s="54">
        <f t="shared" si="8"/>
        <v>31272.74</v>
      </c>
    </row>
    <row r="84" spans="1:10" x14ac:dyDescent="0.3">
      <c r="A84" t="s">
        <v>13324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68">
        <f>-(H83-H82)*1.4*I79</f>
        <v>1580685.4000000001</v>
      </c>
      <c r="I84" s="47">
        <v>0</v>
      </c>
      <c r="J84" s="54">
        <f t="shared" si="8"/>
        <v>1580685.4000000001</v>
      </c>
    </row>
    <row r="85" spans="1:10" s="60" customFormat="1" x14ac:dyDescent="0.3">
      <c r="A85" s="60" t="s">
        <v>13335</v>
      </c>
      <c r="B85" s="61">
        <f>+F79</f>
        <v>4292</v>
      </c>
      <c r="C85" s="61">
        <v>0</v>
      </c>
      <c r="D85" s="61">
        <f>+'Ficha Canais'!$C$7</f>
        <v>1.2</v>
      </c>
      <c r="E85" s="61">
        <v>0</v>
      </c>
      <c r="F85" s="61">
        <v>0</v>
      </c>
      <c r="G85" s="194">
        <f>+B85*D85</f>
        <v>5150.3999999999996</v>
      </c>
      <c r="H85" s="62">
        <v>0</v>
      </c>
      <c r="I85" s="62"/>
      <c r="J85" s="195">
        <f t="shared" ref="J85" si="9">SUM(G85:I85)</f>
        <v>5150.3999999999996</v>
      </c>
    </row>
    <row r="86" spans="1:10" x14ac:dyDescent="0.3">
      <c r="A86" t="s">
        <v>13325</v>
      </c>
      <c r="B86" s="3">
        <f>+F79</f>
        <v>4292</v>
      </c>
      <c r="C86" s="3">
        <v>0</v>
      </c>
      <c r="D86" s="3">
        <v>1.2</v>
      </c>
      <c r="E86" s="3">
        <v>1.58</v>
      </c>
      <c r="F86" s="3">
        <f>(E86*1.8*2)+D86+0.8</f>
        <v>7.6880000000000006</v>
      </c>
      <c r="G86" s="69">
        <v>6715.81</v>
      </c>
      <c r="H86" s="68">
        <v>0</v>
      </c>
      <c r="I86" s="47">
        <v>0</v>
      </c>
      <c r="J86" s="54">
        <f t="shared" si="8"/>
        <v>6715.81</v>
      </c>
    </row>
    <row r="87" spans="1:10" s="60" customFormat="1" x14ac:dyDescent="0.3">
      <c r="A87" s="60" t="s">
        <v>14514</v>
      </c>
      <c r="B87" s="61">
        <f>+F79</f>
        <v>4292</v>
      </c>
      <c r="C87" s="61">
        <v>0</v>
      </c>
      <c r="D87" s="61">
        <v>0</v>
      </c>
      <c r="E87" s="61">
        <v>0</v>
      </c>
      <c r="F87" s="61">
        <v>0</v>
      </c>
      <c r="G87" s="62">
        <v>0</v>
      </c>
      <c r="H87" s="194">
        <f>+G88*0.2</f>
        <v>5372.6</v>
      </c>
      <c r="I87" s="62">
        <v>0</v>
      </c>
      <c r="J87" s="195">
        <f t="shared" ref="J87" si="10">SUM(G87:I87)</f>
        <v>5372.6</v>
      </c>
    </row>
    <row r="88" spans="1:10" x14ac:dyDescent="0.3">
      <c r="A88" t="s">
        <v>13326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69">
        <v>26863</v>
      </c>
      <c r="H88" s="68">
        <v>0</v>
      </c>
      <c r="I88" s="47">
        <v>0</v>
      </c>
      <c r="J88" s="54">
        <f t="shared" si="8"/>
        <v>26863</v>
      </c>
    </row>
    <row r="89" spans="1:10" s="60" customFormat="1" x14ac:dyDescent="0.3">
      <c r="A89" s="60" t="s">
        <v>14515</v>
      </c>
      <c r="B89" s="61">
        <f>+F79</f>
        <v>4292</v>
      </c>
      <c r="C89" s="61">
        <v>0</v>
      </c>
      <c r="D89" s="61">
        <v>0</v>
      </c>
      <c r="E89" s="61">
        <v>0</v>
      </c>
      <c r="F89" s="61">
        <v>0</v>
      </c>
      <c r="G89" s="62">
        <v>0</v>
      </c>
      <c r="H89" s="61">
        <v>0</v>
      </c>
      <c r="I89" s="194">
        <f>+B89*2</f>
        <v>8584</v>
      </c>
      <c r="J89" s="195">
        <f>+I89</f>
        <v>8584</v>
      </c>
    </row>
    <row r="90" spans="1:10" x14ac:dyDescent="0.3">
      <c r="A90" t="s">
        <v>3042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68">
        <v>0</v>
      </c>
      <c r="H90" s="68">
        <f>+G88*0.07</f>
        <v>1880.41</v>
      </c>
      <c r="I90" s="47">
        <v>0</v>
      </c>
      <c r="J90" s="54">
        <f t="shared" si="8"/>
        <v>1880.41</v>
      </c>
    </row>
    <row r="91" spans="1:10" x14ac:dyDescent="0.3">
      <c r="A91" t="s">
        <v>13327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68">
        <v>0</v>
      </c>
      <c r="H91" s="68">
        <f>+H90</f>
        <v>1880.41</v>
      </c>
      <c r="I91" s="47">
        <v>0</v>
      </c>
      <c r="J91" s="54">
        <f t="shared" si="8"/>
        <v>1880.41</v>
      </c>
    </row>
    <row r="92" spans="1:10" x14ac:dyDescent="0.3">
      <c r="A92" t="s">
        <v>13278</v>
      </c>
      <c r="B92" s="3">
        <f>+F79</f>
        <v>4292</v>
      </c>
      <c r="C92" s="3">
        <v>0</v>
      </c>
      <c r="D92" s="3">
        <v>0</v>
      </c>
      <c r="E92" s="3">
        <v>0</v>
      </c>
      <c r="F92" s="47">
        <f>+F86</f>
        <v>7.6880000000000006</v>
      </c>
      <c r="G92" s="3">
        <v>0</v>
      </c>
      <c r="H92" s="3">
        <v>0</v>
      </c>
      <c r="I92" s="49">
        <f>+B92/2*F92</f>
        <v>16498.448</v>
      </c>
      <c r="J92" s="54">
        <f t="shared" si="8"/>
        <v>16498.448</v>
      </c>
    </row>
    <row r="93" spans="1:10" x14ac:dyDescent="0.3">
      <c r="A93" t="s">
        <v>13279</v>
      </c>
      <c r="B93" s="3">
        <f>+F79</f>
        <v>4292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49">
        <f>+B93*2</f>
        <v>8584</v>
      </c>
      <c r="J93" s="54">
        <f t="shared" si="8"/>
        <v>8584</v>
      </c>
    </row>
    <row r="94" spans="1:10" x14ac:dyDescent="0.3">
      <c r="A94" t="s">
        <v>13282</v>
      </c>
      <c r="B94" s="47">
        <f>+F79</f>
        <v>4292</v>
      </c>
      <c r="C94" s="3">
        <v>12</v>
      </c>
      <c r="D94" s="3">
        <v>0</v>
      </c>
      <c r="E94" s="3">
        <v>0</v>
      </c>
      <c r="F94" s="3">
        <v>0</v>
      </c>
      <c r="G94" s="49">
        <f>+B94*C94</f>
        <v>51504</v>
      </c>
      <c r="H94" s="3">
        <v>0</v>
      </c>
      <c r="I94" s="47">
        <v>0</v>
      </c>
      <c r="J94" s="54">
        <f t="shared" si="8"/>
        <v>51504</v>
      </c>
    </row>
    <row r="95" spans="1:10" x14ac:dyDescent="0.3">
      <c r="A95" s="51"/>
      <c r="B95" s="52" t="s">
        <v>13328</v>
      </c>
      <c r="C95" s="52" t="s">
        <v>13272</v>
      </c>
      <c r="D95" s="52" t="s">
        <v>13273</v>
      </c>
      <c r="E95" s="52" t="s">
        <v>13274</v>
      </c>
      <c r="F95" s="52" t="s">
        <v>13275</v>
      </c>
      <c r="G95" s="52" t="s">
        <v>13276</v>
      </c>
      <c r="H95" s="52" t="s">
        <v>13277</v>
      </c>
      <c r="I95" s="52" t="s">
        <v>13329</v>
      </c>
      <c r="J95" s="56">
        <v>0</v>
      </c>
    </row>
    <row r="96" spans="1:10" x14ac:dyDescent="0.3">
      <c r="A96" t="s">
        <v>13330</v>
      </c>
      <c r="B96" s="3">
        <f>+F79</f>
        <v>4292</v>
      </c>
      <c r="C96" s="3">
        <v>0</v>
      </c>
      <c r="D96" s="3">
        <v>1.2</v>
      </c>
      <c r="E96" s="3">
        <v>0.7</v>
      </c>
      <c r="F96" s="3">
        <v>0</v>
      </c>
      <c r="G96" s="3">
        <v>0</v>
      </c>
      <c r="H96" s="50">
        <f>+B96*D96*E96</f>
        <v>3605.2799999999993</v>
      </c>
      <c r="I96" s="3">
        <v>0</v>
      </c>
      <c r="J96" s="54">
        <f t="shared" ref="J96:J102" si="11">SUM(G96:I96)</f>
        <v>3605.2799999999993</v>
      </c>
    </row>
    <row r="97" spans="1:10" x14ac:dyDescent="0.3">
      <c r="A97" t="s">
        <v>13310</v>
      </c>
      <c r="B97" s="3">
        <f>+F79</f>
        <v>4292</v>
      </c>
      <c r="C97" s="3"/>
      <c r="D97" s="3">
        <v>0.6</v>
      </c>
      <c r="E97" s="3">
        <v>0.6</v>
      </c>
      <c r="F97" s="3"/>
      <c r="G97" s="3"/>
      <c r="H97" s="50">
        <f>+H96-(B97*D97*E97)</f>
        <v>2060.1599999999994</v>
      </c>
      <c r="I97" s="3"/>
      <c r="J97" s="54">
        <f t="shared" si="11"/>
        <v>2060.1599999999994</v>
      </c>
    </row>
    <row r="98" spans="1:10" x14ac:dyDescent="0.3">
      <c r="A98" t="s">
        <v>13324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50">
        <f>(H96-H97)*1.4*5</f>
        <v>10815.839999999998</v>
      </c>
      <c r="I98" s="3"/>
      <c r="J98" s="54">
        <f t="shared" si="11"/>
        <v>10815.839999999998</v>
      </c>
    </row>
    <row r="99" spans="1:10" x14ac:dyDescent="0.3">
      <c r="A99" t="s">
        <v>13311</v>
      </c>
      <c r="B99" s="3">
        <f>+F79</f>
        <v>4292</v>
      </c>
      <c r="C99" s="3">
        <v>0</v>
      </c>
      <c r="D99" s="3">
        <v>0.6</v>
      </c>
      <c r="E99" s="3">
        <v>0.6</v>
      </c>
      <c r="F99" s="3">
        <v>0</v>
      </c>
      <c r="G99" s="50">
        <f>B99*D99*4</f>
        <v>10300.799999999999</v>
      </c>
      <c r="H99" s="3">
        <v>0</v>
      </c>
      <c r="I99" s="3">
        <v>0</v>
      </c>
      <c r="J99" s="54">
        <f t="shared" si="11"/>
        <v>10300.799999999999</v>
      </c>
    </row>
    <row r="100" spans="1:10" x14ac:dyDescent="0.3">
      <c r="A100" t="s">
        <v>13312</v>
      </c>
      <c r="B100" s="3">
        <f>+F79</f>
        <v>4292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50">
        <f>+B100</f>
        <v>4292</v>
      </c>
      <c r="J100" s="54">
        <f t="shared" si="11"/>
        <v>4292</v>
      </c>
    </row>
    <row r="101" spans="1:10" x14ac:dyDescent="0.3">
      <c r="A101" t="s">
        <v>13313</v>
      </c>
      <c r="B101" s="3">
        <f>+F79</f>
        <v>4292</v>
      </c>
      <c r="C101" s="3">
        <v>0</v>
      </c>
      <c r="D101" s="3">
        <v>0.6</v>
      </c>
      <c r="E101" s="3">
        <v>0.6</v>
      </c>
      <c r="F101" s="3">
        <v>0</v>
      </c>
      <c r="G101" s="3">
        <v>0</v>
      </c>
      <c r="H101" s="50">
        <f>B101*D101*E101-(B101*3.14*0.4*0.4/4)</f>
        <v>1006.0447999999998</v>
      </c>
      <c r="I101" s="3">
        <v>0</v>
      </c>
      <c r="J101" s="54">
        <f t="shared" si="11"/>
        <v>1006.0447999999998</v>
      </c>
    </row>
    <row r="102" spans="1:10" x14ac:dyDescent="0.3">
      <c r="A102" t="s">
        <v>13320</v>
      </c>
      <c r="B102" s="3">
        <f>+F79</f>
        <v>4292</v>
      </c>
      <c r="C102" s="3">
        <v>1.2</v>
      </c>
      <c r="D102" s="3">
        <v>0</v>
      </c>
      <c r="E102" s="3">
        <v>0.1</v>
      </c>
      <c r="F102" s="3">
        <v>0</v>
      </c>
      <c r="G102" s="3">
        <v>0</v>
      </c>
      <c r="H102" s="50">
        <f>+B102*C102*E102</f>
        <v>515.04</v>
      </c>
      <c r="I102" s="3"/>
      <c r="J102" s="54">
        <f t="shared" si="11"/>
        <v>515.04</v>
      </c>
    </row>
    <row r="103" spans="1:10" x14ac:dyDescent="0.3">
      <c r="A103" s="51"/>
      <c r="B103" s="52" t="s">
        <v>13328</v>
      </c>
      <c r="C103" s="52" t="s">
        <v>13272</v>
      </c>
      <c r="D103" s="52" t="s">
        <v>13273</v>
      </c>
      <c r="E103" s="52" t="s">
        <v>13274</v>
      </c>
      <c r="F103" s="52" t="s">
        <v>13275</v>
      </c>
      <c r="G103" s="52" t="s">
        <v>13276</v>
      </c>
      <c r="H103" s="52" t="s">
        <v>13277</v>
      </c>
      <c r="I103" s="52" t="s">
        <v>13329</v>
      </c>
      <c r="J103" s="56">
        <v>0</v>
      </c>
    </row>
    <row r="104" spans="1:10" x14ac:dyDescent="0.3">
      <c r="A104" t="s">
        <v>13331</v>
      </c>
      <c r="B104" s="3">
        <f>+F79</f>
        <v>4292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f>+B104*2</f>
        <v>8584</v>
      </c>
      <c r="J104" s="54">
        <f t="shared" ref="J104:J107" si="12">SUM(G104:I104)</f>
        <v>8584</v>
      </c>
    </row>
    <row r="105" spans="1:10" x14ac:dyDescent="0.3">
      <c r="A105" t="s">
        <v>13332</v>
      </c>
      <c r="B105" s="3">
        <f>+F79</f>
        <v>4292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f>+B105*2</f>
        <v>8584</v>
      </c>
      <c r="J105" s="54">
        <f t="shared" si="12"/>
        <v>8584</v>
      </c>
    </row>
    <row r="106" spans="1:10" x14ac:dyDescent="0.3">
      <c r="A106" t="s">
        <v>13333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54">
        <f t="shared" si="12"/>
        <v>0</v>
      </c>
    </row>
    <row r="107" spans="1:10" x14ac:dyDescent="0.3">
      <c r="A107" t="s">
        <v>13334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54">
        <f t="shared" si="12"/>
        <v>0</v>
      </c>
    </row>
    <row r="108" spans="1:10" x14ac:dyDescent="0.3">
      <c r="A108" s="51"/>
      <c r="B108" s="52" t="s">
        <v>13328</v>
      </c>
      <c r="C108" s="52" t="s">
        <v>13272</v>
      </c>
      <c r="D108" s="52" t="s">
        <v>13273</v>
      </c>
      <c r="E108" s="52" t="s">
        <v>13274</v>
      </c>
      <c r="F108" s="52" t="s">
        <v>13275</v>
      </c>
      <c r="G108" s="52" t="s">
        <v>13276</v>
      </c>
      <c r="H108" s="52" t="s">
        <v>13277</v>
      </c>
      <c r="I108" s="52" t="s">
        <v>13329</v>
      </c>
      <c r="J108" s="56">
        <v>0</v>
      </c>
    </row>
    <row r="109" spans="1:10" x14ac:dyDescent="0.3">
      <c r="A109" t="s">
        <v>13330</v>
      </c>
      <c r="B109" s="3">
        <f>+F79</f>
        <v>4292</v>
      </c>
      <c r="C109" s="3">
        <v>0</v>
      </c>
      <c r="D109" s="3">
        <v>3.5</v>
      </c>
      <c r="E109" s="3">
        <v>0.15</v>
      </c>
      <c r="F109" s="3">
        <v>0</v>
      </c>
      <c r="G109" s="3">
        <v>0</v>
      </c>
      <c r="H109" s="3">
        <f>+B109*D109*E109*2</f>
        <v>4506.5999999999995</v>
      </c>
      <c r="I109" s="3">
        <v>0</v>
      </c>
      <c r="J109" s="54">
        <f t="shared" ref="J109:J113" si="13">SUM(G109:I109)</f>
        <v>4506.5999999999995</v>
      </c>
    </row>
    <row r="110" spans="1:10" x14ac:dyDescent="0.3">
      <c r="A110" t="s">
        <v>13271</v>
      </c>
      <c r="B110" s="3">
        <f>+F79</f>
        <v>4292</v>
      </c>
      <c r="C110" s="3">
        <v>0</v>
      </c>
      <c r="D110" s="3">
        <v>3.5</v>
      </c>
      <c r="E110" s="3">
        <v>0.1</v>
      </c>
      <c r="F110" s="3">
        <v>0</v>
      </c>
      <c r="G110" s="3">
        <v>0</v>
      </c>
      <c r="H110" s="3">
        <f>+B110*D110*E110*2</f>
        <v>3004.4</v>
      </c>
      <c r="I110" s="3">
        <v>0</v>
      </c>
      <c r="J110" s="54">
        <f t="shared" si="13"/>
        <v>3004.4</v>
      </c>
    </row>
    <row r="111" spans="1:10" x14ac:dyDescent="0.3">
      <c r="A111" t="s">
        <v>13324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f>+H109-H110</f>
        <v>1502.1999999999994</v>
      </c>
      <c r="I111" s="3">
        <v>0</v>
      </c>
      <c r="J111" s="54">
        <f t="shared" si="13"/>
        <v>1502.1999999999994</v>
      </c>
    </row>
    <row r="112" spans="1:10" x14ac:dyDescent="0.3">
      <c r="A112" t="s">
        <v>13335</v>
      </c>
      <c r="B112" s="3">
        <f>+F79</f>
        <v>4292</v>
      </c>
      <c r="C112" s="3">
        <v>0</v>
      </c>
      <c r="D112" s="3">
        <v>3.5</v>
      </c>
      <c r="E112" s="3">
        <v>0</v>
      </c>
      <c r="F112" s="3">
        <v>0</v>
      </c>
      <c r="G112" s="3">
        <f>+B112*D112*2</f>
        <v>30044</v>
      </c>
      <c r="H112" s="3">
        <v>0</v>
      </c>
      <c r="I112" s="3">
        <v>0</v>
      </c>
      <c r="J112" s="54">
        <f t="shared" si="13"/>
        <v>30044</v>
      </c>
    </row>
    <row r="113" spans="1:10" x14ac:dyDescent="0.3">
      <c r="A113" t="s">
        <v>13336</v>
      </c>
      <c r="B113" s="3">
        <f>+F79</f>
        <v>4292</v>
      </c>
      <c r="C113" s="3">
        <v>0</v>
      </c>
      <c r="D113" s="3">
        <v>3.5</v>
      </c>
      <c r="E113" s="3">
        <v>0.15</v>
      </c>
      <c r="F113" s="3">
        <v>0</v>
      </c>
      <c r="G113" s="3"/>
      <c r="H113" s="3">
        <f>+B113*D113*E113</f>
        <v>2253.2999999999997</v>
      </c>
      <c r="I113" s="3">
        <v>0</v>
      </c>
      <c r="J113" s="54">
        <f t="shared" si="13"/>
        <v>2253.2999999999997</v>
      </c>
    </row>
    <row r="114" spans="1:10" x14ac:dyDescent="0.3">
      <c r="A114" s="51"/>
      <c r="B114" s="52" t="s">
        <v>13328</v>
      </c>
      <c r="C114" s="52" t="s">
        <v>13272</v>
      </c>
      <c r="D114" s="52" t="s">
        <v>13273</v>
      </c>
      <c r="E114" s="52" t="s">
        <v>13274</v>
      </c>
      <c r="F114" s="52" t="s">
        <v>13275</v>
      </c>
      <c r="G114" s="52" t="s">
        <v>13276</v>
      </c>
      <c r="H114" s="52" t="s">
        <v>13277</v>
      </c>
      <c r="I114" s="52" t="s">
        <v>13329</v>
      </c>
      <c r="J114" s="56">
        <v>0</v>
      </c>
    </row>
    <row r="115" spans="1:10" x14ac:dyDescent="0.3">
      <c r="A115" s="3" t="s">
        <v>13337</v>
      </c>
      <c r="B115" s="3">
        <f>+F79</f>
        <v>4292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f>+B115*2</f>
        <v>8584</v>
      </c>
      <c r="J115" s="55">
        <f t="shared" ref="J115" si="14">SUM(G115:I115)</f>
        <v>8584</v>
      </c>
    </row>
    <row r="117" spans="1:10" x14ac:dyDescent="0.3">
      <c r="A117" t="s">
        <v>21</v>
      </c>
      <c r="B117" t="str">
        <f>+'Ficha Canais'!A8</f>
        <v>Canal: CS19 - Trecho 4</v>
      </c>
      <c r="E117" t="s">
        <v>13269</v>
      </c>
      <c r="F117" s="3">
        <f>+'Ficha Canais'!B8</f>
        <v>4192</v>
      </c>
      <c r="G117" t="s">
        <v>13270</v>
      </c>
      <c r="H117" t="s">
        <v>14586</v>
      </c>
      <c r="I117" s="3">
        <f>+I79</f>
        <v>5</v>
      </c>
    </row>
    <row r="118" spans="1:10" x14ac:dyDescent="0.3">
      <c r="A118" s="51"/>
      <c r="B118" s="52" t="s">
        <v>13328</v>
      </c>
      <c r="C118" s="52" t="s">
        <v>13272</v>
      </c>
      <c r="D118" s="52" t="s">
        <v>13273</v>
      </c>
      <c r="E118" s="52" t="s">
        <v>13274</v>
      </c>
      <c r="F118" s="52" t="s">
        <v>13275</v>
      </c>
      <c r="G118" s="52" t="s">
        <v>13276</v>
      </c>
      <c r="H118" s="52" t="s">
        <v>13277</v>
      </c>
      <c r="I118" s="52" t="s">
        <v>13329</v>
      </c>
      <c r="J118" s="53" t="s">
        <v>13309</v>
      </c>
    </row>
    <row r="119" spans="1:10" x14ac:dyDescent="0.3">
      <c r="A119" t="s">
        <v>13322</v>
      </c>
      <c r="B119" s="3">
        <f>+F117</f>
        <v>4192</v>
      </c>
      <c r="C119" s="3">
        <v>40</v>
      </c>
      <c r="D119" s="3">
        <v>0</v>
      </c>
      <c r="E119" s="3">
        <v>0</v>
      </c>
      <c r="F119" s="3">
        <v>0</v>
      </c>
      <c r="G119" s="49">
        <f>+B119*C119</f>
        <v>167680</v>
      </c>
      <c r="H119" s="47">
        <v>0</v>
      </c>
      <c r="I119" s="47">
        <v>0</v>
      </c>
      <c r="J119" s="54">
        <f>SUM(G119:I119)</f>
        <v>167680</v>
      </c>
    </row>
    <row r="120" spans="1:10" x14ac:dyDescent="0.3">
      <c r="A120" t="s">
        <v>13323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68">
        <v>196281.71</v>
      </c>
      <c r="I120" s="47">
        <v>0</v>
      </c>
      <c r="J120" s="54">
        <f t="shared" ref="J120:J132" si="15">SUM(G120:I120)</f>
        <v>196281.71</v>
      </c>
    </row>
    <row r="121" spans="1:10" x14ac:dyDescent="0.3">
      <c r="A121" t="s">
        <v>13271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68">
        <v>825.37</v>
      </c>
      <c r="I121" s="47">
        <v>0</v>
      </c>
      <c r="J121" s="54">
        <f t="shared" si="15"/>
        <v>825.37</v>
      </c>
    </row>
    <row r="122" spans="1:10" x14ac:dyDescent="0.3">
      <c r="A122" t="s">
        <v>13324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68">
        <f>-(H121-H120)*1.4*I117</f>
        <v>1368194.38</v>
      </c>
      <c r="I122" s="47">
        <v>0</v>
      </c>
      <c r="J122" s="54">
        <f t="shared" si="15"/>
        <v>1368194.38</v>
      </c>
    </row>
    <row r="123" spans="1:10" s="60" customFormat="1" x14ac:dyDescent="0.3">
      <c r="A123" s="60" t="s">
        <v>13335</v>
      </c>
      <c r="B123" s="61">
        <f>+F117</f>
        <v>4192</v>
      </c>
      <c r="C123" s="61">
        <v>0</v>
      </c>
      <c r="D123" s="61">
        <f>+'Ficha Canais'!$C$8</f>
        <v>1</v>
      </c>
      <c r="E123" s="61">
        <v>0</v>
      </c>
      <c r="F123" s="61">
        <v>0</v>
      </c>
      <c r="G123" s="194">
        <f>+B123*D123</f>
        <v>4192</v>
      </c>
      <c r="H123" s="62">
        <v>0</v>
      </c>
      <c r="I123" s="62"/>
      <c r="J123" s="195">
        <f t="shared" ref="J123" si="16">SUM(G123:I123)</f>
        <v>4192</v>
      </c>
    </row>
    <row r="124" spans="1:10" x14ac:dyDescent="0.3">
      <c r="A124" t="s">
        <v>13325</v>
      </c>
      <c r="B124" s="3">
        <f>+F117</f>
        <v>4192</v>
      </c>
      <c r="C124" s="3">
        <v>0</v>
      </c>
      <c r="D124" s="3">
        <v>1</v>
      </c>
      <c r="E124" s="3">
        <v>1.37</v>
      </c>
      <c r="F124" s="3">
        <f>(E124*1.8*2)+D124+0.8</f>
        <v>6.7320000000000002</v>
      </c>
      <c r="G124" s="69">
        <v>6131.08</v>
      </c>
      <c r="H124" s="68">
        <v>0</v>
      </c>
      <c r="I124" s="47">
        <v>0</v>
      </c>
      <c r="J124" s="54">
        <f t="shared" si="15"/>
        <v>6131.08</v>
      </c>
    </row>
    <row r="125" spans="1:10" s="60" customFormat="1" x14ac:dyDescent="0.3">
      <c r="A125" s="60" t="s">
        <v>14514</v>
      </c>
      <c r="B125" s="61">
        <f>+F117</f>
        <v>4192</v>
      </c>
      <c r="C125" s="61">
        <v>0</v>
      </c>
      <c r="D125" s="61">
        <v>0</v>
      </c>
      <c r="E125" s="61">
        <v>0</v>
      </c>
      <c r="F125" s="61">
        <v>0</v>
      </c>
      <c r="G125" s="62">
        <v>0</v>
      </c>
      <c r="H125" s="194">
        <f>+G126*0.2</f>
        <v>4904.8</v>
      </c>
      <c r="I125" s="62">
        <v>0</v>
      </c>
      <c r="J125" s="195">
        <f t="shared" ref="J125" si="17">SUM(G125:I125)</f>
        <v>4904.8</v>
      </c>
    </row>
    <row r="126" spans="1:10" x14ac:dyDescent="0.3">
      <c r="A126" t="s">
        <v>13326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69">
        <v>24524</v>
      </c>
      <c r="H126" s="68">
        <v>0</v>
      </c>
      <c r="I126" s="47">
        <v>0</v>
      </c>
      <c r="J126" s="54">
        <f t="shared" si="15"/>
        <v>24524</v>
      </c>
    </row>
    <row r="127" spans="1:10" s="60" customFormat="1" x14ac:dyDescent="0.3">
      <c r="A127" s="60" t="s">
        <v>14515</v>
      </c>
      <c r="B127" s="61">
        <f>+F117</f>
        <v>4192</v>
      </c>
      <c r="C127" s="61">
        <v>0</v>
      </c>
      <c r="D127" s="61">
        <v>0</v>
      </c>
      <c r="E127" s="61">
        <v>0</v>
      </c>
      <c r="F127" s="61">
        <v>0</v>
      </c>
      <c r="G127" s="62">
        <v>0</v>
      </c>
      <c r="H127" s="61">
        <v>0</v>
      </c>
      <c r="I127" s="194">
        <f>+B127*2</f>
        <v>8384</v>
      </c>
      <c r="J127" s="195">
        <f>+I127</f>
        <v>8384</v>
      </c>
    </row>
    <row r="128" spans="1:10" x14ac:dyDescent="0.3">
      <c r="A128" t="s">
        <v>3042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68">
        <v>0</v>
      </c>
      <c r="H128" s="68">
        <f>+G126*0.07</f>
        <v>1716.68</v>
      </c>
      <c r="I128" s="47">
        <v>0</v>
      </c>
      <c r="J128" s="54">
        <f t="shared" si="15"/>
        <v>1716.68</v>
      </c>
    </row>
    <row r="129" spans="1:10" x14ac:dyDescent="0.3">
      <c r="A129" t="s">
        <v>13327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68">
        <v>0</v>
      </c>
      <c r="H129" s="68">
        <f>+H128</f>
        <v>1716.68</v>
      </c>
      <c r="I129" s="47">
        <v>0</v>
      </c>
      <c r="J129" s="54">
        <f t="shared" si="15"/>
        <v>1716.68</v>
      </c>
    </row>
    <row r="130" spans="1:10" x14ac:dyDescent="0.3">
      <c r="A130" t="s">
        <v>13278</v>
      </c>
      <c r="B130" s="3">
        <f>+F117</f>
        <v>4192</v>
      </c>
      <c r="C130" s="3">
        <v>0</v>
      </c>
      <c r="D130" s="3">
        <v>0</v>
      </c>
      <c r="E130" s="3">
        <v>0</v>
      </c>
      <c r="F130" s="47">
        <f>+F124</f>
        <v>6.7320000000000002</v>
      </c>
      <c r="G130" s="3">
        <v>0</v>
      </c>
      <c r="H130" s="3">
        <v>0</v>
      </c>
      <c r="I130" s="49">
        <f>+B130/2*F130</f>
        <v>14110.272000000001</v>
      </c>
      <c r="J130" s="54">
        <f t="shared" si="15"/>
        <v>14110.272000000001</v>
      </c>
    </row>
    <row r="131" spans="1:10" x14ac:dyDescent="0.3">
      <c r="A131" t="s">
        <v>13279</v>
      </c>
      <c r="B131" s="3">
        <f>+F117</f>
        <v>4192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49">
        <f>+B131*2</f>
        <v>8384</v>
      </c>
      <c r="J131" s="54">
        <f t="shared" si="15"/>
        <v>8384</v>
      </c>
    </row>
    <row r="132" spans="1:10" x14ac:dyDescent="0.3">
      <c r="A132" t="s">
        <v>13282</v>
      </c>
      <c r="B132" s="47">
        <f>+F117</f>
        <v>4192</v>
      </c>
      <c r="C132" s="3">
        <v>12</v>
      </c>
      <c r="D132" s="3">
        <v>0</v>
      </c>
      <c r="E132" s="3">
        <v>0</v>
      </c>
      <c r="F132" s="3">
        <v>0</v>
      </c>
      <c r="G132" s="49">
        <f>+B132*C132</f>
        <v>50304</v>
      </c>
      <c r="H132" s="3">
        <v>0</v>
      </c>
      <c r="I132" s="47">
        <v>0</v>
      </c>
      <c r="J132" s="54">
        <f t="shared" si="15"/>
        <v>50304</v>
      </c>
    </row>
    <row r="133" spans="1:10" x14ac:dyDescent="0.3">
      <c r="A133" s="51"/>
      <c r="B133" s="52" t="s">
        <v>13328</v>
      </c>
      <c r="C133" s="52" t="s">
        <v>13272</v>
      </c>
      <c r="D133" s="52" t="s">
        <v>13273</v>
      </c>
      <c r="E133" s="52" t="s">
        <v>13274</v>
      </c>
      <c r="F133" s="52" t="s">
        <v>13275</v>
      </c>
      <c r="G133" s="52" t="s">
        <v>13276</v>
      </c>
      <c r="H133" s="52" t="s">
        <v>13277</v>
      </c>
      <c r="I133" s="52" t="s">
        <v>13329</v>
      </c>
      <c r="J133" s="56">
        <v>0</v>
      </c>
    </row>
    <row r="134" spans="1:10" x14ac:dyDescent="0.3">
      <c r="A134" t="s">
        <v>13330</v>
      </c>
      <c r="B134" s="3">
        <f>+F117</f>
        <v>4192</v>
      </c>
      <c r="C134" s="3">
        <v>0</v>
      </c>
      <c r="D134" s="3">
        <v>1.2</v>
      </c>
      <c r="E134" s="3">
        <v>0.7</v>
      </c>
      <c r="F134" s="3">
        <v>0</v>
      </c>
      <c r="G134" s="3">
        <v>0</v>
      </c>
      <c r="H134" s="50">
        <f>+B134*D134*E134</f>
        <v>3521.2799999999997</v>
      </c>
      <c r="I134" s="3">
        <v>0</v>
      </c>
      <c r="J134" s="54">
        <f t="shared" ref="J134:J140" si="18">SUM(G134:I134)</f>
        <v>3521.2799999999997</v>
      </c>
    </row>
    <row r="135" spans="1:10" x14ac:dyDescent="0.3">
      <c r="A135" t="s">
        <v>13310</v>
      </c>
      <c r="B135" s="3">
        <f>+F117</f>
        <v>4192</v>
      </c>
      <c r="C135" s="3"/>
      <c r="D135" s="3">
        <v>0.6</v>
      </c>
      <c r="E135" s="3">
        <v>0.6</v>
      </c>
      <c r="F135" s="3"/>
      <c r="G135" s="3"/>
      <c r="H135" s="50">
        <f>+H134-(B135*D135*E135)</f>
        <v>2012.1599999999999</v>
      </c>
      <c r="I135" s="3"/>
      <c r="J135" s="54">
        <f t="shared" si="18"/>
        <v>2012.1599999999999</v>
      </c>
    </row>
    <row r="136" spans="1:10" x14ac:dyDescent="0.3">
      <c r="A136" t="s">
        <v>13324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50">
        <f>(H134-H135)*1.4*5</f>
        <v>10563.839999999998</v>
      </c>
      <c r="I136" s="3"/>
      <c r="J136" s="54">
        <f t="shared" si="18"/>
        <v>10563.839999999998</v>
      </c>
    </row>
    <row r="137" spans="1:10" x14ac:dyDescent="0.3">
      <c r="A137" t="s">
        <v>13311</v>
      </c>
      <c r="B137" s="3">
        <f>+F117</f>
        <v>4192</v>
      </c>
      <c r="C137" s="3">
        <v>0</v>
      </c>
      <c r="D137" s="3">
        <v>0.6</v>
      </c>
      <c r="E137" s="3">
        <v>0.6</v>
      </c>
      <c r="F137" s="3">
        <v>0</v>
      </c>
      <c r="G137" s="50">
        <f>B137*D137*4</f>
        <v>10060.799999999999</v>
      </c>
      <c r="H137" s="3">
        <v>0</v>
      </c>
      <c r="I137" s="3">
        <v>0</v>
      </c>
      <c r="J137" s="54">
        <f t="shared" si="18"/>
        <v>10060.799999999999</v>
      </c>
    </row>
    <row r="138" spans="1:10" x14ac:dyDescent="0.3">
      <c r="A138" t="s">
        <v>13312</v>
      </c>
      <c r="B138" s="3">
        <f>+F117</f>
        <v>4192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50">
        <f>+B138</f>
        <v>4192</v>
      </c>
      <c r="J138" s="54">
        <f t="shared" si="18"/>
        <v>4192</v>
      </c>
    </row>
    <row r="139" spans="1:10" x14ac:dyDescent="0.3">
      <c r="A139" t="s">
        <v>13313</v>
      </c>
      <c r="B139" s="3">
        <f>+F117</f>
        <v>4192</v>
      </c>
      <c r="C139" s="3">
        <v>0</v>
      </c>
      <c r="D139" s="3">
        <v>0.6</v>
      </c>
      <c r="E139" s="3">
        <v>0.6</v>
      </c>
      <c r="F139" s="3">
        <v>0</v>
      </c>
      <c r="G139" s="3">
        <v>0</v>
      </c>
      <c r="H139" s="50">
        <f>B139*D139*E139-(B139*3.14*0.4*0.4/4)</f>
        <v>982.60479999999973</v>
      </c>
      <c r="I139" s="3">
        <v>0</v>
      </c>
      <c r="J139" s="54">
        <f t="shared" si="18"/>
        <v>982.60479999999973</v>
      </c>
    </row>
    <row r="140" spans="1:10" x14ac:dyDescent="0.3">
      <c r="A140" t="s">
        <v>13320</v>
      </c>
      <c r="B140" s="3">
        <f>+F117</f>
        <v>4192</v>
      </c>
      <c r="C140" s="3">
        <v>1.2</v>
      </c>
      <c r="D140" s="3">
        <v>0</v>
      </c>
      <c r="E140" s="3">
        <v>0.1</v>
      </c>
      <c r="F140" s="3">
        <v>0</v>
      </c>
      <c r="G140" s="3">
        <v>0</v>
      </c>
      <c r="H140" s="50">
        <f>+B140*C140*E140</f>
        <v>503.03999999999996</v>
      </c>
      <c r="I140" s="3"/>
      <c r="J140" s="54">
        <f t="shared" si="18"/>
        <v>503.03999999999996</v>
      </c>
    </row>
    <row r="141" spans="1:10" x14ac:dyDescent="0.3">
      <c r="A141" s="51"/>
      <c r="B141" s="52" t="s">
        <v>13328</v>
      </c>
      <c r="C141" s="52" t="s">
        <v>13272</v>
      </c>
      <c r="D141" s="52" t="s">
        <v>13273</v>
      </c>
      <c r="E141" s="52" t="s">
        <v>13274</v>
      </c>
      <c r="F141" s="52" t="s">
        <v>13275</v>
      </c>
      <c r="G141" s="52" t="s">
        <v>13276</v>
      </c>
      <c r="H141" s="52" t="s">
        <v>13277</v>
      </c>
      <c r="I141" s="52" t="s">
        <v>13329</v>
      </c>
      <c r="J141" s="56">
        <v>0</v>
      </c>
    </row>
    <row r="142" spans="1:10" x14ac:dyDescent="0.3">
      <c r="A142" t="s">
        <v>13331</v>
      </c>
      <c r="B142" s="3">
        <f>+F117</f>
        <v>4192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f>+B142*2</f>
        <v>8384</v>
      </c>
      <c r="J142" s="54">
        <f t="shared" ref="J142:J145" si="19">SUM(G142:I142)</f>
        <v>8384</v>
      </c>
    </row>
    <row r="143" spans="1:10" x14ac:dyDescent="0.3">
      <c r="A143" t="s">
        <v>13332</v>
      </c>
      <c r="B143" s="3">
        <f>+F117</f>
        <v>4192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f>+B143*2</f>
        <v>8384</v>
      </c>
      <c r="J143" s="54">
        <f t="shared" si="19"/>
        <v>8384</v>
      </c>
    </row>
    <row r="144" spans="1:10" x14ac:dyDescent="0.3">
      <c r="A144" t="s">
        <v>13333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20</v>
      </c>
      <c r="J144" s="54">
        <f t="shared" si="19"/>
        <v>20</v>
      </c>
    </row>
    <row r="145" spans="1:10" x14ac:dyDescent="0.3">
      <c r="A145" t="s">
        <v>13334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2</v>
      </c>
      <c r="J145" s="54">
        <f t="shared" si="19"/>
        <v>2</v>
      </c>
    </row>
    <row r="146" spans="1:10" x14ac:dyDescent="0.3">
      <c r="A146" s="51"/>
      <c r="B146" s="52" t="s">
        <v>13328</v>
      </c>
      <c r="C146" s="52" t="s">
        <v>13272</v>
      </c>
      <c r="D146" s="52" t="s">
        <v>13273</v>
      </c>
      <c r="E146" s="52" t="s">
        <v>13274</v>
      </c>
      <c r="F146" s="52" t="s">
        <v>13275</v>
      </c>
      <c r="G146" s="52" t="s">
        <v>13276</v>
      </c>
      <c r="H146" s="52" t="s">
        <v>13277</v>
      </c>
      <c r="I146" s="52" t="s">
        <v>13329</v>
      </c>
      <c r="J146" s="56">
        <v>0</v>
      </c>
    </row>
    <row r="147" spans="1:10" x14ac:dyDescent="0.3">
      <c r="A147" t="s">
        <v>13330</v>
      </c>
      <c r="B147" s="3">
        <f>+F117</f>
        <v>4192</v>
      </c>
      <c r="C147" s="3">
        <v>0</v>
      </c>
      <c r="D147" s="3">
        <v>3.5</v>
      </c>
      <c r="E147" s="3">
        <v>0.15</v>
      </c>
      <c r="F147" s="3">
        <v>0</v>
      </c>
      <c r="G147" s="3">
        <v>0</v>
      </c>
      <c r="H147" s="3">
        <f>+B147*D147*E147*2</f>
        <v>4401.5999999999995</v>
      </c>
      <c r="I147" s="3">
        <v>0</v>
      </c>
      <c r="J147" s="54">
        <f t="shared" ref="J147:J151" si="20">SUM(G147:I147)</f>
        <v>4401.5999999999995</v>
      </c>
    </row>
    <row r="148" spans="1:10" x14ac:dyDescent="0.3">
      <c r="A148" t="s">
        <v>13271</v>
      </c>
      <c r="B148" s="3">
        <f>+F117</f>
        <v>4192</v>
      </c>
      <c r="C148" s="3">
        <v>0</v>
      </c>
      <c r="D148" s="3">
        <v>3.5</v>
      </c>
      <c r="E148" s="3">
        <v>0.1</v>
      </c>
      <c r="F148" s="3">
        <v>0</v>
      </c>
      <c r="G148" s="3">
        <v>0</v>
      </c>
      <c r="H148" s="3">
        <f>+B148*D148*E148*2</f>
        <v>2934.4</v>
      </c>
      <c r="I148" s="3">
        <v>0</v>
      </c>
      <c r="J148" s="54">
        <f t="shared" si="20"/>
        <v>2934.4</v>
      </c>
    </row>
    <row r="149" spans="1:10" x14ac:dyDescent="0.3">
      <c r="A149" t="s">
        <v>13324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f>+H147-H148</f>
        <v>1467.1999999999994</v>
      </c>
      <c r="I149" s="3">
        <v>0</v>
      </c>
      <c r="J149" s="54">
        <f t="shared" si="20"/>
        <v>1467.1999999999994</v>
      </c>
    </row>
    <row r="150" spans="1:10" x14ac:dyDescent="0.3">
      <c r="A150" t="s">
        <v>13335</v>
      </c>
      <c r="B150" s="3">
        <f>+F117</f>
        <v>4192</v>
      </c>
      <c r="C150" s="3">
        <v>0</v>
      </c>
      <c r="D150" s="3">
        <v>3.5</v>
      </c>
      <c r="E150" s="3">
        <v>0</v>
      </c>
      <c r="F150" s="3">
        <v>0</v>
      </c>
      <c r="G150" s="3">
        <f>+B150*D150*2</f>
        <v>29344</v>
      </c>
      <c r="H150" s="3">
        <v>0</v>
      </c>
      <c r="I150" s="3">
        <v>0</v>
      </c>
      <c r="J150" s="54">
        <f t="shared" si="20"/>
        <v>29344</v>
      </c>
    </row>
    <row r="151" spans="1:10" x14ac:dyDescent="0.3">
      <c r="A151" t="s">
        <v>13336</v>
      </c>
      <c r="B151" s="3">
        <f>+F117</f>
        <v>4192</v>
      </c>
      <c r="C151" s="3">
        <v>0</v>
      </c>
      <c r="D151" s="3">
        <v>3.5</v>
      </c>
      <c r="E151" s="3">
        <v>0.15</v>
      </c>
      <c r="F151" s="3">
        <v>0</v>
      </c>
      <c r="G151" s="3"/>
      <c r="H151" s="3">
        <f>+B151*D151*E151</f>
        <v>2200.7999999999997</v>
      </c>
      <c r="I151" s="3">
        <v>0</v>
      </c>
      <c r="J151" s="54">
        <f t="shared" si="20"/>
        <v>2200.7999999999997</v>
      </c>
    </row>
    <row r="152" spans="1:10" x14ac:dyDescent="0.3">
      <c r="A152" s="51"/>
      <c r="B152" s="52" t="s">
        <v>13328</v>
      </c>
      <c r="C152" s="52" t="s">
        <v>13272</v>
      </c>
      <c r="D152" s="52" t="s">
        <v>13273</v>
      </c>
      <c r="E152" s="52" t="s">
        <v>13274</v>
      </c>
      <c r="F152" s="52" t="s">
        <v>13275</v>
      </c>
      <c r="G152" s="52" t="s">
        <v>13276</v>
      </c>
      <c r="H152" s="52" t="s">
        <v>13277</v>
      </c>
      <c r="I152" s="52" t="s">
        <v>13329</v>
      </c>
      <c r="J152" s="56">
        <v>0</v>
      </c>
    </row>
    <row r="153" spans="1:10" x14ac:dyDescent="0.3">
      <c r="A153" s="3" t="s">
        <v>13337</v>
      </c>
      <c r="B153" s="3">
        <f>+F117</f>
        <v>4192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f>+B153*2</f>
        <v>8384</v>
      </c>
      <c r="J153" s="55">
        <f t="shared" ref="J153" si="21">SUM(G153:I153)</f>
        <v>8384</v>
      </c>
    </row>
    <row r="155" spans="1:10" x14ac:dyDescent="0.3">
      <c r="A155" t="s">
        <v>21</v>
      </c>
      <c r="B155" t="str">
        <f>+'Ficha Canais'!A9</f>
        <v>Canal: CS19 - Trecho 5</v>
      </c>
      <c r="E155" t="s">
        <v>13269</v>
      </c>
      <c r="F155" s="3">
        <f>+'Ficha Canais'!B9</f>
        <v>6192</v>
      </c>
      <c r="G155" t="s">
        <v>13270</v>
      </c>
      <c r="H155" t="s">
        <v>14586</v>
      </c>
      <c r="I155" s="3">
        <f>+I117</f>
        <v>5</v>
      </c>
    </row>
    <row r="156" spans="1:10" x14ac:dyDescent="0.3">
      <c r="A156" s="51"/>
      <c r="B156" s="52" t="s">
        <v>13328</v>
      </c>
      <c r="C156" s="52" t="s">
        <v>13272</v>
      </c>
      <c r="D156" s="52" t="s">
        <v>13273</v>
      </c>
      <c r="E156" s="52" t="s">
        <v>13274</v>
      </c>
      <c r="F156" s="52" t="s">
        <v>13275</v>
      </c>
      <c r="G156" s="52" t="s">
        <v>13276</v>
      </c>
      <c r="H156" s="52" t="s">
        <v>13277</v>
      </c>
      <c r="I156" s="52" t="s">
        <v>13329</v>
      </c>
      <c r="J156" s="53" t="s">
        <v>13309</v>
      </c>
    </row>
    <row r="157" spans="1:10" x14ac:dyDescent="0.3">
      <c r="A157" t="s">
        <v>13322</v>
      </c>
      <c r="B157" s="3">
        <f>+F155</f>
        <v>6192</v>
      </c>
      <c r="C157" s="3">
        <v>40</v>
      </c>
      <c r="D157" s="3">
        <v>0</v>
      </c>
      <c r="E157" s="3">
        <v>0</v>
      </c>
      <c r="F157" s="3">
        <v>0</v>
      </c>
      <c r="G157" s="49">
        <f>+B157*C157</f>
        <v>247680</v>
      </c>
      <c r="H157" s="47">
        <v>0</v>
      </c>
      <c r="I157" s="47">
        <v>0</v>
      </c>
      <c r="J157" s="54">
        <f>SUM(G157:I157)</f>
        <v>247680</v>
      </c>
    </row>
    <row r="158" spans="1:10" x14ac:dyDescent="0.3">
      <c r="A158" t="s">
        <v>13323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68">
        <v>172403.48</v>
      </c>
      <c r="I158" s="47">
        <v>0</v>
      </c>
      <c r="J158" s="54">
        <f t="shared" ref="J158:J170" si="22">SUM(G158:I158)</f>
        <v>172403.48</v>
      </c>
    </row>
    <row r="159" spans="1:10" x14ac:dyDescent="0.3">
      <c r="A159" t="s">
        <v>13271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68">
        <v>59799.23</v>
      </c>
      <c r="I159" s="47">
        <v>0</v>
      </c>
      <c r="J159" s="54">
        <f t="shared" si="22"/>
        <v>59799.23</v>
      </c>
    </row>
    <row r="160" spans="1:10" x14ac:dyDescent="0.3">
      <c r="A160" t="s">
        <v>13324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68">
        <f>-(H159-H158)*1.4*I155</f>
        <v>788229.74999999988</v>
      </c>
      <c r="I160" s="47">
        <v>0</v>
      </c>
      <c r="J160" s="54">
        <f t="shared" si="22"/>
        <v>788229.74999999988</v>
      </c>
    </row>
    <row r="161" spans="1:10" s="60" customFormat="1" x14ac:dyDescent="0.3">
      <c r="A161" s="60" t="s">
        <v>13335</v>
      </c>
      <c r="B161" s="61">
        <f>+F155</f>
        <v>6192</v>
      </c>
      <c r="C161" s="61">
        <v>0</v>
      </c>
      <c r="D161" s="61">
        <f>+'Ficha Canais'!$C$9</f>
        <v>1</v>
      </c>
      <c r="E161" s="61">
        <v>0</v>
      </c>
      <c r="F161" s="61">
        <v>0</v>
      </c>
      <c r="G161" s="194">
        <f>+B161*D161</f>
        <v>6192</v>
      </c>
      <c r="H161" s="62">
        <v>0</v>
      </c>
      <c r="I161" s="62"/>
      <c r="J161" s="195">
        <f t="shared" ref="J161" si="23">SUM(G161:I161)</f>
        <v>6192</v>
      </c>
    </row>
    <row r="162" spans="1:10" x14ac:dyDescent="0.3">
      <c r="A162" t="s">
        <v>13325</v>
      </c>
      <c r="B162" s="3">
        <f>+F155</f>
        <v>6192</v>
      </c>
      <c r="C162" s="3">
        <v>0</v>
      </c>
      <c r="D162" s="3">
        <v>1</v>
      </c>
      <c r="E162" s="3">
        <v>1.37</v>
      </c>
      <c r="F162" s="3">
        <f>(E162*1.8*2)+D162+0.8</f>
        <v>6.7320000000000002</v>
      </c>
      <c r="G162" s="69">
        <v>9056.2099999999991</v>
      </c>
      <c r="H162" s="68">
        <v>0</v>
      </c>
      <c r="I162" s="47">
        <v>0</v>
      </c>
      <c r="J162" s="54">
        <f t="shared" si="22"/>
        <v>9056.2099999999991</v>
      </c>
    </row>
    <row r="163" spans="1:10" s="60" customFormat="1" x14ac:dyDescent="0.3">
      <c r="A163" s="60" t="s">
        <v>14514</v>
      </c>
      <c r="B163" s="61">
        <f>+F155</f>
        <v>6192</v>
      </c>
      <c r="C163" s="61">
        <v>0</v>
      </c>
      <c r="D163" s="61">
        <v>0</v>
      </c>
      <c r="E163" s="61">
        <v>0</v>
      </c>
      <c r="F163" s="61">
        <v>0</v>
      </c>
      <c r="G163" s="62">
        <v>0</v>
      </c>
      <c r="H163" s="194">
        <f>+G164*0.2</f>
        <v>7245</v>
      </c>
      <c r="I163" s="62">
        <v>0</v>
      </c>
      <c r="J163" s="195">
        <f t="shared" ref="J163" si="24">SUM(G163:I163)</f>
        <v>7245</v>
      </c>
    </row>
    <row r="164" spans="1:10" x14ac:dyDescent="0.3">
      <c r="A164" t="s">
        <v>13326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69">
        <v>36225</v>
      </c>
      <c r="H164" s="68">
        <v>0</v>
      </c>
      <c r="I164" s="47">
        <v>0</v>
      </c>
      <c r="J164" s="54">
        <f t="shared" si="22"/>
        <v>36225</v>
      </c>
    </row>
    <row r="165" spans="1:10" s="60" customFormat="1" x14ac:dyDescent="0.3">
      <c r="A165" s="60" t="s">
        <v>14515</v>
      </c>
      <c r="B165" s="61">
        <f>+F155</f>
        <v>6192</v>
      </c>
      <c r="C165" s="61">
        <v>0</v>
      </c>
      <c r="D165" s="61">
        <v>0</v>
      </c>
      <c r="E165" s="61">
        <v>0</v>
      </c>
      <c r="F165" s="61">
        <v>0</v>
      </c>
      <c r="G165" s="62">
        <v>0</v>
      </c>
      <c r="H165" s="61">
        <v>0</v>
      </c>
      <c r="I165" s="194">
        <f>+B165*2</f>
        <v>12384</v>
      </c>
      <c r="J165" s="195">
        <f>+I165</f>
        <v>12384</v>
      </c>
    </row>
    <row r="166" spans="1:10" x14ac:dyDescent="0.3">
      <c r="A166" t="s">
        <v>3042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68">
        <v>0</v>
      </c>
      <c r="H166" s="68">
        <f>+G164*0.07</f>
        <v>2535.7500000000005</v>
      </c>
      <c r="I166" s="47">
        <v>0</v>
      </c>
      <c r="J166" s="54">
        <f t="shared" si="22"/>
        <v>2535.7500000000005</v>
      </c>
    </row>
    <row r="167" spans="1:10" x14ac:dyDescent="0.3">
      <c r="A167" t="s">
        <v>13327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68">
        <v>0</v>
      </c>
      <c r="H167" s="68">
        <f>+H166</f>
        <v>2535.7500000000005</v>
      </c>
      <c r="I167" s="47">
        <v>0</v>
      </c>
      <c r="J167" s="54">
        <f t="shared" si="22"/>
        <v>2535.7500000000005</v>
      </c>
    </row>
    <row r="168" spans="1:10" x14ac:dyDescent="0.3">
      <c r="A168" t="s">
        <v>13278</v>
      </c>
      <c r="B168" s="3">
        <f>+F155</f>
        <v>6192</v>
      </c>
      <c r="C168" s="3">
        <v>0</v>
      </c>
      <c r="D168" s="3">
        <v>0</v>
      </c>
      <c r="E168" s="3">
        <v>0</v>
      </c>
      <c r="F168" s="47">
        <f>+F162</f>
        <v>6.7320000000000002</v>
      </c>
      <c r="G168" s="3">
        <v>0</v>
      </c>
      <c r="H168" s="3">
        <v>0</v>
      </c>
      <c r="I168" s="49">
        <f>+B168/2*F168</f>
        <v>20842.272000000001</v>
      </c>
      <c r="J168" s="54">
        <f t="shared" si="22"/>
        <v>20842.272000000001</v>
      </c>
    </row>
    <row r="169" spans="1:10" x14ac:dyDescent="0.3">
      <c r="A169" t="s">
        <v>13279</v>
      </c>
      <c r="B169" s="3">
        <f>+F155</f>
        <v>6192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49">
        <f>+B169*2</f>
        <v>12384</v>
      </c>
      <c r="J169" s="54">
        <f t="shared" si="22"/>
        <v>12384</v>
      </c>
    </row>
    <row r="170" spans="1:10" x14ac:dyDescent="0.3">
      <c r="A170" t="s">
        <v>13282</v>
      </c>
      <c r="B170" s="47">
        <f>+F155</f>
        <v>6192</v>
      </c>
      <c r="C170" s="3">
        <v>12</v>
      </c>
      <c r="D170" s="3">
        <v>0</v>
      </c>
      <c r="E170" s="3">
        <v>0</v>
      </c>
      <c r="F170" s="3">
        <v>0</v>
      </c>
      <c r="G170" s="49">
        <f>+B170*C170</f>
        <v>74304</v>
      </c>
      <c r="H170" s="3">
        <v>0</v>
      </c>
      <c r="I170" s="47">
        <v>0</v>
      </c>
      <c r="J170" s="54">
        <f t="shared" si="22"/>
        <v>74304</v>
      </c>
    </row>
    <row r="171" spans="1:10" x14ac:dyDescent="0.3">
      <c r="A171" s="51"/>
      <c r="B171" s="52" t="s">
        <v>13328</v>
      </c>
      <c r="C171" s="52" t="s">
        <v>13272</v>
      </c>
      <c r="D171" s="52" t="s">
        <v>13273</v>
      </c>
      <c r="E171" s="52" t="s">
        <v>13274</v>
      </c>
      <c r="F171" s="52" t="s">
        <v>13275</v>
      </c>
      <c r="G171" s="52" t="s">
        <v>13276</v>
      </c>
      <c r="H171" s="52" t="s">
        <v>13277</v>
      </c>
      <c r="I171" s="52" t="s">
        <v>13329</v>
      </c>
      <c r="J171" s="56">
        <v>0</v>
      </c>
    </row>
    <row r="172" spans="1:10" x14ac:dyDescent="0.3">
      <c r="A172" t="s">
        <v>13330</v>
      </c>
      <c r="B172" s="3">
        <f>+F155</f>
        <v>6192</v>
      </c>
      <c r="C172" s="3">
        <v>0</v>
      </c>
      <c r="D172" s="3">
        <v>1.2</v>
      </c>
      <c r="E172" s="3">
        <v>0.7</v>
      </c>
      <c r="F172" s="3">
        <v>0</v>
      </c>
      <c r="G172" s="3">
        <v>0</v>
      </c>
      <c r="H172" s="50">
        <f>+B172*D172*E172</f>
        <v>5201.28</v>
      </c>
      <c r="I172" s="3">
        <v>0</v>
      </c>
      <c r="J172" s="54">
        <f t="shared" ref="J172:J178" si="25">SUM(G172:I172)</f>
        <v>5201.28</v>
      </c>
    </row>
    <row r="173" spans="1:10" x14ac:dyDescent="0.3">
      <c r="A173" t="s">
        <v>13310</v>
      </c>
      <c r="B173" s="3">
        <f>+F155</f>
        <v>6192</v>
      </c>
      <c r="C173" s="3"/>
      <c r="D173" s="3">
        <v>0.6</v>
      </c>
      <c r="E173" s="3">
        <v>0.6</v>
      </c>
      <c r="F173" s="3"/>
      <c r="G173" s="3"/>
      <c r="H173" s="50">
        <f>+H172-(B173*D173*E173)</f>
        <v>2972.16</v>
      </c>
      <c r="I173" s="3"/>
      <c r="J173" s="54">
        <f t="shared" si="25"/>
        <v>2972.16</v>
      </c>
    </row>
    <row r="174" spans="1:10" x14ac:dyDescent="0.3">
      <c r="A174" t="s">
        <v>13324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50">
        <f>(H172-H173)*1.4*5</f>
        <v>15603.839999999998</v>
      </c>
      <c r="I174" s="3"/>
      <c r="J174" s="54">
        <f t="shared" si="25"/>
        <v>15603.839999999998</v>
      </c>
    </row>
    <row r="175" spans="1:10" x14ac:dyDescent="0.3">
      <c r="A175" t="s">
        <v>13311</v>
      </c>
      <c r="B175" s="3">
        <f>+F155</f>
        <v>6192</v>
      </c>
      <c r="C175" s="3">
        <v>0</v>
      </c>
      <c r="D175" s="3">
        <v>0.6</v>
      </c>
      <c r="E175" s="3">
        <v>0.6</v>
      </c>
      <c r="F175" s="3">
        <v>0</v>
      </c>
      <c r="G175" s="50">
        <f>B175*D175*4</f>
        <v>14860.8</v>
      </c>
      <c r="H175" s="3">
        <v>0</v>
      </c>
      <c r="I175" s="3">
        <v>0</v>
      </c>
      <c r="J175" s="54">
        <f t="shared" si="25"/>
        <v>14860.8</v>
      </c>
    </row>
    <row r="176" spans="1:10" x14ac:dyDescent="0.3">
      <c r="A176" t="s">
        <v>13312</v>
      </c>
      <c r="B176" s="3">
        <f>+F155</f>
        <v>6192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50">
        <f>+B176</f>
        <v>6192</v>
      </c>
      <c r="J176" s="54">
        <f t="shared" si="25"/>
        <v>6192</v>
      </c>
    </row>
    <row r="177" spans="1:10" x14ac:dyDescent="0.3">
      <c r="A177" t="s">
        <v>13313</v>
      </c>
      <c r="B177" s="3">
        <f>+F155</f>
        <v>6192</v>
      </c>
      <c r="C177" s="3">
        <v>0</v>
      </c>
      <c r="D177" s="3">
        <v>0.6</v>
      </c>
      <c r="E177" s="3">
        <v>0.6</v>
      </c>
      <c r="F177" s="3">
        <v>0</v>
      </c>
      <c r="G177" s="3">
        <v>0</v>
      </c>
      <c r="H177" s="50">
        <f>B177*D177*E177-(B177*3.14*0.4*0.4/4)</f>
        <v>1451.4047999999998</v>
      </c>
      <c r="I177" s="3">
        <v>0</v>
      </c>
      <c r="J177" s="54">
        <f t="shared" si="25"/>
        <v>1451.4047999999998</v>
      </c>
    </row>
    <row r="178" spans="1:10" x14ac:dyDescent="0.3">
      <c r="A178" t="s">
        <v>13320</v>
      </c>
      <c r="B178" s="3">
        <f>+F155</f>
        <v>6192</v>
      </c>
      <c r="C178" s="3">
        <v>1.2</v>
      </c>
      <c r="D178" s="3">
        <v>0</v>
      </c>
      <c r="E178" s="3">
        <v>0.1</v>
      </c>
      <c r="F178" s="3">
        <v>0</v>
      </c>
      <c r="G178" s="3">
        <v>0</v>
      </c>
      <c r="H178" s="50">
        <f>+B178*C178*E178</f>
        <v>743.04</v>
      </c>
      <c r="I178" s="3"/>
      <c r="J178" s="54">
        <f t="shared" si="25"/>
        <v>743.04</v>
      </c>
    </row>
    <row r="179" spans="1:10" x14ac:dyDescent="0.3">
      <c r="A179" s="51"/>
      <c r="B179" s="52" t="s">
        <v>13328</v>
      </c>
      <c r="C179" s="52" t="s">
        <v>13272</v>
      </c>
      <c r="D179" s="52" t="s">
        <v>13273</v>
      </c>
      <c r="E179" s="52" t="s">
        <v>13274</v>
      </c>
      <c r="F179" s="52" t="s">
        <v>13275</v>
      </c>
      <c r="G179" s="52" t="s">
        <v>13276</v>
      </c>
      <c r="H179" s="52" t="s">
        <v>13277</v>
      </c>
      <c r="I179" s="52" t="s">
        <v>13329</v>
      </c>
      <c r="J179" s="56">
        <v>0</v>
      </c>
    </row>
    <row r="180" spans="1:10" x14ac:dyDescent="0.3">
      <c r="A180" t="s">
        <v>13331</v>
      </c>
      <c r="B180" s="3">
        <f>+F155</f>
        <v>6192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f>+B180*2</f>
        <v>12384</v>
      </c>
      <c r="J180" s="54">
        <f t="shared" ref="J180:J183" si="26">SUM(G180:I180)</f>
        <v>12384</v>
      </c>
    </row>
    <row r="181" spans="1:10" x14ac:dyDescent="0.3">
      <c r="A181" t="s">
        <v>13332</v>
      </c>
      <c r="B181" s="3">
        <f>+F155</f>
        <v>6192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f>+B181*2</f>
        <v>12384</v>
      </c>
      <c r="J181" s="54">
        <f t="shared" si="26"/>
        <v>12384</v>
      </c>
    </row>
    <row r="182" spans="1:10" x14ac:dyDescent="0.3">
      <c r="A182" t="s">
        <v>13333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f>19.5+22.5</f>
        <v>42</v>
      </c>
      <c r="J182" s="54">
        <f t="shared" si="26"/>
        <v>42</v>
      </c>
    </row>
    <row r="183" spans="1:10" x14ac:dyDescent="0.3">
      <c r="A183" t="s">
        <v>13334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4</v>
      </c>
      <c r="J183" s="54">
        <f t="shared" si="26"/>
        <v>4</v>
      </c>
    </row>
    <row r="184" spans="1:10" x14ac:dyDescent="0.3">
      <c r="A184" s="51"/>
      <c r="B184" s="52" t="s">
        <v>13328</v>
      </c>
      <c r="C184" s="52" t="s">
        <v>13272</v>
      </c>
      <c r="D184" s="52" t="s">
        <v>13273</v>
      </c>
      <c r="E184" s="52" t="s">
        <v>13274</v>
      </c>
      <c r="F184" s="52" t="s">
        <v>13275</v>
      </c>
      <c r="G184" s="52" t="s">
        <v>13276</v>
      </c>
      <c r="H184" s="52" t="s">
        <v>13277</v>
      </c>
      <c r="I184" s="52" t="s">
        <v>13329</v>
      </c>
      <c r="J184" s="56">
        <v>0</v>
      </c>
    </row>
    <row r="185" spans="1:10" x14ac:dyDescent="0.3">
      <c r="A185" t="s">
        <v>13330</v>
      </c>
      <c r="B185" s="3">
        <f>+F155</f>
        <v>6192</v>
      </c>
      <c r="C185" s="3">
        <v>0</v>
      </c>
      <c r="D185" s="3">
        <v>3.5</v>
      </c>
      <c r="E185" s="3">
        <v>0.15</v>
      </c>
      <c r="F185" s="3">
        <v>0</v>
      </c>
      <c r="G185" s="3">
        <v>0</v>
      </c>
      <c r="H185" s="3">
        <f>+B185*D185*E185*2</f>
        <v>6501.5999999999995</v>
      </c>
      <c r="I185" s="3">
        <v>0</v>
      </c>
      <c r="J185" s="54">
        <f t="shared" ref="J185:J189" si="27">SUM(G185:I185)</f>
        <v>6501.5999999999995</v>
      </c>
    </row>
    <row r="186" spans="1:10" x14ac:dyDescent="0.3">
      <c r="A186" t="s">
        <v>13271</v>
      </c>
      <c r="B186" s="3">
        <f>+F155</f>
        <v>6192</v>
      </c>
      <c r="C186" s="3">
        <v>0</v>
      </c>
      <c r="D186" s="3">
        <v>3.5</v>
      </c>
      <c r="E186" s="3">
        <v>0.1</v>
      </c>
      <c r="F186" s="3">
        <v>0</v>
      </c>
      <c r="G186" s="3">
        <v>0</v>
      </c>
      <c r="H186" s="3">
        <f>+B186*D186*E186*2</f>
        <v>4334.4000000000005</v>
      </c>
      <c r="I186" s="3">
        <v>0</v>
      </c>
      <c r="J186" s="54">
        <f t="shared" si="27"/>
        <v>4334.4000000000005</v>
      </c>
    </row>
    <row r="187" spans="1:10" x14ac:dyDescent="0.3">
      <c r="A187" t="s">
        <v>13324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f>+H185-H186</f>
        <v>2167.1999999999989</v>
      </c>
      <c r="I187" s="3">
        <v>0</v>
      </c>
      <c r="J187" s="54">
        <f t="shared" si="27"/>
        <v>2167.1999999999989</v>
      </c>
    </row>
    <row r="188" spans="1:10" x14ac:dyDescent="0.3">
      <c r="A188" t="s">
        <v>13335</v>
      </c>
      <c r="B188" s="3">
        <f>+F155</f>
        <v>6192</v>
      </c>
      <c r="C188" s="3">
        <v>0</v>
      </c>
      <c r="D188" s="3">
        <v>3.5</v>
      </c>
      <c r="E188" s="3">
        <v>0</v>
      </c>
      <c r="F188" s="3">
        <v>0</v>
      </c>
      <c r="G188" s="3">
        <f>+B188*D188*2</f>
        <v>43344</v>
      </c>
      <c r="H188" s="3">
        <v>0</v>
      </c>
      <c r="I188" s="3">
        <v>0</v>
      </c>
      <c r="J188" s="54">
        <f t="shared" si="27"/>
        <v>43344</v>
      </c>
    </row>
    <row r="189" spans="1:10" x14ac:dyDescent="0.3">
      <c r="A189" t="s">
        <v>13336</v>
      </c>
      <c r="B189" s="3">
        <f>+F155</f>
        <v>6192</v>
      </c>
      <c r="C189" s="3">
        <v>0</v>
      </c>
      <c r="D189" s="3">
        <v>3.5</v>
      </c>
      <c r="E189" s="3">
        <v>0.15</v>
      </c>
      <c r="F189" s="3">
        <v>0</v>
      </c>
      <c r="G189" s="3"/>
      <c r="H189" s="3">
        <f>+B189*D189*E189</f>
        <v>3250.7999999999997</v>
      </c>
      <c r="I189" s="3">
        <v>0</v>
      </c>
      <c r="J189" s="54">
        <f t="shared" si="27"/>
        <v>3250.7999999999997</v>
      </c>
    </row>
    <row r="190" spans="1:10" x14ac:dyDescent="0.3">
      <c r="A190" s="51"/>
      <c r="B190" s="52" t="s">
        <v>13328</v>
      </c>
      <c r="C190" s="52" t="s">
        <v>13272</v>
      </c>
      <c r="D190" s="52" t="s">
        <v>13273</v>
      </c>
      <c r="E190" s="52" t="s">
        <v>13274</v>
      </c>
      <c r="F190" s="52" t="s">
        <v>13275</v>
      </c>
      <c r="G190" s="52" t="s">
        <v>13276</v>
      </c>
      <c r="H190" s="52" t="s">
        <v>13277</v>
      </c>
      <c r="I190" s="52" t="s">
        <v>13329</v>
      </c>
      <c r="J190" s="56">
        <v>0</v>
      </c>
    </row>
    <row r="191" spans="1:10" x14ac:dyDescent="0.3">
      <c r="A191" s="3" t="s">
        <v>13337</v>
      </c>
      <c r="B191" s="3">
        <f>+F155</f>
        <v>6192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f>+B191*2</f>
        <v>12384</v>
      </c>
      <c r="J191" s="55">
        <f t="shared" ref="J191" si="28">SUM(G191:I191)</f>
        <v>12384</v>
      </c>
    </row>
    <row r="193" spans="1:10" x14ac:dyDescent="0.3">
      <c r="A193" t="s">
        <v>21</v>
      </c>
      <c r="B193" t="str">
        <f>+'Ficha Canais'!A10</f>
        <v>Canal: CS19 - Trecho 6</v>
      </c>
      <c r="E193" t="s">
        <v>13269</v>
      </c>
      <c r="F193" s="3">
        <f>+'Ficha Canais'!B10</f>
        <v>0</v>
      </c>
      <c r="G193" t="s">
        <v>13270</v>
      </c>
      <c r="H193" t="s">
        <v>14586</v>
      </c>
      <c r="I193" s="3">
        <f>+I155</f>
        <v>5</v>
      </c>
    </row>
    <row r="194" spans="1:10" x14ac:dyDescent="0.3">
      <c r="A194" s="51"/>
      <c r="B194" s="52" t="s">
        <v>13328</v>
      </c>
      <c r="C194" s="52" t="s">
        <v>13272</v>
      </c>
      <c r="D194" s="52" t="s">
        <v>13273</v>
      </c>
      <c r="E194" s="52" t="s">
        <v>13274</v>
      </c>
      <c r="F194" s="52" t="s">
        <v>13275</v>
      </c>
      <c r="G194" s="52" t="s">
        <v>13276</v>
      </c>
      <c r="H194" s="52" t="s">
        <v>13277</v>
      </c>
      <c r="I194" s="52" t="s">
        <v>13329</v>
      </c>
      <c r="J194" s="53" t="s">
        <v>13309</v>
      </c>
    </row>
    <row r="195" spans="1:10" x14ac:dyDescent="0.3">
      <c r="A195" t="s">
        <v>13322</v>
      </c>
      <c r="B195" s="3">
        <f>+F193</f>
        <v>0</v>
      </c>
      <c r="C195" s="3">
        <v>0</v>
      </c>
      <c r="D195" s="3">
        <v>0</v>
      </c>
      <c r="E195" s="3">
        <v>0</v>
      </c>
      <c r="F195" s="3">
        <v>0</v>
      </c>
      <c r="G195" s="49">
        <f>+B195*C195</f>
        <v>0</v>
      </c>
      <c r="H195" s="47">
        <v>0</v>
      </c>
      <c r="I195" s="47">
        <v>0</v>
      </c>
      <c r="J195" s="54">
        <f>SUM(G195:I195)</f>
        <v>0</v>
      </c>
    </row>
    <row r="196" spans="1:10" x14ac:dyDescent="0.3">
      <c r="A196" t="s">
        <v>13323</v>
      </c>
      <c r="B196" s="3">
        <v>0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68">
        <v>0</v>
      </c>
      <c r="I196" s="47">
        <v>0</v>
      </c>
      <c r="J196" s="54">
        <f t="shared" ref="J196:J208" si="29">SUM(G196:I196)</f>
        <v>0</v>
      </c>
    </row>
    <row r="197" spans="1:10" x14ac:dyDescent="0.3">
      <c r="A197" t="s">
        <v>13271</v>
      </c>
      <c r="B197" s="3">
        <v>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68">
        <v>0</v>
      </c>
      <c r="I197" s="47">
        <v>0</v>
      </c>
      <c r="J197" s="54">
        <f t="shared" si="29"/>
        <v>0</v>
      </c>
    </row>
    <row r="198" spans="1:10" x14ac:dyDescent="0.3">
      <c r="A198" t="s">
        <v>13324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68">
        <v>0</v>
      </c>
      <c r="I198" s="47">
        <v>0</v>
      </c>
      <c r="J198" s="54">
        <f t="shared" si="29"/>
        <v>0</v>
      </c>
    </row>
    <row r="199" spans="1:10" s="60" customFormat="1" x14ac:dyDescent="0.3">
      <c r="A199" s="60" t="s">
        <v>13335</v>
      </c>
      <c r="B199" s="61">
        <f>+F193</f>
        <v>0</v>
      </c>
      <c r="C199" s="61">
        <v>0</v>
      </c>
      <c r="D199" s="61">
        <f>+'Ficha Canais'!$C$10</f>
        <v>0</v>
      </c>
      <c r="E199" s="61">
        <v>0</v>
      </c>
      <c r="F199" s="61">
        <v>0</v>
      </c>
      <c r="G199" s="194">
        <f>+B199*D199</f>
        <v>0</v>
      </c>
      <c r="H199" s="62">
        <v>0</v>
      </c>
      <c r="I199" s="62"/>
      <c r="J199" s="195">
        <f t="shared" ref="J199" si="30">SUM(G199:I199)</f>
        <v>0</v>
      </c>
    </row>
    <row r="200" spans="1:10" x14ac:dyDescent="0.3">
      <c r="A200" t="s">
        <v>13325</v>
      </c>
      <c r="B200" s="3">
        <f>+F193</f>
        <v>0</v>
      </c>
      <c r="C200" s="3">
        <v>0</v>
      </c>
      <c r="D200" s="3">
        <v>0</v>
      </c>
      <c r="E200" s="3">
        <v>0</v>
      </c>
      <c r="F200" s="3">
        <v>0</v>
      </c>
      <c r="G200" s="69">
        <f>+F200*B200</f>
        <v>0</v>
      </c>
      <c r="H200" s="68">
        <v>0</v>
      </c>
      <c r="I200" s="47">
        <v>0</v>
      </c>
      <c r="J200" s="54">
        <f t="shared" si="29"/>
        <v>0</v>
      </c>
    </row>
    <row r="201" spans="1:10" s="60" customFormat="1" x14ac:dyDescent="0.3">
      <c r="A201" s="60" t="s">
        <v>14514</v>
      </c>
      <c r="B201" s="61">
        <f>+F193</f>
        <v>0</v>
      </c>
      <c r="C201" s="61">
        <v>0</v>
      </c>
      <c r="D201" s="61">
        <v>0</v>
      </c>
      <c r="E201" s="61">
        <v>0</v>
      </c>
      <c r="F201" s="61">
        <v>0</v>
      </c>
      <c r="G201" s="62">
        <v>0</v>
      </c>
      <c r="H201" s="194">
        <f>+G202*0.2</f>
        <v>0</v>
      </c>
      <c r="I201" s="62">
        <v>0</v>
      </c>
      <c r="J201" s="195">
        <f t="shared" ref="J201" si="31">SUM(G201:I201)</f>
        <v>0</v>
      </c>
    </row>
    <row r="202" spans="1:10" x14ac:dyDescent="0.3">
      <c r="A202" t="s">
        <v>13326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69">
        <f>+G200</f>
        <v>0</v>
      </c>
      <c r="H202" s="68">
        <v>0</v>
      </c>
      <c r="I202" s="47">
        <v>0</v>
      </c>
      <c r="J202" s="54">
        <f t="shared" si="29"/>
        <v>0</v>
      </c>
    </row>
    <row r="203" spans="1:10" s="60" customFormat="1" x14ac:dyDescent="0.3">
      <c r="A203" s="60" t="s">
        <v>14515</v>
      </c>
      <c r="B203" s="61">
        <f>+F193</f>
        <v>0</v>
      </c>
      <c r="C203" s="61">
        <v>0</v>
      </c>
      <c r="D203" s="61">
        <v>0</v>
      </c>
      <c r="E203" s="61">
        <v>0</v>
      </c>
      <c r="F203" s="61">
        <v>0</v>
      </c>
      <c r="G203" s="62">
        <v>0</v>
      </c>
      <c r="H203" s="61">
        <v>0</v>
      </c>
      <c r="I203" s="194">
        <f>+B203*2</f>
        <v>0</v>
      </c>
      <c r="J203" s="195">
        <f>+I203</f>
        <v>0</v>
      </c>
    </row>
    <row r="204" spans="1:10" x14ac:dyDescent="0.3">
      <c r="A204" t="s">
        <v>3042</v>
      </c>
      <c r="B204" s="3">
        <v>0</v>
      </c>
      <c r="C204" s="3">
        <v>0</v>
      </c>
      <c r="D204" s="3">
        <v>0</v>
      </c>
      <c r="E204" s="3">
        <v>0</v>
      </c>
      <c r="F204" s="3">
        <v>0</v>
      </c>
      <c r="G204" s="68">
        <v>0</v>
      </c>
      <c r="H204" s="68">
        <f>+G202*0.07</f>
        <v>0</v>
      </c>
      <c r="I204" s="47">
        <v>0</v>
      </c>
      <c r="J204" s="54">
        <f t="shared" si="29"/>
        <v>0</v>
      </c>
    </row>
    <row r="205" spans="1:10" x14ac:dyDescent="0.3">
      <c r="A205" t="s">
        <v>13327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  <c r="G205" s="68">
        <v>0</v>
      </c>
      <c r="H205" s="68">
        <f>+H204</f>
        <v>0</v>
      </c>
      <c r="I205" s="47">
        <v>0</v>
      </c>
      <c r="J205" s="54">
        <f t="shared" si="29"/>
        <v>0</v>
      </c>
    </row>
    <row r="206" spans="1:10" x14ac:dyDescent="0.3">
      <c r="A206" t="s">
        <v>13278</v>
      </c>
      <c r="B206" s="3">
        <f>+F193</f>
        <v>0</v>
      </c>
      <c r="C206" s="3">
        <v>0</v>
      </c>
      <c r="D206" s="3">
        <v>0</v>
      </c>
      <c r="E206" s="3">
        <v>0</v>
      </c>
      <c r="F206" s="47">
        <f>+F200</f>
        <v>0</v>
      </c>
      <c r="G206" s="3">
        <v>0</v>
      </c>
      <c r="H206" s="3">
        <v>0</v>
      </c>
      <c r="I206" s="49">
        <f>+B206/2*F206</f>
        <v>0</v>
      </c>
      <c r="J206" s="54">
        <f t="shared" si="29"/>
        <v>0</v>
      </c>
    </row>
    <row r="207" spans="1:10" x14ac:dyDescent="0.3">
      <c r="A207" t="s">
        <v>13279</v>
      </c>
      <c r="B207" s="3">
        <f>+F193</f>
        <v>0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49">
        <f>+B207*2</f>
        <v>0</v>
      </c>
      <c r="J207" s="54">
        <f t="shared" si="29"/>
        <v>0</v>
      </c>
    </row>
    <row r="208" spans="1:10" x14ac:dyDescent="0.3">
      <c r="A208" t="s">
        <v>13282</v>
      </c>
      <c r="B208" s="47">
        <f>+F193</f>
        <v>0</v>
      </c>
      <c r="C208" s="3">
        <v>0</v>
      </c>
      <c r="D208" s="3">
        <v>0</v>
      </c>
      <c r="E208" s="3">
        <v>0</v>
      </c>
      <c r="F208" s="3">
        <v>0</v>
      </c>
      <c r="G208" s="49">
        <f>+B208*C208</f>
        <v>0</v>
      </c>
      <c r="H208" s="3">
        <v>0</v>
      </c>
      <c r="I208" s="47">
        <v>0</v>
      </c>
      <c r="J208" s="54">
        <f t="shared" si="29"/>
        <v>0</v>
      </c>
    </row>
    <row r="209" spans="1:10" x14ac:dyDescent="0.3">
      <c r="A209" s="51"/>
      <c r="B209" s="52" t="s">
        <v>13328</v>
      </c>
      <c r="C209" s="52" t="s">
        <v>13272</v>
      </c>
      <c r="D209" s="52" t="s">
        <v>13273</v>
      </c>
      <c r="E209" s="52" t="s">
        <v>13274</v>
      </c>
      <c r="F209" s="52" t="s">
        <v>13275</v>
      </c>
      <c r="G209" s="52" t="s">
        <v>13276</v>
      </c>
      <c r="H209" s="52" t="s">
        <v>13277</v>
      </c>
      <c r="I209" s="52" t="s">
        <v>13329</v>
      </c>
      <c r="J209" s="56">
        <v>0</v>
      </c>
    </row>
    <row r="210" spans="1:10" x14ac:dyDescent="0.3">
      <c r="A210" t="s">
        <v>13330</v>
      </c>
      <c r="B210" s="3">
        <f>+F193</f>
        <v>0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50">
        <f>+B210*D210*E210</f>
        <v>0</v>
      </c>
      <c r="I210" s="3">
        <v>0</v>
      </c>
      <c r="J210" s="54">
        <f t="shared" ref="J210:J216" si="32">SUM(G210:I210)</f>
        <v>0</v>
      </c>
    </row>
    <row r="211" spans="1:10" x14ac:dyDescent="0.3">
      <c r="A211" t="s">
        <v>13310</v>
      </c>
      <c r="B211" s="3">
        <f>+F193</f>
        <v>0</v>
      </c>
      <c r="C211" s="3"/>
      <c r="D211" s="3">
        <v>0</v>
      </c>
      <c r="E211" s="3">
        <v>0</v>
      </c>
      <c r="F211" s="3"/>
      <c r="G211" s="3"/>
      <c r="H211" s="50">
        <f>+H210-(B211*D211*E211)</f>
        <v>0</v>
      </c>
      <c r="I211" s="3"/>
      <c r="J211" s="54">
        <f t="shared" si="32"/>
        <v>0</v>
      </c>
    </row>
    <row r="212" spans="1:10" x14ac:dyDescent="0.3">
      <c r="A212" t="s">
        <v>13324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50">
        <f>(H210-H211)*1.4*5</f>
        <v>0</v>
      </c>
      <c r="I212" s="3"/>
      <c r="J212" s="54">
        <f t="shared" si="32"/>
        <v>0</v>
      </c>
    </row>
    <row r="213" spans="1:10" x14ac:dyDescent="0.3">
      <c r="A213" t="s">
        <v>13311</v>
      </c>
      <c r="B213" s="3">
        <f>+F193</f>
        <v>0</v>
      </c>
      <c r="C213" s="3">
        <v>0</v>
      </c>
      <c r="D213" s="3">
        <v>0</v>
      </c>
      <c r="E213" s="3">
        <v>0</v>
      </c>
      <c r="F213" s="3">
        <v>0</v>
      </c>
      <c r="G213" s="50">
        <f>B213*D213*4</f>
        <v>0</v>
      </c>
      <c r="H213" s="3">
        <v>0</v>
      </c>
      <c r="I213" s="3">
        <v>0</v>
      </c>
      <c r="J213" s="54">
        <f t="shared" si="32"/>
        <v>0</v>
      </c>
    </row>
    <row r="214" spans="1:10" x14ac:dyDescent="0.3">
      <c r="A214" t="s">
        <v>13312</v>
      </c>
      <c r="B214" s="3">
        <f>+F193</f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50">
        <f>+B214</f>
        <v>0</v>
      </c>
      <c r="J214" s="54">
        <f t="shared" si="32"/>
        <v>0</v>
      </c>
    </row>
    <row r="215" spans="1:10" x14ac:dyDescent="0.3">
      <c r="A215" t="s">
        <v>13313</v>
      </c>
      <c r="B215" s="3">
        <f>+F193</f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50">
        <f>B215*D215*E215-(B215*3.14*0.4*0.4/4)</f>
        <v>0</v>
      </c>
      <c r="I215" s="3">
        <v>0</v>
      </c>
      <c r="J215" s="54">
        <f t="shared" si="32"/>
        <v>0</v>
      </c>
    </row>
    <row r="216" spans="1:10" x14ac:dyDescent="0.3">
      <c r="A216" t="s">
        <v>13320</v>
      </c>
      <c r="B216" s="3">
        <f>+F193</f>
        <v>0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50">
        <f>+B216*C216*E216</f>
        <v>0</v>
      </c>
      <c r="I216" s="3"/>
      <c r="J216" s="54">
        <f t="shared" si="32"/>
        <v>0</v>
      </c>
    </row>
    <row r="217" spans="1:10" x14ac:dyDescent="0.3">
      <c r="A217" s="51"/>
      <c r="B217" s="52" t="s">
        <v>13328</v>
      </c>
      <c r="C217" s="52" t="s">
        <v>13272</v>
      </c>
      <c r="D217" s="52" t="s">
        <v>13273</v>
      </c>
      <c r="E217" s="52" t="s">
        <v>13274</v>
      </c>
      <c r="F217" s="52" t="s">
        <v>13275</v>
      </c>
      <c r="G217" s="52" t="s">
        <v>13276</v>
      </c>
      <c r="H217" s="52" t="s">
        <v>13277</v>
      </c>
      <c r="I217" s="52" t="s">
        <v>13329</v>
      </c>
      <c r="J217" s="56">
        <v>0</v>
      </c>
    </row>
    <row r="218" spans="1:10" x14ac:dyDescent="0.3">
      <c r="A218" t="s">
        <v>13331</v>
      </c>
      <c r="B218" s="3">
        <f>+F193</f>
        <v>0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f>+B218*2</f>
        <v>0</v>
      </c>
      <c r="J218" s="54">
        <f t="shared" ref="J218:J221" si="33">SUM(G218:I218)</f>
        <v>0</v>
      </c>
    </row>
    <row r="219" spans="1:10" x14ac:dyDescent="0.3">
      <c r="A219" t="s">
        <v>13332</v>
      </c>
      <c r="B219" s="3">
        <f>+F193</f>
        <v>0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f>+B219*2</f>
        <v>0</v>
      </c>
      <c r="J219" s="54">
        <f t="shared" si="33"/>
        <v>0</v>
      </c>
    </row>
    <row r="220" spans="1:10" x14ac:dyDescent="0.3">
      <c r="A220" t="s">
        <v>13333</v>
      </c>
      <c r="B220" s="3">
        <v>0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54">
        <f t="shared" si="33"/>
        <v>0</v>
      </c>
    </row>
    <row r="221" spans="1:10" x14ac:dyDescent="0.3">
      <c r="A221" t="s">
        <v>13334</v>
      </c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54">
        <f t="shared" si="33"/>
        <v>0</v>
      </c>
    </row>
    <row r="222" spans="1:10" x14ac:dyDescent="0.3">
      <c r="A222" s="51"/>
      <c r="B222" s="52" t="s">
        <v>13328</v>
      </c>
      <c r="C222" s="52" t="s">
        <v>13272</v>
      </c>
      <c r="D222" s="52" t="s">
        <v>13273</v>
      </c>
      <c r="E222" s="52" t="s">
        <v>13274</v>
      </c>
      <c r="F222" s="52" t="s">
        <v>13275</v>
      </c>
      <c r="G222" s="52" t="s">
        <v>13276</v>
      </c>
      <c r="H222" s="52" t="s">
        <v>13277</v>
      </c>
      <c r="I222" s="52" t="s">
        <v>13329</v>
      </c>
      <c r="J222" s="56">
        <v>0</v>
      </c>
    </row>
    <row r="223" spans="1:10" x14ac:dyDescent="0.3">
      <c r="A223" t="s">
        <v>13330</v>
      </c>
      <c r="B223" s="3">
        <f>+F193</f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f>+B223*D223*E223*2</f>
        <v>0</v>
      </c>
      <c r="I223" s="3">
        <v>0</v>
      </c>
      <c r="J223" s="54">
        <f t="shared" ref="J223:J227" si="34">SUM(G223:I223)</f>
        <v>0</v>
      </c>
    </row>
    <row r="224" spans="1:10" x14ac:dyDescent="0.3">
      <c r="A224" t="s">
        <v>13271</v>
      </c>
      <c r="B224" s="3">
        <f>+F193</f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f>+B224*D224*E224*2</f>
        <v>0</v>
      </c>
      <c r="I224" s="3">
        <v>0</v>
      </c>
      <c r="J224" s="54">
        <f t="shared" si="34"/>
        <v>0</v>
      </c>
    </row>
    <row r="225" spans="1:10" x14ac:dyDescent="0.3">
      <c r="A225" t="s">
        <v>13324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f>+H223-H224</f>
        <v>0</v>
      </c>
      <c r="I225" s="3">
        <v>0</v>
      </c>
      <c r="J225" s="54">
        <f t="shared" si="34"/>
        <v>0</v>
      </c>
    </row>
    <row r="226" spans="1:10" x14ac:dyDescent="0.3">
      <c r="A226" t="s">
        <v>13335</v>
      </c>
      <c r="B226" s="3">
        <f>+F193</f>
        <v>0</v>
      </c>
      <c r="C226" s="3">
        <v>0</v>
      </c>
      <c r="D226" s="3">
        <v>0</v>
      </c>
      <c r="E226" s="3">
        <v>0</v>
      </c>
      <c r="F226" s="3">
        <v>0</v>
      </c>
      <c r="G226" s="3">
        <f>+B226*D226*2</f>
        <v>0</v>
      </c>
      <c r="H226" s="3">
        <v>0</v>
      </c>
      <c r="I226" s="3">
        <v>0</v>
      </c>
      <c r="J226" s="54">
        <f t="shared" si="34"/>
        <v>0</v>
      </c>
    </row>
    <row r="227" spans="1:10" x14ac:dyDescent="0.3">
      <c r="A227" t="s">
        <v>13336</v>
      </c>
      <c r="B227" s="3">
        <f>+F193</f>
        <v>0</v>
      </c>
      <c r="C227" s="3">
        <v>0</v>
      </c>
      <c r="D227" s="3">
        <v>0</v>
      </c>
      <c r="E227" s="3">
        <v>0</v>
      </c>
      <c r="F227" s="3">
        <v>0</v>
      </c>
      <c r="G227" s="3"/>
      <c r="H227" s="3">
        <f>+B227*D227*E227</f>
        <v>0</v>
      </c>
      <c r="I227" s="3">
        <v>0</v>
      </c>
      <c r="J227" s="54">
        <f t="shared" si="34"/>
        <v>0</v>
      </c>
    </row>
    <row r="228" spans="1:10" x14ac:dyDescent="0.3">
      <c r="A228" s="51"/>
      <c r="B228" s="52" t="s">
        <v>13328</v>
      </c>
      <c r="C228" s="52" t="s">
        <v>13272</v>
      </c>
      <c r="D228" s="52" t="s">
        <v>13273</v>
      </c>
      <c r="E228" s="52" t="s">
        <v>13274</v>
      </c>
      <c r="F228" s="52" t="s">
        <v>13275</v>
      </c>
      <c r="G228" s="52" t="s">
        <v>13276</v>
      </c>
      <c r="H228" s="52" t="s">
        <v>13277</v>
      </c>
      <c r="I228" s="52" t="s">
        <v>13329</v>
      </c>
      <c r="J228" s="56">
        <v>0</v>
      </c>
    </row>
    <row r="229" spans="1:10" x14ac:dyDescent="0.3">
      <c r="A229" s="3" t="s">
        <v>13337</v>
      </c>
      <c r="B229" s="3">
        <f>+F193</f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f>+B229*2</f>
        <v>0</v>
      </c>
      <c r="J229" s="55">
        <f t="shared" ref="J229" si="35">SUM(G229:I229)</f>
        <v>0</v>
      </c>
    </row>
    <row r="231" spans="1:10" x14ac:dyDescent="0.3">
      <c r="A231" t="s">
        <v>21</v>
      </c>
      <c r="B231" t="str">
        <f>+'Ficha Canais'!A11</f>
        <v>Canal: CT1-CS19 - Trecho 1</v>
      </c>
      <c r="E231" t="s">
        <v>13269</v>
      </c>
      <c r="F231" s="3">
        <v>5349</v>
      </c>
      <c r="G231" t="s">
        <v>13270</v>
      </c>
      <c r="H231" t="s">
        <v>14586</v>
      </c>
      <c r="I231" s="3">
        <f>+I193</f>
        <v>5</v>
      </c>
    </row>
    <row r="232" spans="1:10" x14ac:dyDescent="0.3">
      <c r="A232" s="51"/>
      <c r="B232" s="52" t="s">
        <v>13328</v>
      </c>
      <c r="C232" s="52" t="s">
        <v>13272</v>
      </c>
      <c r="D232" s="52" t="s">
        <v>13273</v>
      </c>
      <c r="E232" s="52" t="s">
        <v>13274</v>
      </c>
      <c r="F232" s="52" t="s">
        <v>13275</v>
      </c>
      <c r="G232" s="52" t="s">
        <v>13276</v>
      </c>
      <c r="H232" s="52" t="s">
        <v>13277</v>
      </c>
      <c r="I232" s="52" t="s">
        <v>13329</v>
      </c>
      <c r="J232" s="53" t="s">
        <v>13309</v>
      </c>
    </row>
    <row r="233" spans="1:10" x14ac:dyDescent="0.3">
      <c r="A233" t="s">
        <v>13322</v>
      </c>
      <c r="B233" s="3">
        <f>+F231</f>
        <v>5349</v>
      </c>
      <c r="C233" s="3">
        <v>40</v>
      </c>
      <c r="D233" s="3">
        <v>0</v>
      </c>
      <c r="E233" s="3">
        <v>0</v>
      </c>
      <c r="F233" s="3">
        <v>0</v>
      </c>
      <c r="G233" s="49">
        <f>+B233*C233</f>
        <v>213960</v>
      </c>
      <c r="H233" s="47">
        <v>0</v>
      </c>
      <c r="I233" s="47">
        <v>0</v>
      </c>
      <c r="J233" s="54">
        <f>SUM(G233:I233)</f>
        <v>213960</v>
      </c>
    </row>
    <row r="234" spans="1:10" x14ac:dyDescent="0.3">
      <c r="A234" t="s">
        <v>13323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68">
        <v>54668.67</v>
      </c>
      <c r="I234" s="47">
        <v>0</v>
      </c>
      <c r="J234" s="54">
        <f t="shared" ref="J234:J246" si="36">SUM(G234:I234)</f>
        <v>54668.67</v>
      </c>
    </row>
    <row r="235" spans="1:10" x14ac:dyDescent="0.3">
      <c r="A235" t="s">
        <v>13271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68">
        <v>36393.86</v>
      </c>
      <c r="I235" s="47">
        <v>0</v>
      </c>
      <c r="J235" s="54">
        <f t="shared" si="36"/>
        <v>36393.86</v>
      </c>
    </row>
    <row r="236" spans="1:10" x14ac:dyDescent="0.3">
      <c r="A236" t="s">
        <v>13324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68">
        <f>-(H235-H234)*1.4*I231</f>
        <v>127923.66999999998</v>
      </c>
      <c r="I236" s="47">
        <v>0</v>
      </c>
      <c r="J236" s="54">
        <f t="shared" si="36"/>
        <v>127923.66999999998</v>
      </c>
    </row>
    <row r="237" spans="1:10" s="60" customFormat="1" x14ac:dyDescent="0.3">
      <c r="A237" s="60" t="s">
        <v>13335</v>
      </c>
      <c r="B237" s="61">
        <f>+F231</f>
        <v>5349</v>
      </c>
      <c r="C237" s="61">
        <v>0</v>
      </c>
      <c r="D237" s="61">
        <f>+'Ficha Canais'!$C$11</f>
        <v>0.8</v>
      </c>
      <c r="E237" s="61">
        <v>0</v>
      </c>
      <c r="F237" s="61">
        <v>0</v>
      </c>
      <c r="G237" s="194">
        <f>+B237*D237</f>
        <v>4279.2</v>
      </c>
      <c r="H237" s="62">
        <v>0</v>
      </c>
      <c r="I237" s="62"/>
      <c r="J237" s="195">
        <f t="shared" ref="J237" si="37">SUM(G237:I237)</f>
        <v>4279.2</v>
      </c>
    </row>
    <row r="238" spans="1:10" x14ac:dyDescent="0.3">
      <c r="A238" t="s">
        <v>13325</v>
      </c>
      <c r="B238" s="3">
        <f>+F231</f>
        <v>5349</v>
      </c>
      <c r="C238" s="3">
        <v>0</v>
      </c>
      <c r="D238" s="3">
        <v>0.8</v>
      </c>
      <c r="E238" s="3">
        <v>1.1599999999999999</v>
      </c>
      <c r="F238" s="3">
        <f>(E238*1.8*2)+D238+0.8</f>
        <v>5.7759999999999998</v>
      </c>
      <c r="G238" s="69">
        <v>6601</v>
      </c>
      <c r="H238" s="68">
        <v>0</v>
      </c>
      <c r="I238" s="47">
        <v>0</v>
      </c>
      <c r="J238" s="54">
        <f t="shared" si="36"/>
        <v>6601</v>
      </c>
    </row>
    <row r="239" spans="1:10" s="60" customFormat="1" x14ac:dyDescent="0.3">
      <c r="A239" s="60" t="s">
        <v>14514</v>
      </c>
      <c r="B239" s="61">
        <f>+F231</f>
        <v>5349</v>
      </c>
      <c r="C239" s="61">
        <v>0</v>
      </c>
      <c r="D239" s="61">
        <v>0</v>
      </c>
      <c r="E239" s="61">
        <v>0</v>
      </c>
      <c r="F239" s="61">
        <v>0</v>
      </c>
      <c r="G239" s="62">
        <v>0</v>
      </c>
      <c r="H239" s="194">
        <f>+G240*0.2</f>
        <v>5280.8</v>
      </c>
      <c r="I239" s="62">
        <v>0</v>
      </c>
      <c r="J239" s="195">
        <f t="shared" ref="J239" si="38">SUM(G239:I239)</f>
        <v>5280.8</v>
      </c>
    </row>
    <row r="240" spans="1:10" x14ac:dyDescent="0.3">
      <c r="A240" t="s">
        <v>13326</v>
      </c>
      <c r="B240" s="3">
        <v>0</v>
      </c>
      <c r="C240" s="3">
        <v>0</v>
      </c>
      <c r="D240" s="3">
        <v>0</v>
      </c>
      <c r="E240" s="3">
        <v>0</v>
      </c>
      <c r="F240" s="3">
        <v>0</v>
      </c>
      <c r="G240" s="69">
        <v>26404</v>
      </c>
      <c r="H240" s="68">
        <v>0</v>
      </c>
      <c r="I240" s="47">
        <v>0</v>
      </c>
      <c r="J240" s="54">
        <f t="shared" si="36"/>
        <v>26404</v>
      </c>
    </row>
    <row r="241" spans="1:10" s="60" customFormat="1" x14ac:dyDescent="0.3">
      <c r="A241" s="60" t="s">
        <v>14515</v>
      </c>
      <c r="B241" s="61">
        <f>+F231</f>
        <v>5349</v>
      </c>
      <c r="C241" s="61">
        <v>0</v>
      </c>
      <c r="D241" s="61">
        <v>0</v>
      </c>
      <c r="E241" s="61">
        <v>0</v>
      </c>
      <c r="F241" s="61">
        <v>0</v>
      </c>
      <c r="G241" s="62">
        <v>0</v>
      </c>
      <c r="H241" s="61">
        <v>0</v>
      </c>
      <c r="I241" s="194">
        <f>+B241*2</f>
        <v>10698</v>
      </c>
      <c r="J241" s="195">
        <f>+I241</f>
        <v>10698</v>
      </c>
    </row>
    <row r="242" spans="1:10" x14ac:dyDescent="0.3">
      <c r="A242" t="s">
        <v>3042</v>
      </c>
      <c r="B242" s="3">
        <v>0</v>
      </c>
      <c r="C242" s="3">
        <v>0</v>
      </c>
      <c r="D242" s="3">
        <v>0</v>
      </c>
      <c r="E242" s="3">
        <v>0</v>
      </c>
      <c r="F242" s="3">
        <v>0</v>
      </c>
      <c r="G242" s="68">
        <v>0</v>
      </c>
      <c r="H242" s="68">
        <f>+G240*0.07</f>
        <v>1848.2800000000002</v>
      </c>
      <c r="I242" s="47">
        <v>0</v>
      </c>
      <c r="J242" s="54">
        <f t="shared" si="36"/>
        <v>1848.2800000000002</v>
      </c>
    </row>
    <row r="243" spans="1:10" x14ac:dyDescent="0.3">
      <c r="A243" t="s">
        <v>13327</v>
      </c>
      <c r="B243" s="3">
        <v>0</v>
      </c>
      <c r="C243" s="3">
        <v>0</v>
      </c>
      <c r="D243" s="3">
        <v>0</v>
      </c>
      <c r="E243" s="3">
        <v>0</v>
      </c>
      <c r="F243" s="3">
        <v>0</v>
      </c>
      <c r="G243" s="68">
        <v>0</v>
      </c>
      <c r="H243" s="68">
        <f>+H242</f>
        <v>1848.2800000000002</v>
      </c>
      <c r="I243" s="47">
        <v>0</v>
      </c>
      <c r="J243" s="54">
        <f t="shared" si="36"/>
        <v>1848.2800000000002</v>
      </c>
    </row>
    <row r="244" spans="1:10" x14ac:dyDescent="0.3">
      <c r="A244" t="s">
        <v>13278</v>
      </c>
      <c r="B244" s="3">
        <f>+F231</f>
        <v>5349</v>
      </c>
      <c r="C244" s="3">
        <v>0</v>
      </c>
      <c r="D244" s="3">
        <v>0</v>
      </c>
      <c r="E244" s="3">
        <v>0</v>
      </c>
      <c r="F244" s="47">
        <f>+F238</f>
        <v>5.7759999999999998</v>
      </c>
      <c r="G244" s="3">
        <v>0</v>
      </c>
      <c r="H244" s="3">
        <v>0</v>
      </c>
      <c r="I244" s="49">
        <f>+B244/2*F244</f>
        <v>15447.912</v>
      </c>
      <c r="J244" s="54">
        <f t="shared" si="36"/>
        <v>15447.912</v>
      </c>
    </row>
    <row r="245" spans="1:10" x14ac:dyDescent="0.3">
      <c r="A245" t="s">
        <v>13279</v>
      </c>
      <c r="B245" s="3">
        <f>+F231</f>
        <v>5349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49">
        <f>+B245*2</f>
        <v>10698</v>
      </c>
      <c r="J245" s="54">
        <f t="shared" si="36"/>
        <v>10698</v>
      </c>
    </row>
    <row r="246" spans="1:10" x14ac:dyDescent="0.3">
      <c r="A246" t="s">
        <v>13282</v>
      </c>
      <c r="B246" s="47">
        <f>+F231</f>
        <v>5349</v>
      </c>
      <c r="C246" s="3">
        <v>12</v>
      </c>
      <c r="D246" s="3">
        <v>0</v>
      </c>
      <c r="E246" s="3">
        <v>0</v>
      </c>
      <c r="F246" s="3">
        <v>0</v>
      </c>
      <c r="G246" s="49">
        <f>+B246*C246</f>
        <v>64188</v>
      </c>
      <c r="H246" s="3">
        <v>0</v>
      </c>
      <c r="I246" s="47">
        <v>0</v>
      </c>
      <c r="J246" s="54">
        <f t="shared" si="36"/>
        <v>64188</v>
      </c>
    </row>
    <row r="247" spans="1:10" x14ac:dyDescent="0.3">
      <c r="A247" s="51"/>
      <c r="B247" s="52" t="s">
        <v>13328</v>
      </c>
      <c r="C247" s="52" t="s">
        <v>13272</v>
      </c>
      <c r="D247" s="52" t="s">
        <v>13273</v>
      </c>
      <c r="E247" s="52" t="s">
        <v>13274</v>
      </c>
      <c r="F247" s="52" t="s">
        <v>13275</v>
      </c>
      <c r="G247" s="52" t="s">
        <v>13276</v>
      </c>
      <c r="H247" s="52" t="s">
        <v>13277</v>
      </c>
      <c r="I247" s="52" t="s">
        <v>13329</v>
      </c>
      <c r="J247" s="56">
        <v>0</v>
      </c>
    </row>
    <row r="248" spans="1:10" x14ac:dyDescent="0.3">
      <c r="A248" t="s">
        <v>13330</v>
      </c>
      <c r="B248" s="3">
        <f>+F231</f>
        <v>5349</v>
      </c>
      <c r="C248" s="3">
        <v>0</v>
      </c>
      <c r="D248" s="3">
        <v>1.2</v>
      </c>
      <c r="E248" s="3">
        <v>0.7</v>
      </c>
      <c r="F248" s="3">
        <v>0</v>
      </c>
      <c r="G248" s="3">
        <v>0</v>
      </c>
      <c r="H248" s="50">
        <f>+B248*D248*E248</f>
        <v>4493.16</v>
      </c>
      <c r="I248" s="3">
        <v>0</v>
      </c>
      <c r="J248" s="54">
        <f t="shared" ref="J248:J254" si="39">SUM(G248:I248)</f>
        <v>4493.16</v>
      </c>
    </row>
    <row r="249" spans="1:10" x14ac:dyDescent="0.3">
      <c r="A249" t="s">
        <v>13310</v>
      </c>
      <c r="B249" s="3">
        <f>+F231</f>
        <v>5349</v>
      </c>
      <c r="C249" s="3"/>
      <c r="D249" s="3">
        <v>0.6</v>
      </c>
      <c r="E249" s="3">
        <v>0.6</v>
      </c>
      <c r="F249" s="3"/>
      <c r="G249" s="3"/>
      <c r="H249" s="50">
        <f>+H248-(B249*D249*E249)</f>
        <v>2567.52</v>
      </c>
      <c r="I249" s="3"/>
      <c r="J249" s="54">
        <f t="shared" si="39"/>
        <v>2567.52</v>
      </c>
    </row>
    <row r="250" spans="1:10" x14ac:dyDescent="0.3">
      <c r="A250" t="s">
        <v>13324</v>
      </c>
      <c r="B250" s="3">
        <v>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50">
        <f>(H248-H249)*1.4*5</f>
        <v>13479.48</v>
      </c>
      <c r="I250" s="3"/>
      <c r="J250" s="54">
        <f t="shared" si="39"/>
        <v>13479.48</v>
      </c>
    </row>
    <row r="251" spans="1:10" x14ac:dyDescent="0.3">
      <c r="A251" t="s">
        <v>13311</v>
      </c>
      <c r="B251" s="3">
        <f>+F231</f>
        <v>5349</v>
      </c>
      <c r="C251" s="3">
        <v>0</v>
      </c>
      <c r="D251" s="3">
        <v>0.6</v>
      </c>
      <c r="E251" s="3">
        <v>0.6</v>
      </c>
      <c r="F251" s="3">
        <v>0</v>
      </c>
      <c r="G251" s="50">
        <f>B251*D251*4</f>
        <v>12837.6</v>
      </c>
      <c r="H251" s="3">
        <v>0</v>
      </c>
      <c r="I251" s="3">
        <v>0</v>
      </c>
      <c r="J251" s="54">
        <f t="shared" si="39"/>
        <v>12837.6</v>
      </c>
    </row>
    <row r="252" spans="1:10" x14ac:dyDescent="0.3">
      <c r="A252" t="s">
        <v>13312</v>
      </c>
      <c r="B252" s="3">
        <f>+F231</f>
        <v>5349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50">
        <f>+B252</f>
        <v>5349</v>
      </c>
      <c r="J252" s="54">
        <f t="shared" si="39"/>
        <v>5349</v>
      </c>
    </row>
    <row r="253" spans="1:10" x14ac:dyDescent="0.3">
      <c r="A253" t="s">
        <v>13313</v>
      </c>
      <c r="B253" s="3">
        <f>+F231</f>
        <v>5349</v>
      </c>
      <c r="C253" s="3">
        <v>0</v>
      </c>
      <c r="D253" s="3">
        <v>0.6</v>
      </c>
      <c r="E253" s="3">
        <v>0.6</v>
      </c>
      <c r="F253" s="3">
        <v>0</v>
      </c>
      <c r="G253" s="3">
        <v>0</v>
      </c>
      <c r="H253" s="50">
        <f>B253*D253*E253-(B253*3.14*0.4*0.4/4)</f>
        <v>1253.8055999999997</v>
      </c>
      <c r="I253" s="3">
        <v>0</v>
      </c>
      <c r="J253" s="54">
        <f t="shared" si="39"/>
        <v>1253.8055999999997</v>
      </c>
    </row>
    <row r="254" spans="1:10" x14ac:dyDescent="0.3">
      <c r="A254" t="s">
        <v>13320</v>
      </c>
      <c r="B254" s="3">
        <f>+F231</f>
        <v>5349</v>
      </c>
      <c r="C254" s="3">
        <v>1.2</v>
      </c>
      <c r="D254" s="3">
        <v>0</v>
      </c>
      <c r="E254" s="3">
        <v>0.1</v>
      </c>
      <c r="F254" s="3">
        <v>0</v>
      </c>
      <c r="G254" s="3">
        <v>0</v>
      </c>
      <c r="H254" s="50">
        <f>+B254*C254*E254</f>
        <v>641.88000000000011</v>
      </c>
      <c r="I254" s="3"/>
      <c r="J254" s="54">
        <f t="shared" si="39"/>
        <v>641.88000000000011</v>
      </c>
    </row>
    <row r="255" spans="1:10" x14ac:dyDescent="0.3">
      <c r="A255" s="51"/>
      <c r="B255" s="52" t="s">
        <v>13328</v>
      </c>
      <c r="C255" s="52" t="s">
        <v>13272</v>
      </c>
      <c r="D255" s="52" t="s">
        <v>13273</v>
      </c>
      <c r="E255" s="52" t="s">
        <v>13274</v>
      </c>
      <c r="F255" s="52" t="s">
        <v>13275</v>
      </c>
      <c r="G255" s="52" t="s">
        <v>13276</v>
      </c>
      <c r="H255" s="52" t="s">
        <v>13277</v>
      </c>
      <c r="I255" s="52" t="s">
        <v>13329</v>
      </c>
      <c r="J255" s="56">
        <v>0</v>
      </c>
    </row>
    <row r="256" spans="1:10" x14ac:dyDescent="0.3">
      <c r="A256" t="s">
        <v>13331</v>
      </c>
      <c r="B256" s="3">
        <f>+F231</f>
        <v>5349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f>+B256*2</f>
        <v>10698</v>
      </c>
      <c r="J256" s="54">
        <f t="shared" ref="J256:J259" si="40">SUM(G256:I256)</f>
        <v>10698</v>
      </c>
    </row>
    <row r="257" spans="1:10" x14ac:dyDescent="0.3">
      <c r="A257" t="s">
        <v>13332</v>
      </c>
      <c r="B257" s="3">
        <f>+F231</f>
        <v>5349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f>+B257*2</f>
        <v>10698</v>
      </c>
      <c r="J257" s="54">
        <f t="shared" si="40"/>
        <v>10698</v>
      </c>
    </row>
    <row r="258" spans="1:10" x14ac:dyDescent="0.3">
      <c r="A258" t="s">
        <v>13333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26</v>
      </c>
      <c r="J258" s="54">
        <f t="shared" si="40"/>
        <v>26</v>
      </c>
    </row>
    <row r="259" spans="1:10" x14ac:dyDescent="0.3">
      <c r="A259" t="s">
        <v>13334</v>
      </c>
      <c r="B259" s="3">
        <v>0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2</v>
      </c>
      <c r="J259" s="54">
        <f t="shared" si="40"/>
        <v>2</v>
      </c>
    </row>
    <row r="260" spans="1:10" x14ac:dyDescent="0.3">
      <c r="A260" s="51"/>
      <c r="B260" s="52" t="s">
        <v>13328</v>
      </c>
      <c r="C260" s="52" t="s">
        <v>13272</v>
      </c>
      <c r="D260" s="52" t="s">
        <v>13273</v>
      </c>
      <c r="E260" s="52" t="s">
        <v>13274</v>
      </c>
      <c r="F260" s="52" t="s">
        <v>13275</v>
      </c>
      <c r="G260" s="52" t="s">
        <v>13276</v>
      </c>
      <c r="H260" s="52" t="s">
        <v>13277</v>
      </c>
      <c r="I260" s="52" t="s">
        <v>13329</v>
      </c>
      <c r="J260" s="56">
        <v>0</v>
      </c>
    </row>
    <row r="261" spans="1:10" x14ac:dyDescent="0.3">
      <c r="A261" t="s">
        <v>13330</v>
      </c>
      <c r="B261" s="3">
        <f>+F231</f>
        <v>5349</v>
      </c>
      <c r="C261" s="3">
        <v>0</v>
      </c>
      <c r="D261" s="3">
        <v>3.5</v>
      </c>
      <c r="E261" s="3">
        <v>0.15</v>
      </c>
      <c r="F261" s="3">
        <v>0</v>
      </c>
      <c r="G261" s="3">
        <v>0</v>
      </c>
      <c r="H261" s="3">
        <f>+B261*D261*E261*2</f>
        <v>5616.45</v>
      </c>
      <c r="I261" s="3">
        <v>0</v>
      </c>
      <c r="J261" s="54">
        <f t="shared" ref="J261:J265" si="41">SUM(G261:I261)</f>
        <v>5616.45</v>
      </c>
    </row>
    <row r="262" spans="1:10" x14ac:dyDescent="0.3">
      <c r="A262" t="s">
        <v>13271</v>
      </c>
      <c r="B262" s="3">
        <f>+F231</f>
        <v>5349</v>
      </c>
      <c r="C262" s="3">
        <v>0</v>
      </c>
      <c r="D262" s="3">
        <v>3.5</v>
      </c>
      <c r="E262" s="3">
        <v>0.1</v>
      </c>
      <c r="F262" s="3">
        <v>0</v>
      </c>
      <c r="G262" s="3">
        <v>0</v>
      </c>
      <c r="H262" s="3">
        <f>+B262*D262*E262*2</f>
        <v>3744.3</v>
      </c>
      <c r="I262" s="3">
        <v>0</v>
      </c>
      <c r="J262" s="54">
        <f t="shared" si="41"/>
        <v>3744.3</v>
      </c>
    </row>
    <row r="263" spans="1:10" x14ac:dyDescent="0.3">
      <c r="A263" t="s">
        <v>13324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f>+H261-H262</f>
        <v>1872.1499999999996</v>
      </c>
      <c r="I263" s="3">
        <v>0</v>
      </c>
      <c r="J263" s="54">
        <f t="shared" si="41"/>
        <v>1872.1499999999996</v>
      </c>
    </row>
    <row r="264" spans="1:10" x14ac:dyDescent="0.3">
      <c r="A264" t="s">
        <v>13335</v>
      </c>
      <c r="B264" s="3">
        <f>+F231</f>
        <v>5349</v>
      </c>
      <c r="C264" s="3">
        <v>0</v>
      </c>
      <c r="D264" s="3">
        <v>3.5</v>
      </c>
      <c r="E264" s="3">
        <v>0</v>
      </c>
      <c r="F264" s="3">
        <v>0</v>
      </c>
      <c r="G264" s="3">
        <f>+B264*D264*2</f>
        <v>37443</v>
      </c>
      <c r="H264" s="3">
        <v>0</v>
      </c>
      <c r="I264" s="3">
        <v>0</v>
      </c>
      <c r="J264" s="54">
        <f t="shared" si="41"/>
        <v>37443</v>
      </c>
    </row>
    <row r="265" spans="1:10" x14ac:dyDescent="0.3">
      <c r="A265" t="s">
        <v>13336</v>
      </c>
      <c r="B265" s="3">
        <f>+F231</f>
        <v>5349</v>
      </c>
      <c r="C265" s="3">
        <v>0</v>
      </c>
      <c r="D265" s="3">
        <v>3.5</v>
      </c>
      <c r="E265" s="3">
        <v>0.15</v>
      </c>
      <c r="F265" s="3">
        <v>0</v>
      </c>
      <c r="G265" s="3"/>
      <c r="H265" s="3">
        <f>+B265*D265*E265</f>
        <v>2808.2249999999999</v>
      </c>
      <c r="I265" s="3">
        <v>0</v>
      </c>
      <c r="J265" s="54">
        <f t="shared" si="41"/>
        <v>2808.2249999999999</v>
      </c>
    </row>
    <row r="266" spans="1:10" x14ac:dyDescent="0.3">
      <c r="A266" s="51"/>
      <c r="B266" s="52" t="s">
        <v>13328</v>
      </c>
      <c r="C266" s="52" t="s">
        <v>13272</v>
      </c>
      <c r="D266" s="52" t="s">
        <v>13273</v>
      </c>
      <c r="E266" s="52" t="s">
        <v>13274</v>
      </c>
      <c r="F266" s="52" t="s">
        <v>13275</v>
      </c>
      <c r="G266" s="52" t="s">
        <v>13276</v>
      </c>
      <c r="H266" s="52" t="s">
        <v>13277</v>
      </c>
      <c r="I266" s="52" t="s">
        <v>13329</v>
      </c>
      <c r="J266" s="56">
        <v>0</v>
      </c>
    </row>
    <row r="267" spans="1:10" x14ac:dyDescent="0.3">
      <c r="A267" s="3" t="s">
        <v>13337</v>
      </c>
      <c r="B267" s="3">
        <f>+F231</f>
        <v>5349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f>+B267*2</f>
        <v>10698</v>
      </c>
      <c r="J267" s="55">
        <f t="shared" ref="J267" si="42">SUM(G267:I267)</f>
        <v>10698</v>
      </c>
    </row>
    <row r="269" spans="1:10" x14ac:dyDescent="0.3">
      <c r="A269" t="s">
        <v>21</v>
      </c>
      <c r="B269" t="str">
        <f>+'Ficha Canais'!A12</f>
        <v>Canal: CT1-CS19 - Trecho 2</v>
      </c>
      <c r="E269" t="s">
        <v>13269</v>
      </c>
      <c r="F269" s="3">
        <v>0</v>
      </c>
      <c r="G269" t="s">
        <v>13270</v>
      </c>
      <c r="H269" t="s">
        <v>14586</v>
      </c>
      <c r="I269" s="3">
        <f>+I231</f>
        <v>5</v>
      </c>
    </row>
    <row r="270" spans="1:10" x14ac:dyDescent="0.3">
      <c r="A270" s="51"/>
      <c r="B270" s="52" t="s">
        <v>13328</v>
      </c>
      <c r="C270" s="52" t="s">
        <v>13272</v>
      </c>
      <c r="D270" s="52" t="s">
        <v>13273</v>
      </c>
      <c r="E270" s="52" t="s">
        <v>13274</v>
      </c>
      <c r="F270" s="52" t="s">
        <v>13275</v>
      </c>
      <c r="G270" s="52" t="s">
        <v>13276</v>
      </c>
      <c r="H270" s="52" t="s">
        <v>13277</v>
      </c>
      <c r="I270" s="52" t="s">
        <v>13329</v>
      </c>
      <c r="J270" s="53" t="s">
        <v>13309</v>
      </c>
    </row>
    <row r="271" spans="1:10" x14ac:dyDescent="0.3">
      <c r="A271" t="s">
        <v>13322</v>
      </c>
      <c r="B271" s="3">
        <f>+F269</f>
        <v>0</v>
      </c>
      <c r="C271" s="3">
        <v>0</v>
      </c>
      <c r="D271" s="3">
        <v>0</v>
      </c>
      <c r="E271" s="3">
        <v>0</v>
      </c>
      <c r="F271" s="3">
        <v>0</v>
      </c>
      <c r="G271" s="49">
        <f>+B271*C271</f>
        <v>0</v>
      </c>
      <c r="H271" s="47">
        <v>0</v>
      </c>
      <c r="I271" s="47">
        <v>0</v>
      </c>
      <c r="J271" s="54">
        <f>SUM(G271:I271)</f>
        <v>0</v>
      </c>
    </row>
    <row r="272" spans="1:10" x14ac:dyDescent="0.3">
      <c r="A272" t="s">
        <v>13323</v>
      </c>
      <c r="B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68">
        <v>0</v>
      </c>
      <c r="I272" s="47">
        <v>0</v>
      </c>
      <c r="J272" s="54">
        <f t="shared" ref="J272:J284" si="43">SUM(G272:I272)</f>
        <v>0</v>
      </c>
    </row>
    <row r="273" spans="1:10" x14ac:dyDescent="0.3">
      <c r="A273" t="s">
        <v>13271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68">
        <v>0</v>
      </c>
      <c r="I273" s="47">
        <v>0</v>
      </c>
      <c r="J273" s="54">
        <f t="shared" si="43"/>
        <v>0</v>
      </c>
    </row>
    <row r="274" spans="1:10" x14ac:dyDescent="0.3">
      <c r="A274" t="s">
        <v>13324</v>
      </c>
      <c r="B274" s="3">
        <v>0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68">
        <f>-(H273-H272)*1.4*I269</f>
        <v>0</v>
      </c>
      <c r="I274" s="47">
        <v>0</v>
      </c>
      <c r="J274" s="54">
        <f t="shared" si="43"/>
        <v>0</v>
      </c>
    </row>
    <row r="275" spans="1:10" s="60" customFormat="1" x14ac:dyDescent="0.3">
      <c r="A275" s="60" t="s">
        <v>13335</v>
      </c>
      <c r="B275" s="61">
        <f>+F269</f>
        <v>0</v>
      </c>
      <c r="C275" s="61">
        <v>0</v>
      </c>
      <c r="D275" s="61">
        <v>0</v>
      </c>
      <c r="E275" s="61">
        <v>0</v>
      </c>
      <c r="F275" s="61">
        <v>0</v>
      </c>
      <c r="G275" s="194">
        <f>+B275*D275</f>
        <v>0</v>
      </c>
      <c r="H275" s="62">
        <v>0</v>
      </c>
      <c r="I275" s="62"/>
      <c r="J275" s="195">
        <f t="shared" ref="J275" si="44">SUM(G275:I275)</f>
        <v>0</v>
      </c>
    </row>
    <row r="276" spans="1:10" x14ac:dyDescent="0.3">
      <c r="A276" t="s">
        <v>13325</v>
      </c>
      <c r="B276" s="3">
        <f>+F269</f>
        <v>0</v>
      </c>
      <c r="C276" s="3">
        <v>0</v>
      </c>
      <c r="D276" s="3">
        <v>0</v>
      </c>
      <c r="E276" s="3">
        <v>0</v>
      </c>
      <c r="F276" s="3">
        <v>0</v>
      </c>
      <c r="G276" s="69">
        <v>0</v>
      </c>
      <c r="H276" s="68">
        <v>0</v>
      </c>
      <c r="I276" s="47">
        <v>0</v>
      </c>
      <c r="J276" s="54">
        <f t="shared" si="43"/>
        <v>0</v>
      </c>
    </row>
    <row r="277" spans="1:10" s="60" customFormat="1" x14ac:dyDescent="0.3">
      <c r="A277" s="60" t="s">
        <v>14514</v>
      </c>
      <c r="B277" s="61">
        <f>+F269</f>
        <v>0</v>
      </c>
      <c r="C277" s="61">
        <v>0</v>
      </c>
      <c r="D277" s="61">
        <v>0</v>
      </c>
      <c r="E277" s="61">
        <v>0</v>
      </c>
      <c r="F277" s="61">
        <v>0</v>
      </c>
      <c r="G277" s="62">
        <v>0</v>
      </c>
      <c r="H277" s="194">
        <v>0</v>
      </c>
      <c r="I277" s="62">
        <v>0</v>
      </c>
      <c r="J277" s="195">
        <f t="shared" ref="J277" si="45">SUM(G277:I277)</f>
        <v>0</v>
      </c>
    </row>
    <row r="278" spans="1:10" x14ac:dyDescent="0.3">
      <c r="A278" t="s">
        <v>13326</v>
      </c>
      <c r="B278" s="3">
        <v>0</v>
      </c>
      <c r="C278" s="3">
        <v>0</v>
      </c>
      <c r="D278" s="3">
        <v>0</v>
      </c>
      <c r="E278" s="3">
        <v>0</v>
      </c>
      <c r="F278" s="3">
        <v>0</v>
      </c>
      <c r="G278" s="69">
        <v>0</v>
      </c>
      <c r="H278" s="68">
        <v>0</v>
      </c>
      <c r="I278" s="47">
        <v>0</v>
      </c>
      <c r="J278" s="54">
        <f t="shared" si="43"/>
        <v>0</v>
      </c>
    </row>
    <row r="279" spans="1:10" s="60" customFormat="1" x14ac:dyDescent="0.3">
      <c r="A279" s="60" t="s">
        <v>14515</v>
      </c>
      <c r="B279" s="61">
        <f>+F269</f>
        <v>0</v>
      </c>
      <c r="C279" s="61">
        <v>0</v>
      </c>
      <c r="D279" s="61">
        <v>0</v>
      </c>
      <c r="E279" s="61">
        <v>0</v>
      </c>
      <c r="F279" s="61">
        <v>0</v>
      </c>
      <c r="G279" s="62">
        <v>0</v>
      </c>
      <c r="H279" s="61">
        <v>0</v>
      </c>
      <c r="I279" s="194">
        <f>+B279*2</f>
        <v>0</v>
      </c>
      <c r="J279" s="195">
        <f>+I279</f>
        <v>0</v>
      </c>
    </row>
    <row r="280" spans="1:10" x14ac:dyDescent="0.3">
      <c r="A280" t="s">
        <v>3042</v>
      </c>
      <c r="B280" s="3">
        <v>0</v>
      </c>
      <c r="C280" s="3">
        <v>0</v>
      </c>
      <c r="D280" s="3">
        <v>0</v>
      </c>
      <c r="E280" s="3">
        <v>0</v>
      </c>
      <c r="F280" s="3">
        <v>0</v>
      </c>
      <c r="G280" s="68">
        <v>0</v>
      </c>
      <c r="H280" s="68">
        <f>+G278*0.07</f>
        <v>0</v>
      </c>
      <c r="I280" s="47">
        <v>0</v>
      </c>
      <c r="J280" s="54">
        <f t="shared" si="43"/>
        <v>0</v>
      </c>
    </row>
    <row r="281" spans="1:10" x14ac:dyDescent="0.3">
      <c r="A281" t="s">
        <v>13327</v>
      </c>
      <c r="B281" s="3">
        <v>0</v>
      </c>
      <c r="C281" s="3">
        <v>0</v>
      </c>
      <c r="D281" s="3">
        <v>0</v>
      </c>
      <c r="E281" s="3">
        <v>0</v>
      </c>
      <c r="F281" s="3">
        <v>0</v>
      </c>
      <c r="G281" s="68">
        <v>0</v>
      </c>
      <c r="H281" s="68">
        <f>+H280</f>
        <v>0</v>
      </c>
      <c r="I281" s="47">
        <v>0</v>
      </c>
      <c r="J281" s="54">
        <f t="shared" si="43"/>
        <v>0</v>
      </c>
    </row>
    <row r="282" spans="1:10" x14ac:dyDescent="0.3">
      <c r="A282" t="s">
        <v>13278</v>
      </c>
      <c r="B282" s="3">
        <f>+F269</f>
        <v>0</v>
      </c>
      <c r="C282" s="3">
        <v>0</v>
      </c>
      <c r="D282" s="3">
        <v>0</v>
      </c>
      <c r="E282" s="3">
        <v>0</v>
      </c>
      <c r="F282" s="47">
        <f>+F276</f>
        <v>0</v>
      </c>
      <c r="G282" s="3">
        <v>0</v>
      </c>
      <c r="H282" s="3">
        <v>0</v>
      </c>
      <c r="I282" s="49">
        <f>+B282/2*F282</f>
        <v>0</v>
      </c>
      <c r="J282" s="54">
        <f t="shared" si="43"/>
        <v>0</v>
      </c>
    </row>
    <row r="283" spans="1:10" x14ac:dyDescent="0.3">
      <c r="A283" t="s">
        <v>13279</v>
      </c>
      <c r="B283" s="3">
        <f>+F269</f>
        <v>0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49">
        <f>+B283*2</f>
        <v>0</v>
      </c>
      <c r="J283" s="54">
        <f t="shared" si="43"/>
        <v>0</v>
      </c>
    </row>
    <row r="284" spans="1:10" x14ac:dyDescent="0.3">
      <c r="A284" t="s">
        <v>13282</v>
      </c>
      <c r="B284" s="47">
        <f>+F269</f>
        <v>0</v>
      </c>
      <c r="C284" s="3">
        <v>0</v>
      </c>
      <c r="D284" s="3">
        <v>0</v>
      </c>
      <c r="E284" s="3">
        <v>0</v>
      </c>
      <c r="F284" s="3">
        <v>0</v>
      </c>
      <c r="G284" s="49">
        <f>+B284*C284</f>
        <v>0</v>
      </c>
      <c r="H284" s="3">
        <v>0</v>
      </c>
      <c r="I284" s="47">
        <v>0</v>
      </c>
      <c r="J284" s="54">
        <f t="shared" si="43"/>
        <v>0</v>
      </c>
    </row>
    <row r="285" spans="1:10" x14ac:dyDescent="0.3">
      <c r="A285" s="51"/>
      <c r="B285" s="52" t="s">
        <v>13328</v>
      </c>
      <c r="C285" s="52" t="s">
        <v>13272</v>
      </c>
      <c r="D285" s="52" t="s">
        <v>13273</v>
      </c>
      <c r="E285" s="52" t="s">
        <v>13274</v>
      </c>
      <c r="F285" s="52" t="s">
        <v>13275</v>
      </c>
      <c r="G285" s="52" t="s">
        <v>13276</v>
      </c>
      <c r="H285" s="52" t="s">
        <v>13277</v>
      </c>
      <c r="I285" s="52" t="s">
        <v>13329</v>
      </c>
      <c r="J285" s="56">
        <v>0</v>
      </c>
    </row>
    <row r="286" spans="1:10" x14ac:dyDescent="0.3">
      <c r="A286" t="s">
        <v>13330</v>
      </c>
      <c r="B286" s="3">
        <f>+F269</f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50">
        <f>+B286*D286*E286</f>
        <v>0</v>
      </c>
      <c r="I286" s="3">
        <v>0</v>
      </c>
      <c r="J286" s="54">
        <f t="shared" ref="J286:J292" si="46">SUM(G286:I286)</f>
        <v>0</v>
      </c>
    </row>
    <row r="287" spans="1:10" x14ac:dyDescent="0.3">
      <c r="A287" t="s">
        <v>13310</v>
      </c>
      <c r="B287" s="3">
        <f>+F269</f>
        <v>0</v>
      </c>
      <c r="C287" s="3"/>
      <c r="D287" s="3">
        <v>0</v>
      </c>
      <c r="E287" s="3">
        <v>0</v>
      </c>
      <c r="F287" s="3"/>
      <c r="G287" s="3"/>
      <c r="H287" s="50">
        <f>+H286-(B287*D287*E287)</f>
        <v>0</v>
      </c>
      <c r="I287" s="3"/>
      <c r="J287" s="54">
        <f t="shared" si="46"/>
        <v>0</v>
      </c>
    </row>
    <row r="288" spans="1:10" x14ac:dyDescent="0.3">
      <c r="A288" t="s">
        <v>13324</v>
      </c>
      <c r="B288" s="3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50">
        <f>(H286-H287)*1.4*5</f>
        <v>0</v>
      </c>
      <c r="I288" s="3"/>
      <c r="J288" s="54">
        <f t="shared" si="46"/>
        <v>0</v>
      </c>
    </row>
    <row r="289" spans="1:10" x14ac:dyDescent="0.3">
      <c r="A289" t="s">
        <v>13311</v>
      </c>
      <c r="B289" s="3">
        <f>+F269</f>
        <v>0</v>
      </c>
      <c r="C289" s="3">
        <v>0</v>
      </c>
      <c r="D289" s="3">
        <v>0</v>
      </c>
      <c r="E289" s="3">
        <v>0</v>
      </c>
      <c r="F289" s="3">
        <v>0</v>
      </c>
      <c r="G289" s="50">
        <f>B289*D289*4</f>
        <v>0</v>
      </c>
      <c r="H289" s="3">
        <v>0</v>
      </c>
      <c r="I289" s="3">
        <v>0</v>
      </c>
      <c r="J289" s="54">
        <f t="shared" si="46"/>
        <v>0</v>
      </c>
    </row>
    <row r="290" spans="1:10" x14ac:dyDescent="0.3">
      <c r="A290" t="s">
        <v>13312</v>
      </c>
      <c r="B290" s="3">
        <f>+F269</f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50">
        <f>+B290</f>
        <v>0</v>
      </c>
      <c r="J290" s="54">
        <f t="shared" si="46"/>
        <v>0</v>
      </c>
    </row>
    <row r="291" spans="1:10" x14ac:dyDescent="0.3">
      <c r="A291" t="s">
        <v>13313</v>
      </c>
      <c r="B291" s="3">
        <f>+F269</f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50">
        <f>B291*D291*E291-(B291*3.14*0.4*0.4/4)</f>
        <v>0</v>
      </c>
      <c r="I291" s="3">
        <v>0</v>
      </c>
      <c r="J291" s="54">
        <f t="shared" si="46"/>
        <v>0</v>
      </c>
    </row>
    <row r="292" spans="1:10" x14ac:dyDescent="0.3">
      <c r="A292" t="s">
        <v>13320</v>
      </c>
      <c r="B292" s="3">
        <f>+F269</f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50">
        <f>+B292*C292*E292</f>
        <v>0</v>
      </c>
      <c r="I292" s="3"/>
      <c r="J292" s="54">
        <f t="shared" si="46"/>
        <v>0</v>
      </c>
    </row>
    <row r="293" spans="1:10" x14ac:dyDescent="0.3">
      <c r="A293" s="51"/>
      <c r="B293" s="52" t="s">
        <v>13328</v>
      </c>
      <c r="C293" s="52" t="s">
        <v>13272</v>
      </c>
      <c r="D293" s="52" t="s">
        <v>13273</v>
      </c>
      <c r="E293" s="52" t="s">
        <v>13274</v>
      </c>
      <c r="F293" s="52" t="s">
        <v>13275</v>
      </c>
      <c r="G293" s="52" t="s">
        <v>13276</v>
      </c>
      <c r="H293" s="52" t="s">
        <v>13277</v>
      </c>
      <c r="I293" s="52" t="s">
        <v>13329</v>
      </c>
      <c r="J293" s="56">
        <v>0</v>
      </c>
    </row>
    <row r="294" spans="1:10" x14ac:dyDescent="0.3">
      <c r="A294" t="s">
        <v>13331</v>
      </c>
      <c r="B294" s="3">
        <f>+F269</f>
        <v>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f>+B294*2</f>
        <v>0</v>
      </c>
      <c r="J294" s="54">
        <f t="shared" ref="J294:J297" si="47">SUM(G294:I294)</f>
        <v>0</v>
      </c>
    </row>
    <row r="295" spans="1:10" x14ac:dyDescent="0.3">
      <c r="A295" t="s">
        <v>13332</v>
      </c>
      <c r="B295" s="3">
        <f>+F269</f>
        <v>0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f>+B295*2</f>
        <v>0</v>
      </c>
      <c r="J295" s="54">
        <f t="shared" si="47"/>
        <v>0</v>
      </c>
    </row>
    <row r="296" spans="1:10" x14ac:dyDescent="0.3">
      <c r="A296" t="s">
        <v>13333</v>
      </c>
      <c r="B296" s="3">
        <v>0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54">
        <f t="shared" si="47"/>
        <v>0</v>
      </c>
    </row>
    <row r="297" spans="1:10" x14ac:dyDescent="0.3">
      <c r="A297" t="s">
        <v>13334</v>
      </c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54">
        <f t="shared" si="47"/>
        <v>0</v>
      </c>
    </row>
    <row r="298" spans="1:10" x14ac:dyDescent="0.3">
      <c r="A298" s="51"/>
      <c r="B298" s="52" t="s">
        <v>13328</v>
      </c>
      <c r="C298" s="52" t="s">
        <v>13272</v>
      </c>
      <c r="D298" s="52" t="s">
        <v>13273</v>
      </c>
      <c r="E298" s="52" t="s">
        <v>13274</v>
      </c>
      <c r="F298" s="52" t="s">
        <v>13275</v>
      </c>
      <c r="G298" s="52" t="s">
        <v>13276</v>
      </c>
      <c r="H298" s="52" t="s">
        <v>13277</v>
      </c>
      <c r="I298" s="52" t="s">
        <v>13329</v>
      </c>
      <c r="J298" s="56">
        <v>0</v>
      </c>
    </row>
    <row r="299" spans="1:10" x14ac:dyDescent="0.3">
      <c r="A299" t="s">
        <v>13330</v>
      </c>
      <c r="B299" s="3">
        <f>+F269</f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f>+B299*D299*E299*2</f>
        <v>0</v>
      </c>
      <c r="I299" s="3">
        <v>0</v>
      </c>
      <c r="J299" s="54">
        <f t="shared" ref="J299:J303" si="48">SUM(G299:I299)</f>
        <v>0</v>
      </c>
    </row>
    <row r="300" spans="1:10" x14ac:dyDescent="0.3">
      <c r="A300" t="s">
        <v>13271</v>
      </c>
      <c r="B300" s="3">
        <f>+F269</f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f>+B300*D300*E300*2</f>
        <v>0</v>
      </c>
      <c r="I300" s="3">
        <v>0</v>
      </c>
      <c r="J300" s="54">
        <f t="shared" si="48"/>
        <v>0</v>
      </c>
    </row>
    <row r="301" spans="1:10" x14ac:dyDescent="0.3">
      <c r="A301" t="s">
        <v>13324</v>
      </c>
      <c r="B301" s="3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f>+H299-H300</f>
        <v>0</v>
      </c>
      <c r="I301" s="3">
        <v>0</v>
      </c>
      <c r="J301" s="54">
        <f t="shared" si="48"/>
        <v>0</v>
      </c>
    </row>
    <row r="302" spans="1:10" x14ac:dyDescent="0.3">
      <c r="A302" t="s">
        <v>13335</v>
      </c>
      <c r="B302" s="3">
        <f>+F269</f>
        <v>0</v>
      </c>
      <c r="C302" s="3">
        <v>0</v>
      </c>
      <c r="D302" s="3">
        <v>0</v>
      </c>
      <c r="E302" s="3">
        <v>0</v>
      </c>
      <c r="F302" s="3">
        <v>0</v>
      </c>
      <c r="G302" s="3">
        <f>+B302*D302*2</f>
        <v>0</v>
      </c>
      <c r="H302" s="3">
        <v>0</v>
      </c>
      <c r="I302" s="3">
        <v>0</v>
      </c>
      <c r="J302" s="54">
        <f t="shared" si="48"/>
        <v>0</v>
      </c>
    </row>
    <row r="303" spans="1:10" x14ac:dyDescent="0.3">
      <c r="A303" t="s">
        <v>13336</v>
      </c>
      <c r="B303" s="3">
        <f>+F269</f>
        <v>0</v>
      </c>
      <c r="C303" s="3">
        <v>0</v>
      </c>
      <c r="D303" s="3">
        <v>0</v>
      </c>
      <c r="E303" s="3">
        <v>0</v>
      </c>
      <c r="F303" s="3">
        <v>0</v>
      </c>
      <c r="G303" s="3"/>
      <c r="H303" s="3">
        <f>+B303*D303*E303</f>
        <v>0</v>
      </c>
      <c r="I303" s="3">
        <v>0</v>
      </c>
      <c r="J303" s="54">
        <f t="shared" si="48"/>
        <v>0</v>
      </c>
    </row>
    <row r="304" spans="1:10" x14ac:dyDescent="0.3">
      <c r="A304" s="51"/>
      <c r="B304" s="52" t="s">
        <v>13328</v>
      </c>
      <c r="C304" s="52" t="s">
        <v>13272</v>
      </c>
      <c r="D304" s="52" t="s">
        <v>13273</v>
      </c>
      <c r="E304" s="52" t="s">
        <v>13274</v>
      </c>
      <c r="F304" s="52" t="s">
        <v>13275</v>
      </c>
      <c r="G304" s="52" t="s">
        <v>13276</v>
      </c>
      <c r="H304" s="52" t="s">
        <v>13277</v>
      </c>
      <c r="I304" s="52" t="s">
        <v>13329</v>
      </c>
      <c r="J304" s="56">
        <v>0</v>
      </c>
    </row>
    <row r="305" spans="1:10" x14ac:dyDescent="0.3">
      <c r="A305" s="3" t="s">
        <v>13337</v>
      </c>
      <c r="B305" s="3">
        <f>+F269</f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f>+B305*2</f>
        <v>0</v>
      </c>
      <c r="J305" s="55">
        <f t="shared" ref="J305" si="49">SUM(G305:I305)</f>
        <v>0</v>
      </c>
    </row>
    <row r="307" spans="1:10" x14ac:dyDescent="0.3">
      <c r="A307" t="s">
        <v>21</v>
      </c>
      <c r="B307" t="str">
        <f>+'Ficha Canais'!A13</f>
        <v>Canal: CS21</v>
      </c>
      <c r="E307" t="s">
        <v>13269</v>
      </c>
      <c r="F307" s="3">
        <f>+'Ficha Canais'!B13</f>
        <v>1670</v>
      </c>
      <c r="G307" t="s">
        <v>13270</v>
      </c>
      <c r="H307" t="s">
        <v>14586</v>
      </c>
      <c r="I307" s="3">
        <f>+I269</f>
        <v>5</v>
      </c>
    </row>
    <row r="308" spans="1:10" x14ac:dyDescent="0.3">
      <c r="A308" s="51"/>
      <c r="B308" s="52" t="s">
        <v>13328</v>
      </c>
      <c r="C308" s="52" t="s">
        <v>13272</v>
      </c>
      <c r="D308" s="52" t="s">
        <v>13273</v>
      </c>
      <c r="E308" s="52" t="s">
        <v>13274</v>
      </c>
      <c r="F308" s="52" t="s">
        <v>13275</v>
      </c>
      <c r="G308" s="52" t="s">
        <v>13276</v>
      </c>
      <c r="H308" s="52" t="s">
        <v>13277</v>
      </c>
      <c r="I308" s="52" t="s">
        <v>13329</v>
      </c>
      <c r="J308" s="53" t="s">
        <v>13309</v>
      </c>
    </row>
    <row r="309" spans="1:10" x14ac:dyDescent="0.3">
      <c r="A309" t="s">
        <v>13322</v>
      </c>
      <c r="B309" s="3">
        <f>+F307</f>
        <v>1670</v>
      </c>
      <c r="C309" s="3">
        <v>40</v>
      </c>
      <c r="D309" s="3">
        <v>0</v>
      </c>
      <c r="E309" s="3">
        <v>0</v>
      </c>
      <c r="F309" s="3">
        <v>0</v>
      </c>
      <c r="G309" s="49">
        <f>+B309*C309</f>
        <v>66800</v>
      </c>
      <c r="H309" s="47">
        <v>0</v>
      </c>
      <c r="I309" s="47">
        <v>0</v>
      </c>
      <c r="J309" s="54">
        <f>SUM(G309:I309)</f>
        <v>66800</v>
      </c>
    </row>
    <row r="310" spans="1:10" x14ac:dyDescent="0.3">
      <c r="A310" t="s">
        <v>13323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68">
        <v>32288.39</v>
      </c>
      <c r="I310" s="47">
        <v>0</v>
      </c>
      <c r="J310" s="54">
        <f t="shared" ref="J310:J322" si="50">SUM(G310:I310)</f>
        <v>32288.39</v>
      </c>
    </row>
    <row r="311" spans="1:10" x14ac:dyDescent="0.3">
      <c r="A311" t="s">
        <v>13271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68">
        <v>11965.57</v>
      </c>
      <c r="I311" s="47">
        <v>0</v>
      </c>
      <c r="J311" s="54">
        <f t="shared" si="50"/>
        <v>11965.57</v>
      </c>
    </row>
    <row r="312" spans="1:10" x14ac:dyDescent="0.3">
      <c r="A312" t="s">
        <v>13324</v>
      </c>
      <c r="B312" s="3">
        <v>0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68">
        <f>-(H311-H310)*1.4*I307</f>
        <v>142259.74</v>
      </c>
      <c r="I312" s="47">
        <v>0</v>
      </c>
      <c r="J312" s="54">
        <f t="shared" si="50"/>
        <v>142259.74</v>
      </c>
    </row>
    <row r="313" spans="1:10" s="60" customFormat="1" x14ac:dyDescent="0.3">
      <c r="A313" s="60" t="s">
        <v>13335</v>
      </c>
      <c r="B313" s="61">
        <f>+F307</f>
        <v>1670</v>
      </c>
      <c r="C313" s="61">
        <v>0</v>
      </c>
      <c r="D313" s="61">
        <f>+'Ficha Canais'!$C$13</f>
        <v>1.8</v>
      </c>
      <c r="E313" s="61">
        <v>0</v>
      </c>
      <c r="F313" s="61">
        <v>0</v>
      </c>
      <c r="G313" s="194">
        <f>+B313*D313</f>
        <v>3006</v>
      </c>
      <c r="H313" s="62">
        <v>0</v>
      </c>
      <c r="I313" s="62"/>
      <c r="J313" s="195">
        <f t="shared" ref="J313" si="51">SUM(G313:I313)</f>
        <v>3006</v>
      </c>
    </row>
    <row r="314" spans="1:10" x14ac:dyDescent="0.3">
      <c r="A314" t="s">
        <v>13325</v>
      </c>
      <c r="B314" s="3">
        <f>+F307</f>
        <v>1670</v>
      </c>
      <c r="C314" s="3">
        <v>0</v>
      </c>
      <c r="D314" s="3">
        <v>1.8</v>
      </c>
      <c r="E314" s="3">
        <v>2.29</v>
      </c>
      <c r="F314" s="3">
        <f>(E314*1.8*2)+D314+0.8</f>
        <v>10.844000000000001</v>
      </c>
      <c r="G314" s="69">
        <v>4139.1499999999996</v>
      </c>
      <c r="H314" s="68">
        <v>0</v>
      </c>
      <c r="I314" s="47">
        <v>0</v>
      </c>
      <c r="J314" s="54">
        <f t="shared" si="50"/>
        <v>4139.1499999999996</v>
      </c>
    </row>
    <row r="315" spans="1:10" s="60" customFormat="1" x14ac:dyDescent="0.3">
      <c r="A315" s="60" t="s">
        <v>14514</v>
      </c>
      <c r="B315" s="61">
        <f>+F307</f>
        <v>1670</v>
      </c>
      <c r="C315" s="61">
        <v>0</v>
      </c>
      <c r="D315" s="61">
        <v>0</v>
      </c>
      <c r="E315" s="61">
        <v>0</v>
      </c>
      <c r="F315" s="61">
        <v>0</v>
      </c>
      <c r="G315" s="62">
        <v>0</v>
      </c>
      <c r="H315" s="194">
        <f>+G316*0.2</f>
        <v>3311.4</v>
      </c>
      <c r="I315" s="62">
        <v>0</v>
      </c>
      <c r="J315" s="195">
        <f t="shared" ref="J315" si="52">SUM(G315:I315)</f>
        <v>3311.4</v>
      </c>
    </row>
    <row r="316" spans="1:10" x14ac:dyDescent="0.3">
      <c r="A316" t="s">
        <v>13326</v>
      </c>
      <c r="B316" s="3">
        <v>0</v>
      </c>
      <c r="C316" s="3">
        <v>0</v>
      </c>
      <c r="D316" s="3">
        <v>0</v>
      </c>
      <c r="E316" s="3">
        <v>0</v>
      </c>
      <c r="F316" s="3">
        <v>0</v>
      </c>
      <c r="G316" s="69">
        <v>16557</v>
      </c>
      <c r="H316" s="68">
        <v>0</v>
      </c>
      <c r="I316" s="47">
        <v>0</v>
      </c>
      <c r="J316" s="54">
        <f t="shared" si="50"/>
        <v>16557</v>
      </c>
    </row>
    <row r="317" spans="1:10" s="60" customFormat="1" x14ac:dyDescent="0.3">
      <c r="A317" s="60" t="s">
        <v>14515</v>
      </c>
      <c r="B317" s="61">
        <f>+F307</f>
        <v>1670</v>
      </c>
      <c r="C317" s="61">
        <v>0</v>
      </c>
      <c r="D317" s="61">
        <v>0</v>
      </c>
      <c r="E317" s="61">
        <v>0</v>
      </c>
      <c r="F317" s="61">
        <v>0</v>
      </c>
      <c r="G317" s="62">
        <v>0</v>
      </c>
      <c r="H317" s="61">
        <v>0</v>
      </c>
      <c r="I317" s="194">
        <f>+B317*2</f>
        <v>3340</v>
      </c>
      <c r="J317" s="195">
        <f>+I317</f>
        <v>3340</v>
      </c>
    </row>
    <row r="318" spans="1:10" x14ac:dyDescent="0.3">
      <c r="A318" t="s">
        <v>3042</v>
      </c>
      <c r="B318" s="3">
        <v>0</v>
      </c>
      <c r="C318" s="3">
        <v>0</v>
      </c>
      <c r="D318" s="3">
        <v>0</v>
      </c>
      <c r="E318" s="3">
        <v>0</v>
      </c>
      <c r="F318" s="3">
        <v>0</v>
      </c>
      <c r="G318" s="68">
        <v>0</v>
      </c>
      <c r="H318" s="68">
        <f>+G316*0.07</f>
        <v>1158.99</v>
      </c>
      <c r="I318" s="47">
        <v>0</v>
      </c>
      <c r="J318" s="54">
        <f t="shared" si="50"/>
        <v>1158.99</v>
      </c>
    </row>
    <row r="319" spans="1:10" x14ac:dyDescent="0.3">
      <c r="A319" t="s">
        <v>13327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  <c r="G319" s="68">
        <v>0</v>
      </c>
      <c r="H319" s="68">
        <f>+H318</f>
        <v>1158.99</v>
      </c>
      <c r="I319" s="47">
        <v>0</v>
      </c>
      <c r="J319" s="54">
        <f t="shared" si="50"/>
        <v>1158.99</v>
      </c>
    </row>
    <row r="320" spans="1:10" x14ac:dyDescent="0.3">
      <c r="A320" t="s">
        <v>13278</v>
      </c>
      <c r="B320" s="3">
        <f>+F307</f>
        <v>1670</v>
      </c>
      <c r="C320" s="3">
        <v>0</v>
      </c>
      <c r="D320" s="3">
        <v>0</v>
      </c>
      <c r="E320" s="3">
        <v>0</v>
      </c>
      <c r="F320" s="47">
        <f>+F314</f>
        <v>10.844000000000001</v>
      </c>
      <c r="G320" s="3">
        <v>0</v>
      </c>
      <c r="H320" s="3">
        <v>0</v>
      </c>
      <c r="I320" s="49">
        <f>+B320/2*F320</f>
        <v>9054.7400000000016</v>
      </c>
      <c r="J320" s="54">
        <f t="shared" si="50"/>
        <v>9054.7400000000016</v>
      </c>
    </row>
    <row r="321" spans="1:10" x14ac:dyDescent="0.3">
      <c r="A321" t="s">
        <v>13279</v>
      </c>
      <c r="B321" s="3">
        <f>+F307</f>
        <v>1670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49">
        <f>+B321*2</f>
        <v>3340</v>
      </c>
      <c r="J321" s="54">
        <f t="shared" si="50"/>
        <v>3340</v>
      </c>
    </row>
    <row r="322" spans="1:10" x14ac:dyDescent="0.3">
      <c r="A322" t="s">
        <v>13282</v>
      </c>
      <c r="B322" s="47">
        <f>+F307</f>
        <v>1670</v>
      </c>
      <c r="C322" s="3">
        <v>12</v>
      </c>
      <c r="D322" s="3">
        <v>0</v>
      </c>
      <c r="E322" s="3">
        <v>0</v>
      </c>
      <c r="F322" s="3">
        <v>0</v>
      </c>
      <c r="G322" s="49">
        <f>+B322*C322</f>
        <v>20040</v>
      </c>
      <c r="H322" s="3">
        <v>0</v>
      </c>
      <c r="I322" s="47">
        <v>0</v>
      </c>
      <c r="J322" s="54">
        <f t="shared" si="50"/>
        <v>20040</v>
      </c>
    </row>
    <row r="323" spans="1:10" x14ac:dyDescent="0.3">
      <c r="A323" s="51"/>
      <c r="B323" s="52" t="s">
        <v>13328</v>
      </c>
      <c r="C323" s="52" t="s">
        <v>13272</v>
      </c>
      <c r="D323" s="52" t="s">
        <v>13273</v>
      </c>
      <c r="E323" s="52" t="s">
        <v>13274</v>
      </c>
      <c r="F323" s="52" t="s">
        <v>13275</v>
      </c>
      <c r="G323" s="52" t="s">
        <v>13276</v>
      </c>
      <c r="H323" s="52" t="s">
        <v>13277</v>
      </c>
      <c r="I323" s="52" t="s">
        <v>13329</v>
      </c>
      <c r="J323" s="56">
        <v>0</v>
      </c>
    </row>
    <row r="324" spans="1:10" x14ac:dyDescent="0.3">
      <c r="A324" t="s">
        <v>13330</v>
      </c>
      <c r="B324" s="3">
        <f>+F307</f>
        <v>1670</v>
      </c>
      <c r="C324" s="3">
        <v>0</v>
      </c>
      <c r="D324" s="3">
        <v>1.2</v>
      </c>
      <c r="E324" s="3">
        <v>0.7</v>
      </c>
      <c r="F324" s="3">
        <v>0</v>
      </c>
      <c r="G324" s="3">
        <v>0</v>
      </c>
      <c r="H324" s="50">
        <f>+B324*D324*E324</f>
        <v>1402.8</v>
      </c>
      <c r="I324" s="3">
        <v>0</v>
      </c>
      <c r="J324" s="54">
        <f t="shared" ref="J324:J330" si="53">SUM(G324:I324)</f>
        <v>1402.8</v>
      </c>
    </row>
    <row r="325" spans="1:10" x14ac:dyDescent="0.3">
      <c r="A325" t="s">
        <v>13310</v>
      </c>
      <c r="B325" s="3">
        <f>+F307</f>
        <v>1670</v>
      </c>
      <c r="C325" s="3"/>
      <c r="D325" s="3">
        <v>0.6</v>
      </c>
      <c r="E325" s="3">
        <v>0.6</v>
      </c>
      <c r="F325" s="3"/>
      <c r="G325" s="3"/>
      <c r="H325" s="50">
        <f>+H324-(B325*D325*E325)</f>
        <v>801.6</v>
      </c>
      <c r="I325" s="3"/>
      <c r="J325" s="54">
        <f t="shared" si="53"/>
        <v>801.6</v>
      </c>
    </row>
    <row r="326" spans="1:10" x14ac:dyDescent="0.3">
      <c r="A326" t="s">
        <v>13324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50">
        <f>(H324-H325)*1.4*5</f>
        <v>4208.3999999999996</v>
      </c>
      <c r="I326" s="3"/>
      <c r="J326" s="54">
        <f t="shared" si="53"/>
        <v>4208.3999999999996</v>
      </c>
    </row>
    <row r="327" spans="1:10" x14ac:dyDescent="0.3">
      <c r="A327" t="s">
        <v>13311</v>
      </c>
      <c r="B327" s="3">
        <f>+F307</f>
        <v>1670</v>
      </c>
      <c r="C327" s="3">
        <v>0</v>
      </c>
      <c r="D327" s="3">
        <v>0.6</v>
      </c>
      <c r="E327" s="3">
        <v>0.6</v>
      </c>
      <c r="F327" s="3">
        <v>0</v>
      </c>
      <c r="G327" s="50">
        <f>B327*D327*4</f>
        <v>4008</v>
      </c>
      <c r="H327" s="3">
        <v>0</v>
      </c>
      <c r="I327" s="3">
        <v>0</v>
      </c>
      <c r="J327" s="54">
        <f t="shared" si="53"/>
        <v>4008</v>
      </c>
    </row>
    <row r="328" spans="1:10" x14ac:dyDescent="0.3">
      <c r="A328" t="s">
        <v>13312</v>
      </c>
      <c r="B328" s="3">
        <f>+F307</f>
        <v>1670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50">
        <f>+B328</f>
        <v>1670</v>
      </c>
      <c r="J328" s="54">
        <f t="shared" si="53"/>
        <v>1670</v>
      </c>
    </row>
    <row r="329" spans="1:10" x14ac:dyDescent="0.3">
      <c r="A329" t="s">
        <v>13313</v>
      </c>
      <c r="B329" s="3">
        <f>+F307</f>
        <v>1670</v>
      </c>
      <c r="C329" s="3">
        <v>0</v>
      </c>
      <c r="D329" s="3">
        <v>0.6</v>
      </c>
      <c r="E329" s="3">
        <v>0.6</v>
      </c>
      <c r="F329" s="3">
        <v>0</v>
      </c>
      <c r="G329" s="3">
        <v>0</v>
      </c>
      <c r="H329" s="50">
        <f>B329*D329*E329-(B329*3.14*0.4*0.4/4)</f>
        <v>391.44799999999992</v>
      </c>
      <c r="I329" s="3">
        <v>0</v>
      </c>
      <c r="J329" s="54">
        <f t="shared" si="53"/>
        <v>391.44799999999992</v>
      </c>
    </row>
    <row r="330" spans="1:10" x14ac:dyDescent="0.3">
      <c r="A330" t="s">
        <v>13320</v>
      </c>
      <c r="B330" s="3">
        <f>+F307</f>
        <v>1670</v>
      </c>
      <c r="C330" s="3">
        <v>1.2</v>
      </c>
      <c r="D330" s="3">
        <v>0</v>
      </c>
      <c r="E330" s="3">
        <v>0.1</v>
      </c>
      <c r="F330" s="3">
        <v>0</v>
      </c>
      <c r="G330" s="3">
        <v>0</v>
      </c>
      <c r="H330" s="50">
        <f>+B330*C330*E330</f>
        <v>200.4</v>
      </c>
      <c r="I330" s="3"/>
      <c r="J330" s="54">
        <f t="shared" si="53"/>
        <v>200.4</v>
      </c>
    </row>
    <row r="331" spans="1:10" x14ac:dyDescent="0.3">
      <c r="A331" s="51"/>
      <c r="B331" s="52" t="s">
        <v>13328</v>
      </c>
      <c r="C331" s="52" t="s">
        <v>13272</v>
      </c>
      <c r="D331" s="52" t="s">
        <v>13273</v>
      </c>
      <c r="E331" s="52" t="s">
        <v>13274</v>
      </c>
      <c r="F331" s="52" t="s">
        <v>13275</v>
      </c>
      <c r="G331" s="52" t="s">
        <v>13276</v>
      </c>
      <c r="H331" s="52" t="s">
        <v>13277</v>
      </c>
      <c r="I331" s="52" t="s">
        <v>13329</v>
      </c>
      <c r="J331" s="56">
        <v>0</v>
      </c>
    </row>
    <row r="332" spans="1:10" x14ac:dyDescent="0.3">
      <c r="A332" t="s">
        <v>13331</v>
      </c>
      <c r="B332" s="3">
        <f>+F307</f>
        <v>1670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f>+B332*2</f>
        <v>3340</v>
      </c>
      <c r="J332" s="54">
        <f t="shared" ref="J332:J335" si="54">SUM(G332:I332)</f>
        <v>3340</v>
      </c>
    </row>
    <row r="333" spans="1:10" x14ac:dyDescent="0.3">
      <c r="A333" t="s">
        <v>13332</v>
      </c>
      <c r="B333" s="3">
        <f>+F307</f>
        <v>1670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f>+B333*2</f>
        <v>3340</v>
      </c>
      <c r="J333" s="54">
        <f t="shared" si="54"/>
        <v>3340</v>
      </c>
    </row>
    <row r="334" spans="1:10" x14ac:dyDescent="0.3">
      <c r="A334" t="s">
        <v>13333</v>
      </c>
      <c r="B334" s="3">
        <v>0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54">
        <f t="shared" si="54"/>
        <v>0</v>
      </c>
    </row>
    <row r="335" spans="1:10" x14ac:dyDescent="0.3">
      <c r="A335" t="s">
        <v>13334</v>
      </c>
      <c r="B335" s="3">
        <v>0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54">
        <f t="shared" si="54"/>
        <v>0</v>
      </c>
    </row>
    <row r="336" spans="1:10" x14ac:dyDescent="0.3">
      <c r="A336" s="51"/>
      <c r="B336" s="52" t="s">
        <v>13328</v>
      </c>
      <c r="C336" s="52" t="s">
        <v>13272</v>
      </c>
      <c r="D336" s="52" t="s">
        <v>13273</v>
      </c>
      <c r="E336" s="52" t="s">
        <v>13274</v>
      </c>
      <c r="F336" s="52" t="s">
        <v>13275</v>
      </c>
      <c r="G336" s="52" t="s">
        <v>13276</v>
      </c>
      <c r="H336" s="52" t="s">
        <v>13277</v>
      </c>
      <c r="I336" s="52" t="s">
        <v>13329</v>
      </c>
      <c r="J336" s="56">
        <v>0</v>
      </c>
    </row>
    <row r="337" spans="1:10" x14ac:dyDescent="0.3">
      <c r="A337" t="s">
        <v>13330</v>
      </c>
      <c r="B337" s="3">
        <f>+F307</f>
        <v>1670</v>
      </c>
      <c r="C337" s="3">
        <v>0</v>
      </c>
      <c r="D337" s="3">
        <v>3.5</v>
      </c>
      <c r="E337" s="3">
        <v>0.15</v>
      </c>
      <c r="F337" s="3">
        <v>0</v>
      </c>
      <c r="G337" s="3">
        <v>0</v>
      </c>
      <c r="H337" s="3">
        <f>+B337*D337*E337*2</f>
        <v>1753.5</v>
      </c>
      <c r="I337" s="3">
        <v>0</v>
      </c>
      <c r="J337" s="54">
        <f t="shared" ref="J337:J341" si="55">SUM(G337:I337)</f>
        <v>1753.5</v>
      </c>
    </row>
    <row r="338" spans="1:10" x14ac:dyDescent="0.3">
      <c r="A338" t="s">
        <v>13271</v>
      </c>
      <c r="B338" s="3">
        <f>+F307</f>
        <v>1670</v>
      </c>
      <c r="C338" s="3">
        <v>0</v>
      </c>
      <c r="D338" s="3">
        <v>3.5</v>
      </c>
      <c r="E338" s="3">
        <v>0.1</v>
      </c>
      <c r="F338" s="3">
        <v>0</v>
      </c>
      <c r="G338" s="3">
        <v>0</v>
      </c>
      <c r="H338" s="3">
        <f>+B338*D338*E338*2</f>
        <v>1169</v>
      </c>
      <c r="I338" s="3">
        <v>0</v>
      </c>
      <c r="J338" s="54">
        <f t="shared" si="55"/>
        <v>1169</v>
      </c>
    </row>
    <row r="339" spans="1:10" x14ac:dyDescent="0.3">
      <c r="A339" t="s">
        <v>13324</v>
      </c>
      <c r="B339" s="3">
        <v>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f>+H337-H338</f>
        <v>584.5</v>
      </c>
      <c r="I339" s="3">
        <v>0</v>
      </c>
      <c r="J339" s="54">
        <f t="shared" si="55"/>
        <v>584.5</v>
      </c>
    </row>
    <row r="340" spans="1:10" x14ac:dyDescent="0.3">
      <c r="A340" t="s">
        <v>13335</v>
      </c>
      <c r="B340" s="3">
        <f>+F307</f>
        <v>1670</v>
      </c>
      <c r="C340" s="3">
        <v>0</v>
      </c>
      <c r="D340" s="3">
        <v>3.5</v>
      </c>
      <c r="E340" s="3">
        <v>0</v>
      </c>
      <c r="F340" s="3">
        <v>0</v>
      </c>
      <c r="G340" s="3">
        <f>+B340*D340*2</f>
        <v>11690</v>
      </c>
      <c r="H340" s="3">
        <v>0</v>
      </c>
      <c r="I340" s="3">
        <v>0</v>
      </c>
      <c r="J340" s="54">
        <f t="shared" si="55"/>
        <v>11690</v>
      </c>
    </row>
    <row r="341" spans="1:10" x14ac:dyDescent="0.3">
      <c r="A341" t="s">
        <v>13336</v>
      </c>
      <c r="B341" s="3">
        <f>+F307</f>
        <v>1670</v>
      </c>
      <c r="C341" s="3">
        <v>0</v>
      </c>
      <c r="D341" s="3">
        <v>3.5</v>
      </c>
      <c r="E341" s="3">
        <v>0.15</v>
      </c>
      <c r="F341" s="3">
        <v>0</v>
      </c>
      <c r="G341" s="3"/>
      <c r="H341" s="3">
        <f>+B341*D341*E341</f>
        <v>876.75</v>
      </c>
      <c r="I341" s="3">
        <v>0</v>
      </c>
      <c r="J341" s="54">
        <f t="shared" si="55"/>
        <v>876.75</v>
      </c>
    </row>
    <row r="342" spans="1:10" x14ac:dyDescent="0.3">
      <c r="A342" s="51"/>
      <c r="B342" s="52" t="s">
        <v>13328</v>
      </c>
      <c r="C342" s="52" t="s">
        <v>13272</v>
      </c>
      <c r="D342" s="52" t="s">
        <v>13273</v>
      </c>
      <c r="E342" s="52" t="s">
        <v>13274</v>
      </c>
      <c r="F342" s="52" t="s">
        <v>13275</v>
      </c>
      <c r="G342" s="52" t="s">
        <v>13276</v>
      </c>
      <c r="H342" s="52" t="s">
        <v>13277</v>
      </c>
      <c r="I342" s="52" t="s">
        <v>13329</v>
      </c>
      <c r="J342" s="56">
        <v>0</v>
      </c>
    </row>
    <row r="343" spans="1:10" x14ac:dyDescent="0.3">
      <c r="A343" s="3" t="s">
        <v>13337</v>
      </c>
      <c r="B343" s="3">
        <f>+F307</f>
        <v>1670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f>+B343*2</f>
        <v>3340</v>
      </c>
      <c r="J343" s="55">
        <f t="shared" ref="J343" si="56">SUM(G343:I343)</f>
        <v>3340</v>
      </c>
    </row>
    <row r="345" spans="1:10" x14ac:dyDescent="0.3">
      <c r="A345" t="s">
        <v>21</v>
      </c>
      <c r="B345" t="str">
        <f>+'Ficha Canais'!A14</f>
        <v>Canal: CS21a - Trecho 1</v>
      </c>
      <c r="E345" t="s">
        <v>13269</v>
      </c>
      <c r="F345" s="3">
        <f>+'Ficha Canais'!B14</f>
        <v>4000</v>
      </c>
      <c r="G345" t="s">
        <v>13270</v>
      </c>
      <c r="H345" t="s">
        <v>14586</v>
      </c>
      <c r="I345" s="3">
        <f>+I307</f>
        <v>5</v>
      </c>
    </row>
    <row r="346" spans="1:10" x14ac:dyDescent="0.3">
      <c r="A346" s="51"/>
      <c r="B346" s="52" t="s">
        <v>13328</v>
      </c>
      <c r="C346" s="52" t="s">
        <v>13272</v>
      </c>
      <c r="D346" s="52" t="s">
        <v>13273</v>
      </c>
      <c r="E346" s="52" t="s">
        <v>13274</v>
      </c>
      <c r="F346" s="52" t="s">
        <v>13275</v>
      </c>
      <c r="G346" s="52" t="s">
        <v>13276</v>
      </c>
      <c r="H346" s="52" t="s">
        <v>13277</v>
      </c>
      <c r="I346" s="52" t="s">
        <v>13329</v>
      </c>
      <c r="J346" s="53" t="s">
        <v>13309</v>
      </c>
    </row>
    <row r="347" spans="1:10" x14ac:dyDescent="0.3">
      <c r="A347" t="s">
        <v>13322</v>
      </c>
      <c r="B347" s="3">
        <f>+F345</f>
        <v>4000</v>
      </c>
      <c r="C347" s="3">
        <v>40</v>
      </c>
      <c r="D347" s="3">
        <v>0</v>
      </c>
      <c r="E347" s="3">
        <v>0</v>
      </c>
      <c r="F347" s="3">
        <v>0</v>
      </c>
      <c r="G347" s="49">
        <f>+B347*C347</f>
        <v>160000</v>
      </c>
      <c r="H347" s="47">
        <v>0</v>
      </c>
      <c r="I347" s="47">
        <v>0</v>
      </c>
      <c r="J347" s="54">
        <f>SUM(G347:I347)</f>
        <v>160000</v>
      </c>
    </row>
    <row r="348" spans="1:10" x14ac:dyDescent="0.3">
      <c r="A348" t="s">
        <v>13323</v>
      </c>
      <c r="B348" s="3">
        <v>0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68">
        <v>10339.030000000001</v>
      </c>
      <c r="I348" s="47">
        <v>0</v>
      </c>
      <c r="J348" s="54">
        <f t="shared" ref="J348:J360" si="57">SUM(G348:I348)</f>
        <v>10339.030000000001</v>
      </c>
    </row>
    <row r="349" spans="1:10" x14ac:dyDescent="0.3">
      <c r="A349" t="s">
        <v>13271</v>
      </c>
      <c r="B349" s="3">
        <v>0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68">
        <v>104054.39999999999</v>
      </c>
      <c r="I349" s="47">
        <v>0</v>
      </c>
      <c r="J349" s="54">
        <f t="shared" si="57"/>
        <v>104054.39999999999</v>
      </c>
    </row>
    <row r="350" spans="1:10" x14ac:dyDescent="0.3">
      <c r="A350" t="s">
        <v>13324</v>
      </c>
      <c r="B350" s="3">
        <v>0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68">
        <f>+(H349-H348)*1.4*I345</f>
        <v>656007.58999999985</v>
      </c>
      <c r="I350" s="47">
        <v>0</v>
      </c>
      <c r="J350" s="54">
        <f t="shared" si="57"/>
        <v>656007.58999999985</v>
      </c>
    </row>
    <row r="351" spans="1:10" s="60" customFormat="1" x14ac:dyDescent="0.3">
      <c r="A351" s="60" t="s">
        <v>13335</v>
      </c>
      <c r="B351" s="61">
        <f>+F345</f>
        <v>4000</v>
      </c>
      <c r="C351" s="61">
        <v>0</v>
      </c>
      <c r="D351" s="61">
        <f>+'Ficha Canais'!$C$14</f>
        <v>1.5</v>
      </c>
      <c r="E351" s="61">
        <v>0</v>
      </c>
      <c r="F351" s="61">
        <v>0</v>
      </c>
      <c r="G351" s="194">
        <f>+B351*D351</f>
        <v>6000</v>
      </c>
      <c r="H351" s="62">
        <v>0</v>
      </c>
      <c r="I351" s="62"/>
      <c r="J351" s="195">
        <f t="shared" ref="J351" si="58">SUM(G351:I351)</f>
        <v>6000</v>
      </c>
    </row>
    <row r="352" spans="1:10" x14ac:dyDescent="0.3">
      <c r="A352" t="s">
        <v>13325</v>
      </c>
      <c r="B352" s="3">
        <f>+F345</f>
        <v>4000</v>
      </c>
      <c r="C352" s="3">
        <v>0</v>
      </c>
      <c r="D352" s="3">
        <v>1.5</v>
      </c>
      <c r="E352" s="3">
        <v>2.2400000000000002</v>
      </c>
      <c r="F352" s="3">
        <f>(E352*1.8*2)+D352+0.8</f>
        <v>10.364000000000003</v>
      </c>
      <c r="G352" s="69">
        <v>8871.42</v>
      </c>
      <c r="H352" s="68">
        <v>0</v>
      </c>
      <c r="I352" s="47">
        <v>0</v>
      </c>
      <c r="J352" s="54">
        <f t="shared" si="57"/>
        <v>8871.42</v>
      </c>
    </row>
    <row r="353" spans="1:10" s="60" customFormat="1" x14ac:dyDescent="0.3">
      <c r="A353" s="60" t="s">
        <v>14514</v>
      </c>
      <c r="B353" s="61">
        <f>+F345</f>
        <v>4000</v>
      </c>
      <c r="C353" s="61">
        <v>0</v>
      </c>
      <c r="D353" s="61">
        <v>0</v>
      </c>
      <c r="E353" s="61">
        <v>0</v>
      </c>
      <c r="F353" s="61">
        <v>0</v>
      </c>
      <c r="G353" s="62">
        <v>0</v>
      </c>
      <c r="H353" s="194">
        <f>+G354*0.2</f>
        <v>7097.2000000000007</v>
      </c>
      <c r="I353" s="62">
        <v>0</v>
      </c>
      <c r="J353" s="195">
        <f t="shared" ref="J353" si="59">SUM(G353:I353)</f>
        <v>7097.2000000000007</v>
      </c>
    </row>
    <row r="354" spans="1:10" x14ac:dyDescent="0.3">
      <c r="A354" t="s">
        <v>13326</v>
      </c>
      <c r="B354" s="3">
        <v>0</v>
      </c>
      <c r="C354" s="3">
        <v>0</v>
      </c>
      <c r="D354" s="3">
        <v>0</v>
      </c>
      <c r="E354" s="3">
        <v>0</v>
      </c>
      <c r="F354" s="3">
        <v>0</v>
      </c>
      <c r="G354" s="69">
        <v>35486</v>
      </c>
      <c r="H354" s="68">
        <v>0</v>
      </c>
      <c r="I354" s="47">
        <v>0</v>
      </c>
      <c r="J354" s="54">
        <f t="shared" si="57"/>
        <v>35486</v>
      </c>
    </row>
    <row r="355" spans="1:10" s="60" customFormat="1" x14ac:dyDescent="0.3">
      <c r="A355" s="60" t="s">
        <v>14515</v>
      </c>
      <c r="B355" s="61">
        <f>+F345</f>
        <v>4000</v>
      </c>
      <c r="C355" s="61">
        <v>0</v>
      </c>
      <c r="D355" s="61">
        <v>0</v>
      </c>
      <c r="E355" s="61">
        <v>0</v>
      </c>
      <c r="F355" s="61">
        <v>0</v>
      </c>
      <c r="G355" s="62">
        <v>0</v>
      </c>
      <c r="H355" s="61">
        <v>0</v>
      </c>
      <c r="I355" s="194">
        <f>+B355*2</f>
        <v>8000</v>
      </c>
      <c r="J355" s="195">
        <f>+I355</f>
        <v>8000</v>
      </c>
    </row>
    <row r="356" spans="1:10" x14ac:dyDescent="0.3">
      <c r="A356" t="s">
        <v>3042</v>
      </c>
      <c r="B356" s="3">
        <v>0</v>
      </c>
      <c r="C356" s="3">
        <v>0</v>
      </c>
      <c r="D356" s="3">
        <v>0</v>
      </c>
      <c r="E356" s="3">
        <v>0</v>
      </c>
      <c r="F356" s="3">
        <v>0</v>
      </c>
      <c r="G356" s="68">
        <v>0</v>
      </c>
      <c r="H356" s="68">
        <f>+G354*0.07</f>
        <v>2484.0200000000004</v>
      </c>
      <c r="I356" s="47">
        <v>0</v>
      </c>
      <c r="J356" s="54">
        <f t="shared" si="57"/>
        <v>2484.0200000000004</v>
      </c>
    </row>
    <row r="357" spans="1:10" x14ac:dyDescent="0.3">
      <c r="A357" t="s">
        <v>13327</v>
      </c>
      <c r="B357" s="3">
        <v>0</v>
      </c>
      <c r="C357" s="3">
        <v>0</v>
      </c>
      <c r="D357" s="3">
        <v>0</v>
      </c>
      <c r="E357" s="3">
        <v>0</v>
      </c>
      <c r="F357" s="3">
        <v>0</v>
      </c>
      <c r="G357" s="68">
        <v>0</v>
      </c>
      <c r="H357" s="68">
        <f>+H356</f>
        <v>2484.0200000000004</v>
      </c>
      <c r="I357" s="47">
        <v>0</v>
      </c>
      <c r="J357" s="54">
        <f t="shared" si="57"/>
        <v>2484.0200000000004</v>
      </c>
    </row>
    <row r="358" spans="1:10" x14ac:dyDescent="0.3">
      <c r="A358" t="s">
        <v>13278</v>
      </c>
      <c r="B358" s="3">
        <f>+F345</f>
        <v>4000</v>
      </c>
      <c r="C358" s="3">
        <v>0</v>
      </c>
      <c r="D358" s="3">
        <v>0</v>
      </c>
      <c r="E358" s="3">
        <v>0</v>
      </c>
      <c r="F358" s="47">
        <f>+F352</f>
        <v>10.364000000000003</v>
      </c>
      <c r="G358" s="3">
        <v>0</v>
      </c>
      <c r="H358" s="3">
        <v>0</v>
      </c>
      <c r="I358" s="49">
        <f>+B358/2*F358</f>
        <v>20728.000000000004</v>
      </c>
      <c r="J358" s="54">
        <f t="shared" si="57"/>
        <v>20728.000000000004</v>
      </c>
    </row>
    <row r="359" spans="1:10" x14ac:dyDescent="0.3">
      <c r="A359" t="s">
        <v>13279</v>
      </c>
      <c r="B359" s="3">
        <f>+F345</f>
        <v>4000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49">
        <f>+B359*2</f>
        <v>8000</v>
      </c>
      <c r="J359" s="54">
        <f t="shared" si="57"/>
        <v>8000</v>
      </c>
    </row>
    <row r="360" spans="1:10" x14ac:dyDescent="0.3">
      <c r="A360" t="s">
        <v>13282</v>
      </c>
      <c r="B360" s="47">
        <f>+F345</f>
        <v>4000</v>
      </c>
      <c r="C360" s="3">
        <v>12</v>
      </c>
      <c r="D360" s="3">
        <v>0</v>
      </c>
      <c r="E360" s="3">
        <v>0</v>
      </c>
      <c r="F360" s="3">
        <v>0</v>
      </c>
      <c r="G360" s="49">
        <f>+B360*C360</f>
        <v>48000</v>
      </c>
      <c r="H360" s="3">
        <v>0</v>
      </c>
      <c r="I360" s="47">
        <v>0</v>
      </c>
      <c r="J360" s="54">
        <f t="shared" si="57"/>
        <v>48000</v>
      </c>
    </row>
    <row r="361" spans="1:10" x14ac:dyDescent="0.3">
      <c r="A361" s="51"/>
      <c r="B361" s="52" t="s">
        <v>13328</v>
      </c>
      <c r="C361" s="52" t="s">
        <v>13272</v>
      </c>
      <c r="D361" s="52" t="s">
        <v>13273</v>
      </c>
      <c r="E361" s="52" t="s">
        <v>13274</v>
      </c>
      <c r="F361" s="52" t="s">
        <v>13275</v>
      </c>
      <c r="G361" s="52" t="s">
        <v>13276</v>
      </c>
      <c r="H361" s="52" t="s">
        <v>13277</v>
      </c>
      <c r="I361" s="52" t="s">
        <v>13329</v>
      </c>
      <c r="J361" s="56">
        <v>0</v>
      </c>
    </row>
    <row r="362" spans="1:10" x14ac:dyDescent="0.3">
      <c r="A362" t="s">
        <v>13330</v>
      </c>
      <c r="B362" s="3">
        <f>+F345</f>
        <v>4000</v>
      </c>
      <c r="C362" s="3">
        <v>0</v>
      </c>
      <c r="D362" s="3">
        <v>1.2</v>
      </c>
      <c r="E362" s="3">
        <v>0.7</v>
      </c>
      <c r="F362" s="3">
        <v>0</v>
      </c>
      <c r="G362" s="3">
        <v>0</v>
      </c>
      <c r="H362" s="50">
        <f>+B362*D362*E362</f>
        <v>3360</v>
      </c>
      <c r="I362" s="3">
        <v>0</v>
      </c>
      <c r="J362" s="54">
        <f t="shared" ref="J362:J368" si="60">SUM(G362:I362)</f>
        <v>3360</v>
      </c>
    </row>
    <row r="363" spans="1:10" x14ac:dyDescent="0.3">
      <c r="A363" t="s">
        <v>13310</v>
      </c>
      <c r="B363" s="3">
        <f>+F345</f>
        <v>4000</v>
      </c>
      <c r="C363" s="3"/>
      <c r="D363" s="3">
        <v>0.6</v>
      </c>
      <c r="E363" s="3">
        <v>0.6</v>
      </c>
      <c r="F363" s="3"/>
      <c r="G363" s="3"/>
      <c r="H363" s="50">
        <f>+H362-(B363*D363*E363)</f>
        <v>1920</v>
      </c>
      <c r="I363" s="3"/>
      <c r="J363" s="54">
        <f t="shared" si="60"/>
        <v>1920</v>
      </c>
    </row>
    <row r="364" spans="1:10" x14ac:dyDescent="0.3">
      <c r="A364" t="s">
        <v>13324</v>
      </c>
      <c r="B364" s="3">
        <v>0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50">
        <f>(H362-H363)*1.4*5</f>
        <v>10079.999999999998</v>
      </c>
      <c r="I364" s="3"/>
      <c r="J364" s="54">
        <f t="shared" si="60"/>
        <v>10079.999999999998</v>
      </c>
    </row>
    <row r="365" spans="1:10" x14ac:dyDescent="0.3">
      <c r="A365" t="s">
        <v>13311</v>
      </c>
      <c r="B365" s="3">
        <f>+F345</f>
        <v>4000</v>
      </c>
      <c r="C365" s="3">
        <v>0</v>
      </c>
      <c r="D365" s="3">
        <v>0.6</v>
      </c>
      <c r="E365" s="3">
        <v>0.6</v>
      </c>
      <c r="F365" s="3">
        <v>0</v>
      </c>
      <c r="G365" s="50">
        <f>B365*D365*4</f>
        <v>9600</v>
      </c>
      <c r="H365" s="3">
        <v>0</v>
      </c>
      <c r="I365" s="3">
        <v>0</v>
      </c>
      <c r="J365" s="54">
        <f t="shared" si="60"/>
        <v>9600</v>
      </c>
    </row>
    <row r="366" spans="1:10" x14ac:dyDescent="0.3">
      <c r="A366" t="s">
        <v>13312</v>
      </c>
      <c r="B366" s="3">
        <f>+F345</f>
        <v>4000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50">
        <f>+B366</f>
        <v>4000</v>
      </c>
      <c r="J366" s="54">
        <f t="shared" si="60"/>
        <v>4000</v>
      </c>
    </row>
    <row r="367" spans="1:10" x14ac:dyDescent="0.3">
      <c r="A367" t="s">
        <v>13313</v>
      </c>
      <c r="B367" s="3">
        <f>+F345</f>
        <v>4000</v>
      </c>
      <c r="C367" s="3">
        <v>0</v>
      </c>
      <c r="D367" s="3">
        <v>0.6</v>
      </c>
      <c r="E367" s="3">
        <v>0.6</v>
      </c>
      <c r="F367" s="3">
        <v>0</v>
      </c>
      <c r="G367" s="3">
        <v>0</v>
      </c>
      <c r="H367" s="50">
        <f>B367*D367*E367-(B367*3.14*0.4*0.4/4)</f>
        <v>937.59999999999991</v>
      </c>
      <c r="I367" s="3">
        <v>0</v>
      </c>
      <c r="J367" s="54">
        <f t="shared" si="60"/>
        <v>937.59999999999991</v>
      </c>
    </row>
    <row r="368" spans="1:10" x14ac:dyDescent="0.3">
      <c r="A368" t="s">
        <v>13320</v>
      </c>
      <c r="B368" s="3">
        <f>+F345</f>
        <v>4000</v>
      </c>
      <c r="C368" s="3">
        <v>1.2</v>
      </c>
      <c r="D368" s="3">
        <v>0</v>
      </c>
      <c r="E368" s="3">
        <v>0.1</v>
      </c>
      <c r="F368" s="3">
        <v>0</v>
      </c>
      <c r="G368" s="3">
        <v>0</v>
      </c>
      <c r="H368" s="50">
        <f>+B368*C368*E368</f>
        <v>480</v>
      </c>
      <c r="I368" s="3"/>
      <c r="J368" s="54">
        <f t="shared" si="60"/>
        <v>480</v>
      </c>
    </row>
    <row r="369" spans="1:10" x14ac:dyDescent="0.3">
      <c r="A369" s="51"/>
      <c r="B369" s="52" t="s">
        <v>13328</v>
      </c>
      <c r="C369" s="52" t="s">
        <v>13272</v>
      </c>
      <c r="D369" s="52" t="s">
        <v>13273</v>
      </c>
      <c r="E369" s="52" t="s">
        <v>13274</v>
      </c>
      <c r="F369" s="52" t="s">
        <v>13275</v>
      </c>
      <c r="G369" s="52" t="s">
        <v>13276</v>
      </c>
      <c r="H369" s="52" t="s">
        <v>13277</v>
      </c>
      <c r="I369" s="52" t="s">
        <v>13329</v>
      </c>
      <c r="J369" s="56">
        <v>0</v>
      </c>
    </row>
    <row r="370" spans="1:10" x14ac:dyDescent="0.3">
      <c r="A370" t="s">
        <v>13331</v>
      </c>
      <c r="B370" s="3">
        <f>+F345</f>
        <v>4000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f>+B370*2</f>
        <v>8000</v>
      </c>
      <c r="J370" s="54">
        <f t="shared" ref="J370:J373" si="61">SUM(G370:I370)</f>
        <v>8000</v>
      </c>
    </row>
    <row r="371" spans="1:10" x14ac:dyDescent="0.3">
      <c r="A371" t="s">
        <v>13332</v>
      </c>
      <c r="B371" s="3">
        <f>+F345</f>
        <v>4000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f>+B371*2</f>
        <v>8000</v>
      </c>
      <c r="J371" s="54">
        <f t="shared" si="61"/>
        <v>8000</v>
      </c>
    </row>
    <row r="372" spans="1:10" x14ac:dyDescent="0.3">
      <c r="A372" t="s">
        <v>13333</v>
      </c>
      <c r="B372" s="3">
        <v>0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26</v>
      </c>
      <c r="J372" s="54">
        <f t="shared" si="61"/>
        <v>26</v>
      </c>
    </row>
    <row r="373" spans="1:10" x14ac:dyDescent="0.3">
      <c r="A373" t="s">
        <v>13334</v>
      </c>
      <c r="B373" s="3">
        <v>0</v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2</v>
      </c>
      <c r="J373" s="54">
        <f t="shared" si="61"/>
        <v>2</v>
      </c>
    </row>
    <row r="374" spans="1:10" x14ac:dyDescent="0.3">
      <c r="A374" s="51"/>
      <c r="B374" s="52" t="s">
        <v>13328</v>
      </c>
      <c r="C374" s="52" t="s">
        <v>13272</v>
      </c>
      <c r="D374" s="52" t="s">
        <v>13273</v>
      </c>
      <c r="E374" s="52" t="s">
        <v>13274</v>
      </c>
      <c r="F374" s="52" t="s">
        <v>13275</v>
      </c>
      <c r="G374" s="52" t="s">
        <v>13276</v>
      </c>
      <c r="H374" s="52" t="s">
        <v>13277</v>
      </c>
      <c r="I374" s="52" t="s">
        <v>13329</v>
      </c>
      <c r="J374" s="56">
        <v>0</v>
      </c>
    </row>
    <row r="375" spans="1:10" x14ac:dyDescent="0.3">
      <c r="A375" t="s">
        <v>13330</v>
      </c>
      <c r="B375" s="3">
        <f>+F345</f>
        <v>4000</v>
      </c>
      <c r="C375" s="3">
        <v>0</v>
      </c>
      <c r="D375" s="3">
        <v>3.5</v>
      </c>
      <c r="E375" s="3">
        <v>0.15</v>
      </c>
      <c r="F375" s="3">
        <v>0</v>
      </c>
      <c r="G375" s="3">
        <v>0</v>
      </c>
      <c r="H375" s="3">
        <f>+B375*D375*E375*2</f>
        <v>4200</v>
      </c>
      <c r="I375" s="3">
        <v>0</v>
      </c>
      <c r="J375" s="54">
        <f t="shared" ref="J375:J379" si="62">SUM(G375:I375)</f>
        <v>4200</v>
      </c>
    </row>
    <row r="376" spans="1:10" x14ac:dyDescent="0.3">
      <c r="A376" t="s">
        <v>13271</v>
      </c>
      <c r="B376" s="3">
        <f>+F345</f>
        <v>4000</v>
      </c>
      <c r="C376" s="3">
        <v>0</v>
      </c>
      <c r="D376" s="3">
        <v>3.5</v>
      </c>
      <c r="E376" s="3">
        <v>0.1</v>
      </c>
      <c r="F376" s="3">
        <v>0</v>
      </c>
      <c r="G376" s="3">
        <v>0</v>
      </c>
      <c r="H376" s="3">
        <f>+B376*D376*E376*2</f>
        <v>2800</v>
      </c>
      <c r="I376" s="3">
        <v>0</v>
      </c>
      <c r="J376" s="54">
        <f t="shared" si="62"/>
        <v>2800</v>
      </c>
    </row>
    <row r="377" spans="1:10" x14ac:dyDescent="0.3">
      <c r="A377" t="s">
        <v>13324</v>
      </c>
      <c r="B377" s="3">
        <v>0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f>+H375-H376</f>
        <v>1400</v>
      </c>
      <c r="I377" s="3">
        <v>0</v>
      </c>
      <c r="J377" s="54">
        <f t="shared" si="62"/>
        <v>1400</v>
      </c>
    </row>
    <row r="378" spans="1:10" x14ac:dyDescent="0.3">
      <c r="A378" t="s">
        <v>13335</v>
      </c>
      <c r="B378" s="3">
        <f>+F345</f>
        <v>4000</v>
      </c>
      <c r="C378" s="3">
        <v>0</v>
      </c>
      <c r="D378" s="3">
        <v>3.5</v>
      </c>
      <c r="E378" s="3">
        <v>0</v>
      </c>
      <c r="F378" s="3">
        <v>0</v>
      </c>
      <c r="G378" s="3">
        <f>+B378*D378*2</f>
        <v>28000</v>
      </c>
      <c r="H378" s="3">
        <v>0</v>
      </c>
      <c r="I378" s="3">
        <v>0</v>
      </c>
      <c r="J378" s="54">
        <f t="shared" si="62"/>
        <v>28000</v>
      </c>
    </row>
    <row r="379" spans="1:10" x14ac:dyDescent="0.3">
      <c r="A379" t="s">
        <v>13336</v>
      </c>
      <c r="B379" s="3">
        <f>+F345</f>
        <v>4000</v>
      </c>
      <c r="C379" s="3">
        <v>0</v>
      </c>
      <c r="D379" s="3">
        <v>3.5</v>
      </c>
      <c r="E379" s="3">
        <v>0.15</v>
      </c>
      <c r="F379" s="3">
        <v>0</v>
      </c>
      <c r="G379" s="3"/>
      <c r="H379" s="3">
        <f>+B379*D379*E379</f>
        <v>2100</v>
      </c>
      <c r="I379" s="3">
        <v>0</v>
      </c>
      <c r="J379" s="54">
        <f t="shared" si="62"/>
        <v>2100</v>
      </c>
    </row>
    <row r="380" spans="1:10" x14ac:dyDescent="0.3">
      <c r="A380" s="51"/>
      <c r="B380" s="52" t="s">
        <v>13328</v>
      </c>
      <c r="C380" s="52" t="s">
        <v>13272</v>
      </c>
      <c r="D380" s="52" t="s">
        <v>13273</v>
      </c>
      <c r="E380" s="52" t="s">
        <v>13274</v>
      </c>
      <c r="F380" s="52" t="s">
        <v>13275</v>
      </c>
      <c r="G380" s="52" t="s">
        <v>13276</v>
      </c>
      <c r="H380" s="52" t="s">
        <v>13277</v>
      </c>
      <c r="I380" s="52" t="s">
        <v>13329</v>
      </c>
      <c r="J380" s="56">
        <v>0</v>
      </c>
    </row>
    <row r="381" spans="1:10" x14ac:dyDescent="0.3">
      <c r="A381" s="3" t="s">
        <v>13337</v>
      </c>
      <c r="B381" s="3">
        <f>+F345</f>
        <v>4000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f>+B381*2</f>
        <v>8000</v>
      </c>
      <c r="J381" s="55">
        <f t="shared" ref="J381" si="63">SUM(G381:I381)</f>
        <v>8000</v>
      </c>
    </row>
    <row r="383" spans="1:10" x14ac:dyDescent="0.3">
      <c r="A383" t="s">
        <v>21</v>
      </c>
      <c r="B383" t="str">
        <f>+'Ficha Canais'!A15</f>
        <v>Canal: CS21a - Trecho 2</v>
      </c>
      <c r="E383" t="s">
        <v>13269</v>
      </c>
      <c r="F383" s="3">
        <f>+'Ficha Canais'!B15</f>
        <v>3992</v>
      </c>
      <c r="G383" t="s">
        <v>13270</v>
      </c>
      <c r="H383" t="s">
        <v>14586</v>
      </c>
      <c r="I383" s="3">
        <f>+I345</f>
        <v>5</v>
      </c>
    </row>
    <row r="384" spans="1:10" x14ac:dyDescent="0.3">
      <c r="A384" s="51"/>
      <c r="B384" s="52" t="s">
        <v>13328</v>
      </c>
      <c r="C384" s="52" t="s">
        <v>13272</v>
      </c>
      <c r="D384" s="52" t="s">
        <v>13273</v>
      </c>
      <c r="E384" s="52" t="s">
        <v>13274</v>
      </c>
      <c r="F384" s="52" t="s">
        <v>13275</v>
      </c>
      <c r="G384" s="52" t="s">
        <v>13276</v>
      </c>
      <c r="H384" s="52" t="s">
        <v>13277</v>
      </c>
      <c r="I384" s="52" t="s">
        <v>13329</v>
      </c>
      <c r="J384" s="53" t="s">
        <v>13309</v>
      </c>
    </row>
    <row r="385" spans="1:10" x14ac:dyDescent="0.3">
      <c r="A385" t="s">
        <v>13322</v>
      </c>
      <c r="B385" s="3">
        <f>+F383</f>
        <v>3992</v>
      </c>
      <c r="C385" s="3">
        <v>40</v>
      </c>
      <c r="D385" s="3">
        <v>0</v>
      </c>
      <c r="E385" s="3">
        <v>0</v>
      </c>
      <c r="F385" s="3">
        <v>0</v>
      </c>
      <c r="G385" s="49">
        <f>+B385*C385</f>
        <v>159680</v>
      </c>
      <c r="H385" s="47">
        <v>0</v>
      </c>
      <c r="I385" s="47">
        <v>0</v>
      </c>
      <c r="J385" s="54">
        <f>SUM(G385:I385)</f>
        <v>159680</v>
      </c>
    </row>
    <row r="386" spans="1:10" x14ac:dyDescent="0.3">
      <c r="A386" t="s">
        <v>13323</v>
      </c>
      <c r="B386" s="3">
        <v>0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68">
        <v>31221.93</v>
      </c>
      <c r="I386" s="47">
        <v>0</v>
      </c>
      <c r="J386" s="54">
        <f t="shared" ref="J386:J398" si="64">SUM(G386:I386)</f>
        <v>31221.93</v>
      </c>
    </row>
    <row r="387" spans="1:10" x14ac:dyDescent="0.3">
      <c r="A387" t="s">
        <v>13271</v>
      </c>
      <c r="B387" s="3">
        <v>0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68">
        <v>137607</v>
      </c>
      <c r="I387" s="47">
        <v>0</v>
      </c>
      <c r="J387" s="54">
        <f t="shared" si="64"/>
        <v>137607</v>
      </c>
    </row>
    <row r="388" spans="1:10" x14ac:dyDescent="0.3">
      <c r="A388" t="s">
        <v>13324</v>
      </c>
      <c r="B388" s="3">
        <v>0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68">
        <f>+(H387-H386)*1.4*I383</f>
        <v>744695.49</v>
      </c>
      <c r="I388" s="47">
        <v>0</v>
      </c>
      <c r="J388" s="54">
        <f t="shared" si="64"/>
        <v>744695.49</v>
      </c>
    </row>
    <row r="389" spans="1:10" s="60" customFormat="1" x14ac:dyDescent="0.3">
      <c r="A389" s="60" t="s">
        <v>13335</v>
      </c>
      <c r="B389" s="61">
        <f>+F383</f>
        <v>3992</v>
      </c>
      <c r="C389" s="61">
        <v>0</v>
      </c>
      <c r="D389" s="61">
        <f>+'Ficha Canais'!$C$15</f>
        <v>1.5</v>
      </c>
      <c r="E389" s="61">
        <v>0</v>
      </c>
      <c r="F389" s="61">
        <v>0</v>
      </c>
      <c r="G389" s="194">
        <f>+B389*D389</f>
        <v>5988</v>
      </c>
      <c r="H389" s="62">
        <v>0</v>
      </c>
      <c r="I389" s="62"/>
      <c r="J389" s="195">
        <f t="shared" ref="J389" si="65">SUM(G389:I389)</f>
        <v>5988</v>
      </c>
    </row>
    <row r="390" spans="1:10" x14ac:dyDescent="0.3">
      <c r="A390" t="s">
        <v>13325</v>
      </c>
      <c r="B390" s="3">
        <f>+F383</f>
        <v>3992</v>
      </c>
      <c r="C390" s="3">
        <v>0</v>
      </c>
      <c r="D390" s="3">
        <v>1.5</v>
      </c>
      <c r="E390" s="3">
        <v>2.0299999999999998</v>
      </c>
      <c r="F390" s="3">
        <f>(E390*1.8*2)+D390+0.8</f>
        <v>9.6080000000000005</v>
      </c>
      <c r="G390" s="69">
        <v>7782.3</v>
      </c>
      <c r="H390" s="68">
        <v>0</v>
      </c>
      <c r="I390" s="47">
        <v>0</v>
      </c>
      <c r="J390" s="54">
        <f t="shared" si="64"/>
        <v>7782.3</v>
      </c>
    </row>
    <row r="391" spans="1:10" s="60" customFormat="1" x14ac:dyDescent="0.3">
      <c r="A391" s="60" t="s">
        <v>14514</v>
      </c>
      <c r="B391" s="61">
        <f>+F383</f>
        <v>3992</v>
      </c>
      <c r="C391" s="61">
        <v>0</v>
      </c>
      <c r="D391" s="61">
        <v>0</v>
      </c>
      <c r="E391" s="61">
        <v>0</v>
      </c>
      <c r="F391" s="61">
        <v>0</v>
      </c>
      <c r="G391" s="62">
        <v>0</v>
      </c>
      <c r="H391" s="194">
        <f>+G392*0.2</f>
        <v>6225.8</v>
      </c>
      <c r="I391" s="62">
        <v>0</v>
      </c>
      <c r="J391" s="195">
        <f t="shared" ref="J391" si="66">SUM(G391:I391)</f>
        <v>6225.8</v>
      </c>
    </row>
    <row r="392" spans="1:10" x14ac:dyDescent="0.3">
      <c r="A392" t="s">
        <v>13326</v>
      </c>
      <c r="B392" s="3">
        <v>0</v>
      </c>
      <c r="C392" s="3">
        <v>0</v>
      </c>
      <c r="D392" s="3">
        <v>0</v>
      </c>
      <c r="E392" s="3">
        <v>0</v>
      </c>
      <c r="F392" s="3">
        <v>0</v>
      </c>
      <c r="G392" s="69">
        <v>31129</v>
      </c>
      <c r="H392" s="68">
        <v>0</v>
      </c>
      <c r="I392" s="47">
        <v>0</v>
      </c>
      <c r="J392" s="54">
        <f t="shared" si="64"/>
        <v>31129</v>
      </c>
    </row>
    <row r="393" spans="1:10" s="60" customFormat="1" x14ac:dyDescent="0.3">
      <c r="A393" s="60" t="s">
        <v>14515</v>
      </c>
      <c r="B393" s="61">
        <f>+F383</f>
        <v>3992</v>
      </c>
      <c r="C393" s="61">
        <v>0</v>
      </c>
      <c r="D393" s="61">
        <v>0</v>
      </c>
      <c r="E393" s="61">
        <v>0</v>
      </c>
      <c r="F393" s="61">
        <v>0</v>
      </c>
      <c r="G393" s="62">
        <v>0</v>
      </c>
      <c r="H393" s="61">
        <v>0</v>
      </c>
      <c r="I393" s="194">
        <f>+B393*2</f>
        <v>7984</v>
      </c>
      <c r="J393" s="195">
        <f>+I393</f>
        <v>7984</v>
      </c>
    </row>
    <row r="394" spans="1:10" x14ac:dyDescent="0.3">
      <c r="A394" t="s">
        <v>3042</v>
      </c>
      <c r="B394" s="3">
        <v>0</v>
      </c>
      <c r="C394" s="3">
        <v>0</v>
      </c>
      <c r="D394" s="3">
        <v>0</v>
      </c>
      <c r="E394" s="3">
        <v>0</v>
      </c>
      <c r="F394" s="3">
        <v>0</v>
      </c>
      <c r="G394" s="68">
        <v>0</v>
      </c>
      <c r="H394" s="68">
        <f>+G392*0.07</f>
        <v>2179.0300000000002</v>
      </c>
      <c r="I394" s="47">
        <v>0</v>
      </c>
      <c r="J394" s="54">
        <f t="shared" si="64"/>
        <v>2179.0300000000002</v>
      </c>
    </row>
    <row r="395" spans="1:10" x14ac:dyDescent="0.3">
      <c r="A395" t="s">
        <v>13327</v>
      </c>
      <c r="B395" s="3">
        <v>0</v>
      </c>
      <c r="C395" s="3">
        <v>0</v>
      </c>
      <c r="D395" s="3">
        <v>0</v>
      </c>
      <c r="E395" s="3">
        <v>0</v>
      </c>
      <c r="F395" s="3">
        <v>0</v>
      </c>
      <c r="G395" s="68">
        <v>0</v>
      </c>
      <c r="H395" s="68">
        <f>+H394</f>
        <v>2179.0300000000002</v>
      </c>
      <c r="I395" s="47">
        <v>0</v>
      </c>
      <c r="J395" s="54">
        <f t="shared" si="64"/>
        <v>2179.0300000000002</v>
      </c>
    </row>
    <row r="396" spans="1:10" x14ac:dyDescent="0.3">
      <c r="A396" t="s">
        <v>13278</v>
      </c>
      <c r="B396" s="3">
        <f>+F383</f>
        <v>3992</v>
      </c>
      <c r="C396" s="3">
        <v>0</v>
      </c>
      <c r="D396" s="3">
        <v>0</v>
      </c>
      <c r="E396" s="3">
        <v>0</v>
      </c>
      <c r="F396" s="47">
        <f>+F390</f>
        <v>9.6080000000000005</v>
      </c>
      <c r="G396" s="3">
        <v>0</v>
      </c>
      <c r="H396" s="3">
        <v>0</v>
      </c>
      <c r="I396" s="49">
        <f>+B396/2*F396</f>
        <v>19177.567999999999</v>
      </c>
      <c r="J396" s="54">
        <f t="shared" si="64"/>
        <v>19177.567999999999</v>
      </c>
    </row>
    <row r="397" spans="1:10" x14ac:dyDescent="0.3">
      <c r="A397" t="s">
        <v>13279</v>
      </c>
      <c r="B397" s="3">
        <f>+F383</f>
        <v>3992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49">
        <f>+B397*2</f>
        <v>7984</v>
      </c>
      <c r="J397" s="54">
        <f t="shared" si="64"/>
        <v>7984</v>
      </c>
    </row>
    <row r="398" spans="1:10" x14ac:dyDescent="0.3">
      <c r="A398" t="s">
        <v>13282</v>
      </c>
      <c r="B398" s="47">
        <f>+F383</f>
        <v>3992</v>
      </c>
      <c r="C398" s="3">
        <v>12</v>
      </c>
      <c r="D398" s="3">
        <v>0</v>
      </c>
      <c r="E398" s="3">
        <v>0</v>
      </c>
      <c r="F398" s="3">
        <v>0</v>
      </c>
      <c r="G398" s="49">
        <f>+B398*C398</f>
        <v>47904</v>
      </c>
      <c r="H398" s="3">
        <v>0</v>
      </c>
      <c r="I398" s="47">
        <v>0</v>
      </c>
      <c r="J398" s="54">
        <f t="shared" si="64"/>
        <v>47904</v>
      </c>
    </row>
    <row r="399" spans="1:10" x14ac:dyDescent="0.3">
      <c r="A399" s="51"/>
      <c r="B399" s="52" t="s">
        <v>13328</v>
      </c>
      <c r="C399" s="52" t="s">
        <v>13272</v>
      </c>
      <c r="D399" s="52" t="s">
        <v>13273</v>
      </c>
      <c r="E399" s="52" t="s">
        <v>13274</v>
      </c>
      <c r="F399" s="52" t="s">
        <v>13275</v>
      </c>
      <c r="G399" s="52" t="s">
        <v>13276</v>
      </c>
      <c r="H399" s="52" t="s">
        <v>13277</v>
      </c>
      <c r="I399" s="52" t="s">
        <v>13329</v>
      </c>
      <c r="J399" s="56">
        <v>0</v>
      </c>
    </row>
    <row r="400" spans="1:10" x14ac:dyDescent="0.3">
      <c r="A400" t="s">
        <v>13330</v>
      </c>
      <c r="B400" s="3">
        <f>+F383</f>
        <v>3992</v>
      </c>
      <c r="C400" s="3">
        <v>0</v>
      </c>
      <c r="D400" s="3">
        <v>1.2</v>
      </c>
      <c r="E400" s="3">
        <v>0.7</v>
      </c>
      <c r="F400" s="3">
        <v>0</v>
      </c>
      <c r="G400" s="3">
        <v>0</v>
      </c>
      <c r="H400" s="50">
        <f>+B400*D400*E400</f>
        <v>3353.2799999999997</v>
      </c>
      <c r="I400" s="3">
        <v>0</v>
      </c>
      <c r="J400" s="54">
        <f t="shared" ref="J400:J406" si="67">SUM(G400:I400)</f>
        <v>3353.2799999999997</v>
      </c>
    </row>
    <row r="401" spans="1:10" x14ac:dyDescent="0.3">
      <c r="A401" t="s">
        <v>13310</v>
      </c>
      <c r="B401" s="3">
        <f>+F383</f>
        <v>3992</v>
      </c>
      <c r="C401" s="3"/>
      <c r="D401" s="3">
        <v>0.6</v>
      </c>
      <c r="E401" s="3">
        <v>0.6</v>
      </c>
      <c r="F401" s="3"/>
      <c r="G401" s="3"/>
      <c r="H401" s="50">
        <f>+H400-(B401*D401*E401)</f>
        <v>1916.1599999999999</v>
      </c>
      <c r="I401" s="3"/>
      <c r="J401" s="54">
        <f t="shared" si="67"/>
        <v>1916.1599999999999</v>
      </c>
    </row>
    <row r="402" spans="1:10" x14ac:dyDescent="0.3">
      <c r="A402" t="s">
        <v>13324</v>
      </c>
      <c r="B402" s="3">
        <v>0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50">
        <f>(H400-H401)*1.4*5</f>
        <v>10059.839999999998</v>
      </c>
      <c r="I402" s="3"/>
      <c r="J402" s="54">
        <f t="shared" si="67"/>
        <v>10059.839999999998</v>
      </c>
    </row>
    <row r="403" spans="1:10" x14ac:dyDescent="0.3">
      <c r="A403" t="s">
        <v>13311</v>
      </c>
      <c r="B403" s="3">
        <f>+F383</f>
        <v>3992</v>
      </c>
      <c r="C403" s="3">
        <v>0</v>
      </c>
      <c r="D403" s="3">
        <v>0.6</v>
      </c>
      <c r="E403" s="3">
        <v>0.6</v>
      </c>
      <c r="F403" s="3">
        <v>0</v>
      </c>
      <c r="G403" s="50">
        <f>B403*D403*4</f>
        <v>9580.7999999999993</v>
      </c>
      <c r="H403" s="3">
        <v>0</v>
      </c>
      <c r="I403" s="3">
        <v>0</v>
      </c>
      <c r="J403" s="54">
        <f t="shared" si="67"/>
        <v>9580.7999999999993</v>
      </c>
    </row>
    <row r="404" spans="1:10" x14ac:dyDescent="0.3">
      <c r="A404" t="s">
        <v>13312</v>
      </c>
      <c r="B404" s="3">
        <f>+F383</f>
        <v>3992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50">
        <f>+B404</f>
        <v>3992</v>
      </c>
      <c r="J404" s="54">
        <f t="shared" si="67"/>
        <v>3992</v>
      </c>
    </row>
    <row r="405" spans="1:10" x14ac:dyDescent="0.3">
      <c r="A405" t="s">
        <v>13313</v>
      </c>
      <c r="B405" s="3">
        <f>+F383</f>
        <v>3992</v>
      </c>
      <c r="C405" s="3">
        <v>0</v>
      </c>
      <c r="D405" s="3">
        <v>0.6</v>
      </c>
      <c r="E405" s="3">
        <v>0.6</v>
      </c>
      <c r="F405" s="3">
        <v>0</v>
      </c>
      <c r="G405" s="3">
        <v>0</v>
      </c>
      <c r="H405" s="50">
        <f>B405*D405*E405-(B405*3.14*0.4*0.4/4)</f>
        <v>935.72479999999973</v>
      </c>
      <c r="I405" s="3">
        <v>0</v>
      </c>
      <c r="J405" s="54">
        <f t="shared" si="67"/>
        <v>935.72479999999973</v>
      </c>
    </row>
    <row r="406" spans="1:10" x14ac:dyDescent="0.3">
      <c r="A406" t="s">
        <v>13320</v>
      </c>
      <c r="B406" s="3">
        <f>+F383</f>
        <v>3992</v>
      </c>
      <c r="C406" s="3">
        <v>1.2</v>
      </c>
      <c r="D406" s="3">
        <v>0</v>
      </c>
      <c r="E406" s="3">
        <v>0.1</v>
      </c>
      <c r="F406" s="3">
        <v>0</v>
      </c>
      <c r="G406" s="3">
        <v>0</v>
      </c>
      <c r="H406" s="50">
        <f>+B406*C406*E406</f>
        <v>479.03999999999996</v>
      </c>
      <c r="I406" s="3"/>
      <c r="J406" s="54">
        <f t="shared" si="67"/>
        <v>479.03999999999996</v>
      </c>
    </row>
    <row r="407" spans="1:10" x14ac:dyDescent="0.3">
      <c r="A407" s="51"/>
      <c r="B407" s="52" t="s">
        <v>13328</v>
      </c>
      <c r="C407" s="52" t="s">
        <v>13272</v>
      </c>
      <c r="D407" s="52" t="s">
        <v>13273</v>
      </c>
      <c r="E407" s="52" t="s">
        <v>13274</v>
      </c>
      <c r="F407" s="52" t="s">
        <v>13275</v>
      </c>
      <c r="G407" s="52" t="s">
        <v>13276</v>
      </c>
      <c r="H407" s="52" t="s">
        <v>13277</v>
      </c>
      <c r="I407" s="52" t="s">
        <v>13329</v>
      </c>
      <c r="J407" s="56">
        <v>0</v>
      </c>
    </row>
    <row r="408" spans="1:10" x14ac:dyDescent="0.3">
      <c r="A408" t="s">
        <v>13331</v>
      </c>
      <c r="B408" s="3">
        <f>+F383</f>
        <v>3992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f>+B408*2</f>
        <v>7984</v>
      </c>
      <c r="J408" s="54">
        <f t="shared" ref="J408:J411" si="68">SUM(G408:I408)</f>
        <v>7984</v>
      </c>
    </row>
    <row r="409" spans="1:10" x14ac:dyDescent="0.3">
      <c r="A409" t="s">
        <v>13332</v>
      </c>
      <c r="B409" s="3">
        <f>+F383</f>
        <v>3992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f>+B409*2</f>
        <v>7984</v>
      </c>
      <c r="J409" s="54">
        <f t="shared" si="68"/>
        <v>7984</v>
      </c>
    </row>
    <row r="410" spans="1:10" x14ac:dyDescent="0.3">
      <c r="A410" t="s">
        <v>13333</v>
      </c>
      <c r="B410" s="3">
        <v>0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f>35+36+27.5</f>
        <v>98.5</v>
      </c>
      <c r="J410" s="54">
        <f t="shared" si="68"/>
        <v>98.5</v>
      </c>
    </row>
    <row r="411" spans="1:10" x14ac:dyDescent="0.3">
      <c r="A411" t="s">
        <v>13334</v>
      </c>
      <c r="B411" s="3">
        <v>0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6</v>
      </c>
      <c r="J411" s="54">
        <f t="shared" si="68"/>
        <v>6</v>
      </c>
    </row>
    <row r="412" spans="1:10" x14ac:dyDescent="0.3">
      <c r="A412" s="51"/>
      <c r="B412" s="52" t="s">
        <v>13328</v>
      </c>
      <c r="C412" s="52" t="s">
        <v>13272</v>
      </c>
      <c r="D412" s="52" t="s">
        <v>13273</v>
      </c>
      <c r="E412" s="52" t="s">
        <v>13274</v>
      </c>
      <c r="F412" s="52" t="s">
        <v>13275</v>
      </c>
      <c r="G412" s="52" t="s">
        <v>13276</v>
      </c>
      <c r="H412" s="52" t="s">
        <v>13277</v>
      </c>
      <c r="I412" s="52" t="s">
        <v>13329</v>
      </c>
      <c r="J412" s="56">
        <v>0</v>
      </c>
    </row>
    <row r="413" spans="1:10" x14ac:dyDescent="0.3">
      <c r="A413" t="s">
        <v>13330</v>
      </c>
      <c r="B413" s="3">
        <f>+F383</f>
        <v>3992</v>
      </c>
      <c r="C413" s="3">
        <v>0</v>
      </c>
      <c r="D413" s="3">
        <v>3.5</v>
      </c>
      <c r="E413" s="3">
        <v>0.15</v>
      </c>
      <c r="F413" s="3">
        <v>0</v>
      </c>
      <c r="G413" s="3">
        <v>0</v>
      </c>
      <c r="H413" s="3">
        <f>+B413*D413*E413*2</f>
        <v>4191.5999999999995</v>
      </c>
      <c r="I413" s="3">
        <v>0</v>
      </c>
      <c r="J413" s="54">
        <f t="shared" ref="J413:J417" si="69">SUM(G413:I413)</f>
        <v>4191.5999999999995</v>
      </c>
    </row>
    <row r="414" spans="1:10" x14ac:dyDescent="0.3">
      <c r="A414" t="s">
        <v>13271</v>
      </c>
      <c r="B414" s="3">
        <f>+F383</f>
        <v>3992</v>
      </c>
      <c r="C414" s="3">
        <v>0</v>
      </c>
      <c r="D414" s="3">
        <v>3.5</v>
      </c>
      <c r="E414" s="3">
        <v>0.1</v>
      </c>
      <c r="F414" s="3">
        <v>0</v>
      </c>
      <c r="G414" s="3">
        <v>0</v>
      </c>
      <c r="H414" s="3">
        <f>+B414*D414*E414*2</f>
        <v>2794.4</v>
      </c>
      <c r="I414" s="3">
        <v>0</v>
      </c>
      <c r="J414" s="54">
        <f t="shared" si="69"/>
        <v>2794.4</v>
      </c>
    </row>
    <row r="415" spans="1:10" x14ac:dyDescent="0.3">
      <c r="A415" t="s">
        <v>13324</v>
      </c>
      <c r="B415" s="3">
        <v>0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f>+H413-H414</f>
        <v>1397.1999999999994</v>
      </c>
      <c r="I415" s="3">
        <v>0</v>
      </c>
      <c r="J415" s="54">
        <f t="shared" si="69"/>
        <v>1397.1999999999994</v>
      </c>
    </row>
    <row r="416" spans="1:10" x14ac:dyDescent="0.3">
      <c r="A416" t="s">
        <v>13335</v>
      </c>
      <c r="B416" s="3">
        <f>+F383</f>
        <v>3992</v>
      </c>
      <c r="C416" s="3">
        <v>0</v>
      </c>
      <c r="D416" s="3">
        <v>3.5</v>
      </c>
      <c r="E416" s="3">
        <v>0</v>
      </c>
      <c r="F416" s="3">
        <v>0</v>
      </c>
      <c r="G416" s="3">
        <f>+B416*D416*2</f>
        <v>27944</v>
      </c>
      <c r="H416" s="3">
        <v>0</v>
      </c>
      <c r="I416" s="3">
        <v>0</v>
      </c>
      <c r="J416" s="54">
        <f t="shared" si="69"/>
        <v>27944</v>
      </c>
    </row>
    <row r="417" spans="1:10" x14ac:dyDescent="0.3">
      <c r="A417" t="s">
        <v>13336</v>
      </c>
      <c r="B417" s="3">
        <f>+F383</f>
        <v>3992</v>
      </c>
      <c r="C417" s="3">
        <v>0</v>
      </c>
      <c r="D417" s="3">
        <v>3.5</v>
      </c>
      <c r="E417" s="3">
        <v>0.15</v>
      </c>
      <c r="F417" s="3">
        <v>0</v>
      </c>
      <c r="G417" s="3"/>
      <c r="H417" s="3">
        <f>+B417*D417*E417</f>
        <v>2095.7999999999997</v>
      </c>
      <c r="I417" s="3">
        <v>0</v>
      </c>
      <c r="J417" s="54">
        <f t="shared" si="69"/>
        <v>2095.7999999999997</v>
      </c>
    </row>
    <row r="418" spans="1:10" x14ac:dyDescent="0.3">
      <c r="A418" s="51"/>
      <c r="B418" s="52" t="s">
        <v>13328</v>
      </c>
      <c r="C418" s="52" t="s">
        <v>13272</v>
      </c>
      <c r="D418" s="52" t="s">
        <v>13273</v>
      </c>
      <c r="E418" s="52" t="s">
        <v>13274</v>
      </c>
      <c r="F418" s="52" t="s">
        <v>13275</v>
      </c>
      <c r="G418" s="52" t="s">
        <v>13276</v>
      </c>
      <c r="H418" s="52" t="s">
        <v>13277</v>
      </c>
      <c r="I418" s="52" t="s">
        <v>13329</v>
      </c>
      <c r="J418" s="56">
        <v>0</v>
      </c>
    </row>
    <row r="419" spans="1:10" x14ac:dyDescent="0.3">
      <c r="A419" s="3" t="s">
        <v>13337</v>
      </c>
      <c r="B419" s="3">
        <f>+F383</f>
        <v>3992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f>+B419*2</f>
        <v>7984</v>
      </c>
      <c r="J419" s="55">
        <f t="shared" ref="J419" si="70">SUM(G419:I419)</f>
        <v>7984</v>
      </c>
    </row>
    <row r="421" spans="1:10" x14ac:dyDescent="0.3">
      <c r="A421" t="s">
        <v>21</v>
      </c>
      <c r="B421" t="str">
        <f>+'Ficha Canais'!A16</f>
        <v>Canal: CS21a - Trecho 3</v>
      </c>
      <c r="E421" t="s">
        <v>13269</v>
      </c>
      <c r="F421" s="3">
        <v>3292</v>
      </c>
      <c r="G421" t="s">
        <v>13270</v>
      </c>
      <c r="H421" t="s">
        <v>14586</v>
      </c>
      <c r="I421" s="3">
        <f>+I383</f>
        <v>5</v>
      </c>
    </row>
    <row r="422" spans="1:10" x14ac:dyDescent="0.3">
      <c r="A422" s="51"/>
      <c r="B422" s="52" t="s">
        <v>13328</v>
      </c>
      <c r="C422" s="52" t="s">
        <v>13272</v>
      </c>
      <c r="D422" s="52" t="s">
        <v>13273</v>
      </c>
      <c r="E422" s="52" t="s">
        <v>13274</v>
      </c>
      <c r="F422" s="52" t="s">
        <v>13275</v>
      </c>
      <c r="G422" s="52" t="s">
        <v>13276</v>
      </c>
      <c r="H422" s="52" t="s">
        <v>13277</v>
      </c>
      <c r="I422" s="52" t="s">
        <v>13329</v>
      </c>
      <c r="J422" s="53" t="s">
        <v>13309</v>
      </c>
    </row>
    <row r="423" spans="1:10" x14ac:dyDescent="0.3">
      <c r="A423" t="s">
        <v>13322</v>
      </c>
      <c r="B423" s="3">
        <f>+F421</f>
        <v>3292</v>
      </c>
      <c r="C423" s="3">
        <v>40</v>
      </c>
      <c r="D423" s="3">
        <v>0</v>
      </c>
      <c r="E423" s="3">
        <v>0</v>
      </c>
      <c r="F423" s="3">
        <v>0</v>
      </c>
      <c r="G423" s="49">
        <f>+B423*C423</f>
        <v>131680</v>
      </c>
      <c r="H423" s="47">
        <v>0</v>
      </c>
      <c r="I423" s="47">
        <v>0</v>
      </c>
      <c r="J423" s="54">
        <f>SUM(G423:I423)</f>
        <v>131680</v>
      </c>
    </row>
    <row r="424" spans="1:10" x14ac:dyDescent="0.3">
      <c r="A424" t="s">
        <v>13323</v>
      </c>
      <c r="B424" s="3">
        <v>0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68">
        <v>12014.31</v>
      </c>
      <c r="I424" s="47">
        <v>0</v>
      </c>
      <c r="J424" s="54">
        <f t="shared" ref="J424:J436" si="71">SUM(G424:I424)</f>
        <v>12014.31</v>
      </c>
    </row>
    <row r="425" spans="1:10" x14ac:dyDescent="0.3">
      <c r="A425" t="s">
        <v>13271</v>
      </c>
      <c r="B425" s="3">
        <v>0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68">
        <v>151425.70000000001</v>
      </c>
      <c r="I425" s="47">
        <v>0</v>
      </c>
      <c r="J425" s="54">
        <f t="shared" si="71"/>
        <v>151425.70000000001</v>
      </c>
    </row>
    <row r="426" spans="1:10" x14ac:dyDescent="0.3">
      <c r="A426" t="s">
        <v>13324</v>
      </c>
      <c r="B426" s="3">
        <v>0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68">
        <f>(H425-H424)*1.4*I421</f>
        <v>975879.73</v>
      </c>
      <c r="I426" s="47">
        <v>0</v>
      </c>
      <c r="J426" s="54">
        <f t="shared" si="71"/>
        <v>975879.73</v>
      </c>
    </row>
    <row r="427" spans="1:10" s="60" customFormat="1" x14ac:dyDescent="0.3">
      <c r="A427" s="60" t="s">
        <v>13335</v>
      </c>
      <c r="B427" s="61">
        <f>+F421</f>
        <v>3292</v>
      </c>
      <c r="C427" s="61">
        <v>0</v>
      </c>
      <c r="D427" s="61">
        <f>+'Ficha Canais'!$C$16</f>
        <v>1.2</v>
      </c>
      <c r="E427" s="61">
        <v>0</v>
      </c>
      <c r="F427" s="61">
        <v>0</v>
      </c>
      <c r="G427" s="194">
        <f>+B427*D427</f>
        <v>3950.3999999999996</v>
      </c>
      <c r="H427" s="62">
        <v>0</v>
      </c>
      <c r="I427" s="62"/>
      <c r="J427" s="195">
        <f t="shared" ref="J427" si="72">SUM(G427:I427)</f>
        <v>3950.3999999999996</v>
      </c>
    </row>
    <row r="428" spans="1:10" x14ac:dyDescent="0.3">
      <c r="A428" t="s">
        <v>13325</v>
      </c>
      <c r="B428" s="3">
        <f>+F421</f>
        <v>3292</v>
      </c>
      <c r="C428" s="3">
        <v>0</v>
      </c>
      <c r="D428" s="3">
        <v>1.2</v>
      </c>
      <c r="E428" s="3">
        <v>1.69</v>
      </c>
      <c r="F428" s="3">
        <f>(E428*1.8*2)+D428+0.8</f>
        <v>8.0839999999999996</v>
      </c>
      <c r="G428" s="69">
        <v>5687</v>
      </c>
      <c r="H428" s="68">
        <v>0</v>
      </c>
      <c r="I428" s="47">
        <v>0</v>
      </c>
      <c r="J428" s="54">
        <f t="shared" si="71"/>
        <v>5687</v>
      </c>
    </row>
    <row r="429" spans="1:10" s="60" customFormat="1" x14ac:dyDescent="0.3">
      <c r="A429" s="60" t="s">
        <v>14514</v>
      </c>
      <c r="B429" s="61">
        <f>+F421</f>
        <v>3292</v>
      </c>
      <c r="C429" s="61">
        <v>0</v>
      </c>
      <c r="D429" s="61">
        <v>0</v>
      </c>
      <c r="E429" s="61">
        <v>0</v>
      </c>
      <c r="F429" s="61">
        <v>0</v>
      </c>
      <c r="G429" s="62">
        <v>0</v>
      </c>
      <c r="H429" s="194">
        <f>+G430*0.2</f>
        <v>4549.4000000000005</v>
      </c>
      <c r="I429" s="62">
        <v>0</v>
      </c>
      <c r="J429" s="195">
        <f t="shared" ref="J429" si="73">SUM(G429:I429)</f>
        <v>4549.4000000000005</v>
      </c>
    </row>
    <row r="430" spans="1:10" x14ac:dyDescent="0.3">
      <c r="A430" t="s">
        <v>13326</v>
      </c>
      <c r="B430" s="3">
        <v>0</v>
      </c>
      <c r="C430" s="3">
        <v>0</v>
      </c>
      <c r="D430" s="3">
        <v>0</v>
      </c>
      <c r="E430" s="3">
        <v>0</v>
      </c>
      <c r="F430" s="3">
        <v>0</v>
      </c>
      <c r="G430" s="69">
        <v>22747</v>
      </c>
      <c r="H430" s="68">
        <v>0</v>
      </c>
      <c r="I430" s="47">
        <v>0</v>
      </c>
      <c r="J430" s="54">
        <f t="shared" si="71"/>
        <v>22747</v>
      </c>
    </row>
    <row r="431" spans="1:10" s="60" customFormat="1" x14ac:dyDescent="0.3">
      <c r="A431" s="60" t="s">
        <v>14515</v>
      </c>
      <c r="B431" s="61">
        <f>+F421</f>
        <v>3292</v>
      </c>
      <c r="C431" s="61">
        <v>0</v>
      </c>
      <c r="D431" s="61">
        <v>0</v>
      </c>
      <c r="E431" s="61">
        <v>0</v>
      </c>
      <c r="F431" s="61">
        <v>0</v>
      </c>
      <c r="G431" s="62">
        <v>0</v>
      </c>
      <c r="H431" s="61">
        <v>0</v>
      </c>
      <c r="I431" s="194">
        <f>+B431*2</f>
        <v>6584</v>
      </c>
      <c r="J431" s="195">
        <f>+I431</f>
        <v>6584</v>
      </c>
    </row>
    <row r="432" spans="1:10" x14ac:dyDescent="0.3">
      <c r="A432" t="s">
        <v>3042</v>
      </c>
      <c r="B432" s="3">
        <v>0</v>
      </c>
      <c r="C432" s="3">
        <v>0</v>
      </c>
      <c r="D432" s="3">
        <v>0</v>
      </c>
      <c r="E432" s="3">
        <v>0</v>
      </c>
      <c r="F432" s="3">
        <v>0</v>
      </c>
      <c r="G432" s="68">
        <v>0</v>
      </c>
      <c r="H432" s="68">
        <f>+G430*0.07</f>
        <v>1592.2900000000002</v>
      </c>
      <c r="I432" s="47">
        <v>0</v>
      </c>
      <c r="J432" s="54">
        <f t="shared" si="71"/>
        <v>1592.2900000000002</v>
      </c>
    </row>
    <row r="433" spans="1:10" x14ac:dyDescent="0.3">
      <c r="A433" t="s">
        <v>13327</v>
      </c>
      <c r="B433" s="3">
        <v>0</v>
      </c>
      <c r="C433" s="3">
        <v>0</v>
      </c>
      <c r="D433" s="3">
        <v>0</v>
      </c>
      <c r="E433" s="3">
        <v>0</v>
      </c>
      <c r="F433" s="3">
        <v>0</v>
      </c>
      <c r="G433" s="68">
        <v>0</v>
      </c>
      <c r="H433" s="68">
        <f>+H432</f>
        <v>1592.2900000000002</v>
      </c>
      <c r="I433" s="47">
        <v>0</v>
      </c>
      <c r="J433" s="54">
        <f t="shared" si="71"/>
        <v>1592.2900000000002</v>
      </c>
    </row>
    <row r="434" spans="1:10" x14ac:dyDescent="0.3">
      <c r="A434" t="s">
        <v>13278</v>
      </c>
      <c r="B434" s="3">
        <f>+F421</f>
        <v>3292</v>
      </c>
      <c r="C434" s="3">
        <v>0</v>
      </c>
      <c r="D434" s="3">
        <v>0</v>
      </c>
      <c r="E434" s="3">
        <v>0</v>
      </c>
      <c r="F434" s="47">
        <f>+F428</f>
        <v>8.0839999999999996</v>
      </c>
      <c r="G434" s="3">
        <v>0</v>
      </c>
      <c r="H434" s="3">
        <v>0</v>
      </c>
      <c r="I434" s="49">
        <f>+B434/2*F434</f>
        <v>13306.263999999999</v>
      </c>
      <c r="J434" s="54">
        <f t="shared" si="71"/>
        <v>13306.263999999999</v>
      </c>
    </row>
    <row r="435" spans="1:10" x14ac:dyDescent="0.3">
      <c r="A435" t="s">
        <v>13279</v>
      </c>
      <c r="B435" s="3">
        <f>+F421</f>
        <v>3292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49">
        <f>+B435*2</f>
        <v>6584</v>
      </c>
      <c r="J435" s="54">
        <f t="shared" si="71"/>
        <v>6584</v>
      </c>
    </row>
    <row r="436" spans="1:10" x14ac:dyDescent="0.3">
      <c r="A436" t="s">
        <v>13282</v>
      </c>
      <c r="B436" s="47">
        <f>+F421</f>
        <v>3292</v>
      </c>
      <c r="C436" s="3">
        <v>12</v>
      </c>
      <c r="D436" s="3">
        <v>0</v>
      </c>
      <c r="E436" s="3">
        <v>0</v>
      </c>
      <c r="F436" s="3">
        <v>0</v>
      </c>
      <c r="G436" s="49">
        <f>+B436*C436</f>
        <v>39504</v>
      </c>
      <c r="H436" s="3">
        <v>0</v>
      </c>
      <c r="I436" s="47">
        <v>0</v>
      </c>
      <c r="J436" s="54">
        <f t="shared" si="71"/>
        <v>39504</v>
      </c>
    </row>
    <row r="437" spans="1:10" x14ac:dyDescent="0.3">
      <c r="A437" s="51"/>
      <c r="B437" s="52" t="s">
        <v>13328</v>
      </c>
      <c r="C437" s="52" t="s">
        <v>13272</v>
      </c>
      <c r="D437" s="52" t="s">
        <v>13273</v>
      </c>
      <c r="E437" s="52" t="s">
        <v>13274</v>
      </c>
      <c r="F437" s="52" t="s">
        <v>13275</v>
      </c>
      <c r="G437" s="52" t="s">
        <v>13276</v>
      </c>
      <c r="H437" s="52" t="s">
        <v>13277</v>
      </c>
      <c r="I437" s="52" t="s">
        <v>13329</v>
      </c>
      <c r="J437" s="56">
        <v>0</v>
      </c>
    </row>
    <row r="438" spans="1:10" x14ac:dyDescent="0.3">
      <c r="A438" t="s">
        <v>13330</v>
      </c>
      <c r="B438" s="3">
        <f>+F421</f>
        <v>3292</v>
      </c>
      <c r="C438" s="3">
        <v>0</v>
      </c>
      <c r="D438" s="3">
        <v>1.2</v>
      </c>
      <c r="E438" s="3">
        <v>0.7</v>
      </c>
      <c r="F438" s="3">
        <v>0</v>
      </c>
      <c r="G438" s="3">
        <v>0</v>
      </c>
      <c r="H438" s="50">
        <f>+B438*D438*E438</f>
        <v>2765.2799999999997</v>
      </c>
      <c r="I438" s="3">
        <v>0</v>
      </c>
      <c r="J438" s="54">
        <f t="shared" ref="J438:J444" si="74">SUM(G438:I438)</f>
        <v>2765.2799999999997</v>
      </c>
    </row>
    <row r="439" spans="1:10" x14ac:dyDescent="0.3">
      <c r="A439" t="s">
        <v>13310</v>
      </c>
      <c r="B439" s="3">
        <f>+F421</f>
        <v>3292</v>
      </c>
      <c r="C439" s="3"/>
      <c r="D439" s="3">
        <v>0.6</v>
      </c>
      <c r="E439" s="3">
        <v>0.6</v>
      </c>
      <c r="F439" s="3"/>
      <c r="G439" s="3"/>
      <c r="H439" s="50">
        <f>+H438-(B439*D439*E439)</f>
        <v>1580.1599999999999</v>
      </c>
      <c r="I439" s="3"/>
      <c r="J439" s="54">
        <f t="shared" si="74"/>
        <v>1580.1599999999999</v>
      </c>
    </row>
    <row r="440" spans="1:10" x14ac:dyDescent="0.3">
      <c r="A440" t="s">
        <v>13324</v>
      </c>
      <c r="B440" s="3">
        <v>0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50">
        <f>(H438-H439)*1.4*5</f>
        <v>8295.8399999999983</v>
      </c>
      <c r="I440" s="3"/>
      <c r="J440" s="54">
        <f t="shared" si="74"/>
        <v>8295.8399999999983</v>
      </c>
    </row>
    <row r="441" spans="1:10" x14ac:dyDescent="0.3">
      <c r="A441" t="s">
        <v>13311</v>
      </c>
      <c r="B441" s="3">
        <f>+F421</f>
        <v>3292</v>
      </c>
      <c r="C441" s="3">
        <v>0</v>
      </c>
      <c r="D441" s="3">
        <v>0.6</v>
      </c>
      <c r="E441" s="3">
        <v>0.6</v>
      </c>
      <c r="F441" s="3">
        <v>0</v>
      </c>
      <c r="G441" s="50">
        <f>B441*D441*4</f>
        <v>7900.7999999999993</v>
      </c>
      <c r="H441" s="3">
        <v>0</v>
      </c>
      <c r="I441" s="3">
        <v>0</v>
      </c>
      <c r="J441" s="54">
        <f t="shared" si="74"/>
        <v>7900.7999999999993</v>
      </c>
    </row>
    <row r="442" spans="1:10" x14ac:dyDescent="0.3">
      <c r="A442" t="s">
        <v>13312</v>
      </c>
      <c r="B442" s="3">
        <f>+F421</f>
        <v>3292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50">
        <f>+B442</f>
        <v>3292</v>
      </c>
      <c r="J442" s="54">
        <f t="shared" si="74"/>
        <v>3292</v>
      </c>
    </row>
    <row r="443" spans="1:10" x14ac:dyDescent="0.3">
      <c r="A443" t="s">
        <v>13313</v>
      </c>
      <c r="B443" s="3">
        <f>+F421</f>
        <v>3292</v>
      </c>
      <c r="C443" s="3">
        <v>0</v>
      </c>
      <c r="D443" s="3">
        <v>0.6</v>
      </c>
      <c r="E443" s="3">
        <v>0.6</v>
      </c>
      <c r="F443" s="3">
        <v>0</v>
      </c>
      <c r="G443" s="3">
        <v>0</v>
      </c>
      <c r="H443" s="50">
        <f>B443*D443*E443-(B443*3.14*0.4*0.4/4)</f>
        <v>771.6447999999998</v>
      </c>
      <c r="I443" s="3">
        <v>0</v>
      </c>
      <c r="J443" s="54">
        <f t="shared" si="74"/>
        <v>771.6447999999998</v>
      </c>
    </row>
    <row r="444" spans="1:10" x14ac:dyDescent="0.3">
      <c r="A444" t="s">
        <v>13320</v>
      </c>
      <c r="B444" s="3">
        <f>+F421</f>
        <v>3292</v>
      </c>
      <c r="C444" s="3">
        <v>1.2</v>
      </c>
      <c r="D444" s="3">
        <v>0</v>
      </c>
      <c r="E444" s="3">
        <v>0.1</v>
      </c>
      <c r="F444" s="3">
        <v>0</v>
      </c>
      <c r="G444" s="3">
        <v>0</v>
      </c>
      <c r="H444" s="50">
        <f>+B444*C444*E444</f>
        <v>395.03999999999996</v>
      </c>
      <c r="I444" s="3"/>
      <c r="J444" s="54">
        <f t="shared" si="74"/>
        <v>395.03999999999996</v>
      </c>
    </row>
    <row r="445" spans="1:10" x14ac:dyDescent="0.3">
      <c r="A445" s="51"/>
      <c r="B445" s="52" t="s">
        <v>13328</v>
      </c>
      <c r="C445" s="52" t="s">
        <v>13272</v>
      </c>
      <c r="D445" s="52" t="s">
        <v>13273</v>
      </c>
      <c r="E445" s="52" t="s">
        <v>13274</v>
      </c>
      <c r="F445" s="52" t="s">
        <v>13275</v>
      </c>
      <c r="G445" s="52" t="s">
        <v>13276</v>
      </c>
      <c r="H445" s="52" t="s">
        <v>13277</v>
      </c>
      <c r="I445" s="52" t="s">
        <v>13329</v>
      </c>
      <c r="J445" s="56">
        <v>0</v>
      </c>
    </row>
    <row r="446" spans="1:10" x14ac:dyDescent="0.3">
      <c r="A446" t="s">
        <v>13331</v>
      </c>
      <c r="B446" s="3">
        <f>+F421</f>
        <v>3292</v>
      </c>
      <c r="C446" s="3">
        <v>0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f>+B446*2</f>
        <v>6584</v>
      </c>
      <c r="J446" s="54">
        <f t="shared" ref="J446:J449" si="75">SUM(G446:I446)</f>
        <v>6584</v>
      </c>
    </row>
    <row r="447" spans="1:10" x14ac:dyDescent="0.3">
      <c r="A447" t="s">
        <v>13332</v>
      </c>
      <c r="B447" s="3">
        <f>+F421</f>
        <v>3292</v>
      </c>
      <c r="C447" s="3"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>
        <f>+B447*2</f>
        <v>6584</v>
      </c>
      <c r="J447" s="54">
        <f t="shared" si="75"/>
        <v>6584</v>
      </c>
    </row>
    <row r="448" spans="1:10" x14ac:dyDescent="0.3">
      <c r="A448" t="s">
        <v>13333</v>
      </c>
      <c r="B448" s="3">
        <v>0</v>
      </c>
      <c r="C448" s="3">
        <v>0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21</v>
      </c>
      <c r="J448" s="54">
        <f t="shared" si="75"/>
        <v>21</v>
      </c>
    </row>
    <row r="449" spans="1:10" x14ac:dyDescent="0.3">
      <c r="A449" t="s">
        <v>13334</v>
      </c>
      <c r="B449" s="3">
        <v>0</v>
      </c>
      <c r="C449" s="3"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2</v>
      </c>
      <c r="J449" s="54">
        <f t="shared" si="75"/>
        <v>2</v>
      </c>
    </row>
    <row r="450" spans="1:10" x14ac:dyDescent="0.3">
      <c r="A450" s="51"/>
      <c r="B450" s="52" t="s">
        <v>13328</v>
      </c>
      <c r="C450" s="52" t="s">
        <v>13272</v>
      </c>
      <c r="D450" s="52" t="s">
        <v>13273</v>
      </c>
      <c r="E450" s="52" t="s">
        <v>13274</v>
      </c>
      <c r="F450" s="52" t="s">
        <v>13275</v>
      </c>
      <c r="G450" s="52" t="s">
        <v>13276</v>
      </c>
      <c r="H450" s="52" t="s">
        <v>13277</v>
      </c>
      <c r="I450" s="52" t="s">
        <v>13329</v>
      </c>
      <c r="J450" s="56">
        <v>0</v>
      </c>
    </row>
    <row r="451" spans="1:10" x14ac:dyDescent="0.3">
      <c r="A451" t="s">
        <v>13330</v>
      </c>
      <c r="B451" s="3">
        <f>+F421</f>
        <v>3292</v>
      </c>
      <c r="C451" s="3">
        <v>0</v>
      </c>
      <c r="D451" s="3">
        <v>3.5</v>
      </c>
      <c r="E451" s="3">
        <v>0.15</v>
      </c>
      <c r="F451" s="3">
        <v>0</v>
      </c>
      <c r="G451" s="3">
        <v>0</v>
      </c>
      <c r="H451" s="3">
        <f>+B451*D451*E451*2</f>
        <v>3456.6</v>
      </c>
      <c r="I451" s="3">
        <v>0</v>
      </c>
      <c r="J451" s="54">
        <f t="shared" ref="J451:J455" si="76">SUM(G451:I451)</f>
        <v>3456.6</v>
      </c>
    </row>
    <row r="452" spans="1:10" x14ac:dyDescent="0.3">
      <c r="A452" t="s">
        <v>13271</v>
      </c>
      <c r="B452" s="3">
        <f>+F421</f>
        <v>3292</v>
      </c>
      <c r="C452" s="3">
        <v>0</v>
      </c>
      <c r="D452" s="3">
        <v>3.5</v>
      </c>
      <c r="E452" s="3">
        <v>0.1</v>
      </c>
      <c r="F452" s="3">
        <v>0</v>
      </c>
      <c r="G452" s="3">
        <v>0</v>
      </c>
      <c r="H452" s="3">
        <f>+B452*D452*E452*2</f>
        <v>2304.4</v>
      </c>
      <c r="I452" s="3">
        <v>0</v>
      </c>
      <c r="J452" s="54">
        <f t="shared" si="76"/>
        <v>2304.4</v>
      </c>
    </row>
    <row r="453" spans="1:10" x14ac:dyDescent="0.3">
      <c r="A453" t="s">
        <v>13324</v>
      </c>
      <c r="B453" s="3">
        <v>0</v>
      </c>
      <c r="C453" s="3">
        <v>0</v>
      </c>
      <c r="D453" s="3">
        <v>0</v>
      </c>
      <c r="E453" s="3">
        <v>0</v>
      </c>
      <c r="F453" s="3">
        <v>0</v>
      </c>
      <c r="G453" s="3">
        <v>0</v>
      </c>
      <c r="H453" s="3">
        <f>+H451-H452</f>
        <v>1152.1999999999998</v>
      </c>
      <c r="I453" s="3">
        <v>0</v>
      </c>
      <c r="J453" s="54">
        <f t="shared" si="76"/>
        <v>1152.1999999999998</v>
      </c>
    </row>
    <row r="454" spans="1:10" x14ac:dyDescent="0.3">
      <c r="A454" t="s">
        <v>13335</v>
      </c>
      <c r="B454" s="3">
        <f>+F421</f>
        <v>3292</v>
      </c>
      <c r="C454" s="3">
        <v>0</v>
      </c>
      <c r="D454" s="3">
        <v>3.5</v>
      </c>
      <c r="E454" s="3">
        <v>0</v>
      </c>
      <c r="F454" s="3">
        <v>0</v>
      </c>
      <c r="G454" s="3">
        <f>+B454*D454*2</f>
        <v>23044</v>
      </c>
      <c r="H454" s="3">
        <v>0</v>
      </c>
      <c r="I454" s="3">
        <v>0</v>
      </c>
      <c r="J454" s="54">
        <f t="shared" si="76"/>
        <v>23044</v>
      </c>
    </row>
    <row r="455" spans="1:10" x14ac:dyDescent="0.3">
      <c r="A455" t="s">
        <v>13336</v>
      </c>
      <c r="B455" s="3">
        <f>+F421</f>
        <v>3292</v>
      </c>
      <c r="C455" s="3">
        <v>0</v>
      </c>
      <c r="D455" s="3">
        <v>3.5</v>
      </c>
      <c r="E455" s="3">
        <v>0.15</v>
      </c>
      <c r="F455" s="3">
        <v>0</v>
      </c>
      <c r="G455" s="3"/>
      <c r="H455" s="3">
        <f>+B455*D455*E455</f>
        <v>1728.3</v>
      </c>
      <c r="I455" s="3">
        <v>0</v>
      </c>
      <c r="J455" s="54">
        <f t="shared" si="76"/>
        <v>1728.3</v>
      </c>
    </row>
    <row r="456" spans="1:10" x14ac:dyDescent="0.3">
      <c r="A456" s="51"/>
      <c r="B456" s="52" t="s">
        <v>13328</v>
      </c>
      <c r="C456" s="52" t="s">
        <v>13272</v>
      </c>
      <c r="D456" s="52" t="s">
        <v>13273</v>
      </c>
      <c r="E456" s="52" t="s">
        <v>13274</v>
      </c>
      <c r="F456" s="52" t="s">
        <v>13275</v>
      </c>
      <c r="G456" s="52" t="s">
        <v>13276</v>
      </c>
      <c r="H456" s="52" t="s">
        <v>13277</v>
      </c>
      <c r="I456" s="52" t="s">
        <v>13329</v>
      </c>
      <c r="J456" s="56">
        <v>0</v>
      </c>
    </row>
    <row r="457" spans="1:10" x14ac:dyDescent="0.3">
      <c r="A457" s="3" t="s">
        <v>13337</v>
      </c>
      <c r="B457" s="3">
        <f>+F421</f>
        <v>3292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f>+B457*2</f>
        <v>6584</v>
      </c>
      <c r="J457" s="55">
        <f t="shared" ref="J457" si="77">SUM(G457:I457)</f>
        <v>6584</v>
      </c>
    </row>
    <row r="459" spans="1:10" x14ac:dyDescent="0.3">
      <c r="A459" t="s">
        <v>21</v>
      </c>
      <c r="B459" t="str">
        <f>+'Ficha Canais'!A17</f>
        <v>Canal: CS21a - Trecho 3.1</v>
      </c>
      <c r="E459" t="s">
        <v>13269</v>
      </c>
      <c r="F459" s="3">
        <v>0</v>
      </c>
      <c r="G459" t="s">
        <v>13270</v>
      </c>
      <c r="H459" t="s">
        <v>14586</v>
      </c>
      <c r="I459" s="3">
        <f>+I421</f>
        <v>5</v>
      </c>
    </row>
    <row r="460" spans="1:10" x14ac:dyDescent="0.3">
      <c r="A460" s="51"/>
      <c r="B460" s="52" t="s">
        <v>13328</v>
      </c>
      <c r="C460" s="52" t="s">
        <v>13272</v>
      </c>
      <c r="D460" s="52" t="s">
        <v>13273</v>
      </c>
      <c r="E460" s="52" t="s">
        <v>13274</v>
      </c>
      <c r="F460" s="52" t="s">
        <v>13275</v>
      </c>
      <c r="G460" s="52" t="s">
        <v>13276</v>
      </c>
      <c r="H460" s="52" t="s">
        <v>13277</v>
      </c>
      <c r="I460" s="52" t="s">
        <v>13329</v>
      </c>
      <c r="J460" s="53" t="s">
        <v>13309</v>
      </c>
    </row>
    <row r="461" spans="1:10" x14ac:dyDescent="0.3">
      <c r="A461" t="s">
        <v>13322</v>
      </c>
      <c r="B461" s="3">
        <f>+F459</f>
        <v>0</v>
      </c>
      <c r="C461" s="3">
        <v>0</v>
      </c>
      <c r="D461" s="3">
        <v>0</v>
      </c>
      <c r="E461" s="3">
        <v>0</v>
      </c>
      <c r="F461" s="3">
        <v>0</v>
      </c>
      <c r="G461" s="49">
        <f>+B461*C461</f>
        <v>0</v>
      </c>
      <c r="H461" s="47">
        <v>0</v>
      </c>
      <c r="I461" s="47">
        <v>0</v>
      </c>
      <c r="J461" s="54">
        <f>SUM(G461:I461)</f>
        <v>0</v>
      </c>
    </row>
    <row r="462" spans="1:10" x14ac:dyDescent="0.3">
      <c r="A462" t="s">
        <v>13323</v>
      </c>
      <c r="B462" s="3">
        <v>0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68">
        <v>0</v>
      </c>
      <c r="I462" s="47">
        <v>0</v>
      </c>
      <c r="J462" s="54">
        <f t="shared" ref="J462:J474" si="78">SUM(G462:I462)</f>
        <v>0</v>
      </c>
    </row>
    <row r="463" spans="1:10" x14ac:dyDescent="0.3">
      <c r="A463" t="s">
        <v>13271</v>
      </c>
      <c r="B463" s="3">
        <v>0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  <c r="H463" s="68">
        <v>0</v>
      </c>
      <c r="I463" s="47">
        <v>0</v>
      </c>
      <c r="J463" s="54">
        <f t="shared" si="78"/>
        <v>0</v>
      </c>
    </row>
    <row r="464" spans="1:10" x14ac:dyDescent="0.3">
      <c r="A464" t="s">
        <v>13324</v>
      </c>
      <c r="B464" s="3">
        <v>0</v>
      </c>
      <c r="C464" s="3">
        <v>0</v>
      </c>
      <c r="D464" s="3">
        <v>0</v>
      </c>
      <c r="E464" s="3">
        <v>0</v>
      </c>
      <c r="F464" s="3">
        <v>0</v>
      </c>
      <c r="G464" s="3">
        <v>0</v>
      </c>
      <c r="H464" s="68">
        <f>-(H463-H462)*1.4*I459</f>
        <v>0</v>
      </c>
      <c r="I464" s="47">
        <v>0</v>
      </c>
      <c r="J464" s="54">
        <f t="shared" si="78"/>
        <v>0</v>
      </c>
    </row>
    <row r="465" spans="1:10" s="60" customFormat="1" x14ac:dyDescent="0.3">
      <c r="A465" s="60" t="s">
        <v>13335</v>
      </c>
      <c r="B465" s="61">
        <f>+F459</f>
        <v>0</v>
      </c>
      <c r="C465" s="61">
        <v>0</v>
      </c>
      <c r="D465" s="61">
        <v>0</v>
      </c>
      <c r="E465" s="61">
        <v>0</v>
      </c>
      <c r="F465" s="61">
        <v>0</v>
      </c>
      <c r="G465" s="194">
        <f>+B465*D465</f>
        <v>0</v>
      </c>
      <c r="H465" s="62">
        <v>0</v>
      </c>
      <c r="I465" s="62"/>
      <c r="J465" s="195">
        <f t="shared" ref="J465" si="79">SUM(G465:I465)</f>
        <v>0</v>
      </c>
    </row>
    <row r="466" spans="1:10" x14ac:dyDescent="0.3">
      <c r="A466" t="s">
        <v>13325</v>
      </c>
      <c r="B466" s="3">
        <f>+F459</f>
        <v>0</v>
      </c>
      <c r="C466" s="3">
        <v>0</v>
      </c>
      <c r="D466" s="3">
        <v>0</v>
      </c>
      <c r="E466" s="3">
        <v>0</v>
      </c>
      <c r="F466" s="3">
        <v>0</v>
      </c>
      <c r="G466" s="69">
        <v>0</v>
      </c>
      <c r="H466" s="68">
        <v>0</v>
      </c>
      <c r="I466" s="47">
        <v>0</v>
      </c>
      <c r="J466" s="54">
        <f t="shared" si="78"/>
        <v>0</v>
      </c>
    </row>
    <row r="467" spans="1:10" s="60" customFormat="1" x14ac:dyDescent="0.3">
      <c r="A467" s="60" t="s">
        <v>14514</v>
      </c>
      <c r="B467" s="61">
        <f>+F459</f>
        <v>0</v>
      </c>
      <c r="C467" s="61">
        <v>0</v>
      </c>
      <c r="D467" s="61">
        <v>0</v>
      </c>
      <c r="E467" s="61">
        <v>0</v>
      </c>
      <c r="F467" s="61">
        <v>0</v>
      </c>
      <c r="G467" s="62">
        <v>0</v>
      </c>
      <c r="H467" s="194">
        <f>+G468*0.2</f>
        <v>0</v>
      </c>
      <c r="I467" s="62">
        <v>0</v>
      </c>
      <c r="J467" s="195">
        <f t="shared" ref="J467" si="80">SUM(G467:I467)</f>
        <v>0</v>
      </c>
    </row>
    <row r="468" spans="1:10" x14ac:dyDescent="0.3">
      <c r="A468" t="s">
        <v>13326</v>
      </c>
      <c r="B468" s="3">
        <v>0</v>
      </c>
      <c r="C468" s="3">
        <v>0</v>
      </c>
      <c r="D468" s="3">
        <v>0</v>
      </c>
      <c r="E468" s="3">
        <v>0</v>
      </c>
      <c r="F468" s="3">
        <v>0</v>
      </c>
      <c r="G468" s="69">
        <v>0</v>
      </c>
      <c r="H468" s="68">
        <v>0</v>
      </c>
      <c r="I468" s="47">
        <v>0</v>
      </c>
      <c r="J468" s="54">
        <f t="shared" si="78"/>
        <v>0</v>
      </c>
    </row>
    <row r="469" spans="1:10" s="60" customFormat="1" x14ac:dyDescent="0.3">
      <c r="A469" s="60" t="s">
        <v>14515</v>
      </c>
      <c r="B469" s="61">
        <f>+F459</f>
        <v>0</v>
      </c>
      <c r="C469" s="61">
        <v>0</v>
      </c>
      <c r="D469" s="61">
        <v>0</v>
      </c>
      <c r="E469" s="61">
        <v>0</v>
      </c>
      <c r="F469" s="61">
        <v>0</v>
      </c>
      <c r="G469" s="62">
        <v>0</v>
      </c>
      <c r="H469" s="61">
        <v>0</v>
      </c>
      <c r="I469" s="194">
        <f>+B469*2</f>
        <v>0</v>
      </c>
      <c r="J469" s="195">
        <f>+I469</f>
        <v>0</v>
      </c>
    </row>
    <row r="470" spans="1:10" x14ac:dyDescent="0.3">
      <c r="A470" t="s">
        <v>3042</v>
      </c>
      <c r="B470" s="3">
        <v>0</v>
      </c>
      <c r="C470" s="3">
        <v>0</v>
      </c>
      <c r="D470" s="3">
        <v>0</v>
      </c>
      <c r="E470" s="3">
        <v>0</v>
      </c>
      <c r="F470" s="3">
        <v>0</v>
      </c>
      <c r="G470" s="68">
        <v>0</v>
      </c>
      <c r="H470" s="68">
        <f>+G468*0.07</f>
        <v>0</v>
      </c>
      <c r="I470" s="47">
        <v>0</v>
      </c>
      <c r="J470" s="54">
        <f t="shared" si="78"/>
        <v>0</v>
      </c>
    </row>
    <row r="471" spans="1:10" x14ac:dyDescent="0.3">
      <c r="A471" t="s">
        <v>13327</v>
      </c>
      <c r="B471" s="3">
        <v>0</v>
      </c>
      <c r="C471" s="3">
        <v>0</v>
      </c>
      <c r="D471" s="3">
        <v>0</v>
      </c>
      <c r="E471" s="3">
        <v>0</v>
      </c>
      <c r="F471" s="3">
        <v>0</v>
      </c>
      <c r="G471" s="68">
        <v>0</v>
      </c>
      <c r="H471" s="68">
        <f>+H470</f>
        <v>0</v>
      </c>
      <c r="I471" s="47">
        <v>0</v>
      </c>
      <c r="J471" s="54">
        <f t="shared" si="78"/>
        <v>0</v>
      </c>
    </row>
    <row r="472" spans="1:10" x14ac:dyDescent="0.3">
      <c r="A472" t="s">
        <v>13278</v>
      </c>
      <c r="B472" s="3">
        <f>+F459</f>
        <v>0</v>
      </c>
      <c r="C472" s="3">
        <v>0</v>
      </c>
      <c r="D472" s="3">
        <v>0</v>
      </c>
      <c r="E472" s="3">
        <v>0</v>
      </c>
      <c r="F472" s="47">
        <f>+F466</f>
        <v>0</v>
      </c>
      <c r="G472" s="3">
        <v>0</v>
      </c>
      <c r="H472" s="3">
        <v>0</v>
      </c>
      <c r="I472" s="49">
        <f>+B472/2*F472</f>
        <v>0</v>
      </c>
      <c r="J472" s="54">
        <f t="shared" si="78"/>
        <v>0</v>
      </c>
    </row>
    <row r="473" spans="1:10" x14ac:dyDescent="0.3">
      <c r="A473" t="s">
        <v>13279</v>
      </c>
      <c r="B473" s="3">
        <f>+F459</f>
        <v>0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49">
        <f>+B473*2</f>
        <v>0</v>
      </c>
      <c r="J473" s="54">
        <f t="shared" si="78"/>
        <v>0</v>
      </c>
    </row>
    <row r="474" spans="1:10" x14ac:dyDescent="0.3">
      <c r="A474" t="s">
        <v>13282</v>
      </c>
      <c r="B474" s="47">
        <f>+F459</f>
        <v>0</v>
      </c>
      <c r="C474" s="3">
        <v>0</v>
      </c>
      <c r="D474" s="3">
        <v>0</v>
      </c>
      <c r="E474" s="3">
        <v>0</v>
      </c>
      <c r="F474" s="3">
        <v>0</v>
      </c>
      <c r="G474" s="49">
        <f>+B474*C474</f>
        <v>0</v>
      </c>
      <c r="H474" s="3">
        <v>0</v>
      </c>
      <c r="I474" s="47">
        <v>0</v>
      </c>
      <c r="J474" s="54">
        <f t="shared" si="78"/>
        <v>0</v>
      </c>
    </row>
    <row r="475" spans="1:10" x14ac:dyDescent="0.3">
      <c r="A475" s="51"/>
      <c r="B475" s="52" t="s">
        <v>13328</v>
      </c>
      <c r="C475" s="52" t="s">
        <v>13272</v>
      </c>
      <c r="D475" s="52" t="s">
        <v>13273</v>
      </c>
      <c r="E475" s="52" t="s">
        <v>13274</v>
      </c>
      <c r="F475" s="52" t="s">
        <v>13275</v>
      </c>
      <c r="G475" s="52" t="s">
        <v>13276</v>
      </c>
      <c r="H475" s="52" t="s">
        <v>13277</v>
      </c>
      <c r="I475" s="52" t="s">
        <v>13329</v>
      </c>
      <c r="J475" s="56">
        <v>0</v>
      </c>
    </row>
    <row r="476" spans="1:10" x14ac:dyDescent="0.3">
      <c r="A476" t="s">
        <v>13330</v>
      </c>
      <c r="B476" s="3">
        <f>+F459</f>
        <v>0</v>
      </c>
      <c r="C476" s="3">
        <v>0</v>
      </c>
      <c r="D476" s="3">
        <v>0</v>
      </c>
      <c r="E476" s="3">
        <v>0</v>
      </c>
      <c r="F476" s="3">
        <v>0</v>
      </c>
      <c r="G476" s="3">
        <v>0</v>
      </c>
      <c r="H476" s="50">
        <f>+B476*D476*E476</f>
        <v>0</v>
      </c>
      <c r="I476" s="3">
        <v>0</v>
      </c>
      <c r="J476" s="54">
        <f t="shared" ref="J476:J482" si="81">SUM(G476:I476)</f>
        <v>0</v>
      </c>
    </row>
    <row r="477" spans="1:10" x14ac:dyDescent="0.3">
      <c r="A477" t="s">
        <v>13310</v>
      </c>
      <c r="B477" s="3">
        <f>+F459</f>
        <v>0</v>
      </c>
      <c r="C477" s="3"/>
      <c r="D477" s="3">
        <v>0</v>
      </c>
      <c r="E477" s="3">
        <v>0</v>
      </c>
      <c r="F477" s="3"/>
      <c r="G477" s="3"/>
      <c r="H477" s="50">
        <f>+H476-(B477*D477*E477)</f>
        <v>0</v>
      </c>
      <c r="I477" s="3"/>
      <c r="J477" s="54">
        <f t="shared" si="81"/>
        <v>0</v>
      </c>
    </row>
    <row r="478" spans="1:10" x14ac:dyDescent="0.3">
      <c r="A478" t="s">
        <v>13324</v>
      </c>
      <c r="B478" s="3">
        <v>0</v>
      </c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50">
        <f>(H476-H477)*1.4*5</f>
        <v>0</v>
      </c>
      <c r="I478" s="3"/>
      <c r="J478" s="54">
        <f t="shared" si="81"/>
        <v>0</v>
      </c>
    </row>
    <row r="479" spans="1:10" x14ac:dyDescent="0.3">
      <c r="A479" t="s">
        <v>13311</v>
      </c>
      <c r="B479" s="3">
        <f>+F459</f>
        <v>0</v>
      </c>
      <c r="C479" s="3">
        <v>0</v>
      </c>
      <c r="D479" s="3">
        <v>0</v>
      </c>
      <c r="E479" s="3">
        <v>0</v>
      </c>
      <c r="F479" s="3">
        <v>0</v>
      </c>
      <c r="G479" s="50">
        <f>B479*D479*4</f>
        <v>0</v>
      </c>
      <c r="H479" s="3">
        <v>0</v>
      </c>
      <c r="I479" s="3">
        <v>0</v>
      </c>
      <c r="J479" s="54">
        <f t="shared" si="81"/>
        <v>0</v>
      </c>
    </row>
    <row r="480" spans="1:10" x14ac:dyDescent="0.3">
      <c r="A480" t="s">
        <v>13312</v>
      </c>
      <c r="B480" s="3">
        <f>+F459</f>
        <v>0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50">
        <f>+B480</f>
        <v>0</v>
      </c>
      <c r="J480" s="54">
        <f t="shared" si="81"/>
        <v>0</v>
      </c>
    </row>
    <row r="481" spans="1:10" x14ac:dyDescent="0.3">
      <c r="A481" t="s">
        <v>13313</v>
      </c>
      <c r="B481" s="3">
        <f>+F459</f>
        <v>0</v>
      </c>
      <c r="C481" s="3">
        <v>0</v>
      </c>
      <c r="D481" s="3">
        <v>0</v>
      </c>
      <c r="E481" s="3">
        <v>0</v>
      </c>
      <c r="F481" s="3">
        <v>0</v>
      </c>
      <c r="G481" s="3">
        <v>0</v>
      </c>
      <c r="H481" s="50">
        <f>B481*D481*E481-(B481*3.14*0.4*0.4/4)</f>
        <v>0</v>
      </c>
      <c r="I481" s="3">
        <v>0</v>
      </c>
      <c r="J481" s="54">
        <f t="shared" si="81"/>
        <v>0</v>
      </c>
    </row>
    <row r="482" spans="1:10" x14ac:dyDescent="0.3">
      <c r="A482" t="s">
        <v>13320</v>
      </c>
      <c r="B482" s="3">
        <f>+F459</f>
        <v>0</v>
      </c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50">
        <f>+B482*C482*E482</f>
        <v>0</v>
      </c>
      <c r="I482" s="3"/>
      <c r="J482" s="54">
        <f t="shared" si="81"/>
        <v>0</v>
      </c>
    </row>
    <row r="483" spans="1:10" x14ac:dyDescent="0.3">
      <c r="A483" s="51"/>
      <c r="B483" s="52" t="s">
        <v>13328</v>
      </c>
      <c r="C483" s="52" t="s">
        <v>13272</v>
      </c>
      <c r="D483" s="52" t="s">
        <v>13273</v>
      </c>
      <c r="E483" s="52" t="s">
        <v>13274</v>
      </c>
      <c r="F483" s="52" t="s">
        <v>13275</v>
      </c>
      <c r="G483" s="52" t="s">
        <v>13276</v>
      </c>
      <c r="H483" s="52" t="s">
        <v>13277</v>
      </c>
      <c r="I483" s="52" t="s">
        <v>13329</v>
      </c>
      <c r="J483" s="56">
        <v>0</v>
      </c>
    </row>
    <row r="484" spans="1:10" x14ac:dyDescent="0.3">
      <c r="A484" t="s">
        <v>13331</v>
      </c>
      <c r="B484" s="3">
        <f>+F459</f>
        <v>0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f>+B484*2</f>
        <v>0</v>
      </c>
      <c r="J484" s="54">
        <f t="shared" ref="J484:J487" si="82">SUM(G484:I484)</f>
        <v>0</v>
      </c>
    </row>
    <row r="485" spans="1:10" x14ac:dyDescent="0.3">
      <c r="A485" t="s">
        <v>13332</v>
      </c>
      <c r="B485" s="3">
        <f>+F459</f>
        <v>0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f>+B485*2</f>
        <v>0</v>
      </c>
      <c r="J485" s="54">
        <f t="shared" si="82"/>
        <v>0</v>
      </c>
    </row>
    <row r="486" spans="1:10" x14ac:dyDescent="0.3">
      <c r="A486" t="s">
        <v>13333</v>
      </c>
      <c r="B486" s="3">
        <v>0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54">
        <f t="shared" si="82"/>
        <v>0</v>
      </c>
    </row>
    <row r="487" spans="1:10" x14ac:dyDescent="0.3">
      <c r="A487" t="s">
        <v>13334</v>
      </c>
      <c r="B487" s="3">
        <v>0</v>
      </c>
      <c r="C487" s="3"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54">
        <f t="shared" si="82"/>
        <v>0</v>
      </c>
    </row>
    <row r="488" spans="1:10" x14ac:dyDescent="0.3">
      <c r="A488" s="51"/>
      <c r="B488" s="52" t="s">
        <v>13328</v>
      </c>
      <c r="C488" s="52" t="s">
        <v>13272</v>
      </c>
      <c r="D488" s="52" t="s">
        <v>13273</v>
      </c>
      <c r="E488" s="52" t="s">
        <v>13274</v>
      </c>
      <c r="F488" s="52" t="s">
        <v>13275</v>
      </c>
      <c r="G488" s="52" t="s">
        <v>13276</v>
      </c>
      <c r="H488" s="52" t="s">
        <v>13277</v>
      </c>
      <c r="I488" s="52" t="s">
        <v>13329</v>
      </c>
      <c r="J488" s="56">
        <v>0</v>
      </c>
    </row>
    <row r="489" spans="1:10" x14ac:dyDescent="0.3">
      <c r="A489" t="s">
        <v>13330</v>
      </c>
      <c r="B489" s="3">
        <f>+F459</f>
        <v>0</v>
      </c>
      <c r="C489" s="3">
        <v>0</v>
      </c>
      <c r="D489" s="3">
        <v>0</v>
      </c>
      <c r="E489" s="3">
        <v>0</v>
      </c>
      <c r="F489" s="3">
        <v>0</v>
      </c>
      <c r="G489" s="3">
        <v>0</v>
      </c>
      <c r="H489" s="3">
        <f>+B489*D489*E489*2</f>
        <v>0</v>
      </c>
      <c r="I489" s="3">
        <v>0</v>
      </c>
      <c r="J489" s="54">
        <f t="shared" ref="J489:J493" si="83">SUM(G489:I489)</f>
        <v>0</v>
      </c>
    </row>
    <row r="490" spans="1:10" x14ac:dyDescent="0.3">
      <c r="A490" t="s">
        <v>13271</v>
      </c>
      <c r="B490" s="3">
        <f>+F459</f>
        <v>0</v>
      </c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3">
        <f>+B490*D490*E490*2</f>
        <v>0</v>
      </c>
      <c r="I490" s="3">
        <v>0</v>
      </c>
      <c r="J490" s="54">
        <f t="shared" si="83"/>
        <v>0</v>
      </c>
    </row>
    <row r="491" spans="1:10" x14ac:dyDescent="0.3">
      <c r="A491" t="s">
        <v>13324</v>
      </c>
      <c r="B491" s="3">
        <v>0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  <c r="H491" s="3">
        <f>+H489-H490</f>
        <v>0</v>
      </c>
      <c r="I491" s="3">
        <v>0</v>
      </c>
      <c r="J491" s="54">
        <f t="shared" si="83"/>
        <v>0</v>
      </c>
    </row>
    <row r="492" spans="1:10" x14ac:dyDescent="0.3">
      <c r="A492" t="s">
        <v>13335</v>
      </c>
      <c r="B492" s="3">
        <f>+F459</f>
        <v>0</v>
      </c>
      <c r="C492" s="3">
        <v>0</v>
      </c>
      <c r="D492" s="3">
        <v>0</v>
      </c>
      <c r="E492" s="3">
        <v>0</v>
      </c>
      <c r="F492" s="3">
        <v>0</v>
      </c>
      <c r="G492" s="3">
        <f>+B492*D492*2</f>
        <v>0</v>
      </c>
      <c r="H492" s="3">
        <v>0</v>
      </c>
      <c r="I492" s="3">
        <v>0</v>
      </c>
      <c r="J492" s="54">
        <f t="shared" si="83"/>
        <v>0</v>
      </c>
    </row>
    <row r="493" spans="1:10" x14ac:dyDescent="0.3">
      <c r="A493" t="s">
        <v>13336</v>
      </c>
      <c r="B493" s="3">
        <f>+F459</f>
        <v>0</v>
      </c>
      <c r="C493" s="3">
        <v>0</v>
      </c>
      <c r="D493" s="3">
        <v>0</v>
      </c>
      <c r="E493" s="3">
        <v>0</v>
      </c>
      <c r="F493" s="3">
        <v>0</v>
      </c>
      <c r="G493" s="3"/>
      <c r="H493" s="3">
        <f>+B493*D493*E493</f>
        <v>0</v>
      </c>
      <c r="I493" s="3">
        <v>0</v>
      </c>
      <c r="J493" s="54">
        <f t="shared" si="83"/>
        <v>0</v>
      </c>
    </row>
    <row r="494" spans="1:10" x14ac:dyDescent="0.3">
      <c r="A494" s="51"/>
      <c r="B494" s="52" t="s">
        <v>13328</v>
      </c>
      <c r="C494" s="52" t="s">
        <v>13272</v>
      </c>
      <c r="D494" s="52" t="s">
        <v>13273</v>
      </c>
      <c r="E494" s="52" t="s">
        <v>13274</v>
      </c>
      <c r="F494" s="52" t="s">
        <v>13275</v>
      </c>
      <c r="G494" s="52" t="s">
        <v>13276</v>
      </c>
      <c r="H494" s="52" t="s">
        <v>13277</v>
      </c>
      <c r="I494" s="52" t="s">
        <v>13329</v>
      </c>
      <c r="J494" s="56">
        <v>0</v>
      </c>
    </row>
    <row r="495" spans="1:10" x14ac:dyDescent="0.3">
      <c r="A495" s="3" t="s">
        <v>13337</v>
      </c>
      <c r="B495" s="3">
        <f>+F459</f>
        <v>0</v>
      </c>
      <c r="C495" s="3"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f>+B495*2</f>
        <v>0</v>
      </c>
      <c r="J495" s="55">
        <f t="shared" ref="J495" si="84">SUM(G495:I495)</f>
        <v>0</v>
      </c>
    </row>
    <row r="497" spans="1:10" x14ac:dyDescent="0.3">
      <c r="A497" t="s">
        <v>21</v>
      </c>
      <c r="B497" t="str">
        <f>+'Ficha Canais'!A18</f>
        <v>Canal: CS21a - Trecho 4</v>
      </c>
      <c r="E497" t="s">
        <v>13269</v>
      </c>
      <c r="F497" s="3">
        <v>2250</v>
      </c>
      <c r="G497" t="s">
        <v>13270</v>
      </c>
      <c r="H497" t="s">
        <v>14586</v>
      </c>
      <c r="I497" s="3">
        <f>+I459</f>
        <v>5</v>
      </c>
    </row>
    <row r="498" spans="1:10" x14ac:dyDescent="0.3">
      <c r="A498" s="51"/>
      <c r="B498" s="52" t="s">
        <v>13328</v>
      </c>
      <c r="C498" s="52" t="s">
        <v>13272</v>
      </c>
      <c r="D498" s="52" t="s">
        <v>13273</v>
      </c>
      <c r="E498" s="52" t="s">
        <v>13274</v>
      </c>
      <c r="F498" s="52" t="s">
        <v>13275</v>
      </c>
      <c r="G498" s="52" t="s">
        <v>13276</v>
      </c>
      <c r="H498" s="52" t="s">
        <v>13277</v>
      </c>
      <c r="I498" s="52" t="s">
        <v>13329</v>
      </c>
      <c r="J498" s="53" t="s">
        <v>13309</v>
      </c>
    </row>
    <row r="499" spans="1:10" x14ac:dyDescent="0.3">
      <c r="A499" t="s">
        <v>13322</v>
      </c>
      <c r="B499" s="3">
        <f>+F497</f>
        <v>2250</v>
      </c>
      <c r="C499" s="3">
        <v>40</v>
      </c>
      <c r="D499" s="3">
        <v>0</v>
      </c>
      <c r="E499" s="3">
        <v>0</v>
      </c>
      <c r="F499" s="3">
        <v>0</v>
      </c>
      <c r="G499" s="49">
        <f>+B499*C499</f>
        <v>90000</v>
      </c>
      <c r="H499" s="47">
        <v>0</v>
      </c>
      <c r="I499" s="47">
        <v>0</v>
      </c>
      <c r="J499" s="54">
        <f>SUM(G499:I499)</f>
        <v>90000</v>
      </c>
    </row>
    <row r="500" spans="1:10" x14ac:dyDescent="0.3">
      <c r="A500" t="s">
        <v>13323</v>
      </c>
      <c r="B500" s="3">
        <v>0</v>
      </c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68">
        <v>19148.11</v>
      </c>
      <c r="I500" s="47">
        <v>0</v>
      </c>
      <c r="J500" s="54">
        <f t="shared" ref="J500:J512" si="85">SUM(G500:I500)</f>
        <v>19148.11</v>
      </c>
    </row>
    <row r="501" spans="1:10" x14ac:dyDescent="0.3">
      <c r="A501" t="s">
        <v>13271</v>
      </c>
      <c r="B501" s="3">
        <v>0</v>
      </c>
      <c r="C501" s="3">
        <v>0</v>
      </c>
      <c r="D501" s="3">
        <v>0</v>
      </c>
      <c r="E501" s="3">
        <v>0</v>
      </c>
      <c r="F501" s="3">
        <v>0</v>
      </c>
      <c r="G501" s="3">
        <v>0</v>
      </c>
      <c r="H501" s="68">
        <v>21529</v>
      </c>
      <c r="I501" s="47">
        <v>0</v>
      </c>
      <c r="J501" s="54">
        <f t="shared" si="85"/>
        <v>21529</v>
      </c>
    </row>
    <row r="502" spans="1:10" x14ac:dyDescent="0.3">
      <c r="A502" t="s">
        <v>13324</v>
      </c>
      <c r="B502" s="3">
        <v>0</v>
      </c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68">
        <f>(H501-H500)*1.4*I497</f>
        <v>16666.229999999996</v>
      </c>
      <c r="I502" s="47">
        <v>0</v>
      </c>
      <c r="J502" s="54">
        <f t="shared" si="85"/>
        <v>16666.229999999996</v>
      </c>
    </row>
    <row r="503" spans="1:10" s="60" customFormat="1" x14ac:dyDescent="0.3">
      <c r="A503" s="60" t="s">
        <v>13335</v>
      </c>
      <c r="B503" s="61">
        <f>+F497</f>
        <v>2250</v>
      </c>
      <c r="C503" s="61">
        <v>0</v>
      </c>
      <c r="D503" s="61">
        <f>+'Ficha Canais'!$C$18</f>
        <v>1.2</v>
      </c>
      <c r="E503" s="61">
        <v>0</v>
      </c>
      <c r="F503" s="61">
        <v>0</v>
      </c>
      <c r="G503" s="194">
        <f>+B503*D503</f>
        <v>2700</v>
      </c>
      <c r="H503" s="62">
        <v>0</v>
      </c>
      <c r="I503" s="62"/>
      <c r="J503" s="195">
        <f t="shared" ref="J503" si="86">SUM(G503:I503)</f>
        <v>2700</v>
      </c>
    </row>
    <row r="504" spans="1:10" x14ac:dyDescent="0.3">
      <c r="A504" t="s">
        <v>13325</v>
      </c>
      <c r="B504" s="3">
        <f>+F497</f>
        <v>2250</v>
      </c>
      <c r="C504" s="3">
        <v>0</v>
      </c>
      <c r="D504" s="3">
        <v>1</v>
      </c>
      <c r="E504" s="3">
        <v>1.85</v>
      </c>
      <c r="F504" s="3">
        <f>(E504*1.8*2)+D504+0.8</f>
        <v>8.4600000000000009</v>
      </c>
      <c r="G504" s="69">
        <v>3722</v>
      </c>
      <c r="H504" s="68">
        <v>0</v>
      </c>
      <c r="I504" s="47">
        <v>0</v>
      </c>
      <c r="J504" s="54">
        <f t="shared" si="85"/>
        <v>3722</v>
      </c>
    </row>
    <row r="505" spans="1:10" s="60" customFormat="1" x14ac:dyDescent="0.3">
      <c r="A505" s="60" t="s">
        <v>14514</v>
      </c>
      <c r="B505" s="61">
        <f>+F497</f>
        <v>2250</v>
      </c>
      <c r="C505" s="61">
        <v>0</v>
      </c>
      <c r="D505" s="61">
        <v>0</v>
      </c>
      <c r="E505" s="61">
        <v>0</v>
      </c>
      <c r="F505" s="61">
        <v>0</v>
      </c>
      <c r="G505" s="62">
        <v>0</v>
      </c>
      <c r="H505" s="194">
        <f>+G506*0.2</f>
        <v>2977.8</v>
      </c>
      <c r="I505" s="62">
        <v>0</v>
      </c>
      <c r="J505" s="195">
        <f t="shared" ref="J505" si="87">SUM(G505:I505)</f>
        <v>2977.8</v>
      </c>
    </row>
    <row r="506" spans="1:10" x14ac:dyDescent="0.3">
      <c r="A506" t="s">
        <v>13326</v>
      </c>
      <c r="B506" s="3">
        <v>0</v>
      </c>
      <c r="C506" s="3">
        <v>0</v>
      </c>
      <c r="D506" s="3">
        <v>0</v>
      </c>
      <c r="E506" s="3">
        <v>0</v>
      </c>
      <c r="F506" s="3">
        <v>0</v>
      </c>
      <c r="G506" s="69">
        <v>14889</v>
      </c>
      <c r="H506" s="68">
        <v>0</v>
      </c>
      <c r="I506" s="47">
        <v>0</v>
      </c>
      <c r="J506" s="54">
        <f t="shared" si="85"/>
        <v>14889</v>
      </c>
    </row>
    <row r="507" spans="1:10" s="60" customFormat="1" x14ac:dyDescent="0.3">
      <c r="A507" s="60" t="s">
        <v>14515</v>
      </c>
      <c r="B507" s="61">
        <f>+F497</f>
        <v>2250</v>
      </c>
      <c r="C507" s="61">
        <v>0</v>
      </c>
      <c r="D507" s="61">
        <v>0</v>
      </c>
      <c r="E507" s="61">
        <v>0</v>
      </c>
      <c r="F507" s="61">
        <v>0</v>
      </c>
      <c r="G507" s="62">
        <v>0</v>
      </c>
      <c r="H507" s="61">
        <v>0</v>
      </c>
      <c r="I507" s="194">
        <f>+B507*2</f>
        <v>4500</v>
      </c>
      <c r="J507" s="195">
        <f>+I507</f>
        <v>4500</v>
      </c>
    </row>
    <row r="508" spans="1:10" x14ac:dyDescent="0.3">
      <c r="A508" t="s">
        <v>3042</v>
      </c>
      <c r="B508" s="3">
        <v>0</v>
      </c>
      <c r="C508" s="3">
        <v>0</v>
      </c>
      <c r="D508" s="3">
        <v>0</v>
      </c>
      <c r="E508" s="3">
        <v>0</v>
      </c>
      <c r="F508" s="3">
        <v>0</v>
      </c>
      <c r="G508" s="68">
        <v>0</v>
      </c>
      <c r="H508" s="68">
        <f>+G506*0.07</f>
        <v>1042.23</v>
      </c>
      <c r="I508" s="47">
        <v>0</v>
      </c>
      <c r="J508" s="54">
        <f t="shared" si="85"/>
        <v>1042.23</v>
      </c>
    </row>
    <row r="509" spans="1:10" x14ac:dyDescent="0.3">
      <c r="A509" t="s">
        <v>13327</v>
      </c>
      <c r="B509" s="3">
        <v>0</v>
      </c>
      <c r="C509" s="3">
        <v>0</v>
      </c>
      <c r="D509" s="3">
        <v>0</v>
      </c>
      <c r="E509" s="3">
        <v>0</v>
      </c>
      <c r="F509" s="3">
        <v>0</v>
      </c>
      <c r="G509" s="68">
        <v>0</v>
      </c>
      <c r="H509" s="68">
        <f>+H508</f>
        <v>1042.23</v>
      </c>
      <c r="I509" s="47">
        <v>0</v>
      </c>
      <c r="J509" s="54">
        <f t="shared" si="85"/>
        <v>1042.23</v>
      </c>
    </row>
    <row r="510" spans="1:10" x14ac:dyDescent="0.3">
      <c r="A510" t="s">
        <v>13278</v>
      </c>
      <c r="B510" s="3">
        <f>+F497</f>
        <v>2250</v>
      </c>
      <c r="C510" s="3">
        <v>0</v>
      </c>
      <c r="D510" s="3">
        <v>0</v>
      </c>
      <c r="E510" s="3">
        <v>0</v>
      </c>
      <c r="F510" s="47">
        <f>+F504</f>
        <v>8.4600000000000009</v>
      </c>
      <c r="G510" s="3">
        <v>0</v>
      </c>
      <c r="H510" s="3">
        <v>0</v>
      </c>
      <c r="I510" s="49">
        <f>+B510/2*F510</f>
        <v>9517.5000000000018</v>
      </c>
      <c r="J510" s="54">
        <f t="shared" si="85"/>
        <v>9517.5000000000018</v>
      </c>
    </row>
    <row r="511" spans="1:10" x14ac:dyDescent="0.3">
      <c r="A511" t="s">
        <v>13279</v>
      </c>
      <c r="B511" s="3">
        <f>+F497</f>
        <v>2250</v>
      </c>
      <c r="C511" s="3"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49">
        <f>+B511*2</f>
        <v>4500</v>
      </c>
      <c r="J511" s="54">
        <f t="shared" si="85"/>
        <v>4500</v>
      </c>
    </row>
    <row r="512" spans="1:10" x14ac:dyDescent="0.3">
      <c r="A512" t="s">
        <v>13282</v>
      </c>
      <c r="B512" s="47">
        <f>+F497</f>
        <v>2250</v>
      </c>
      <c r="C512" s="3">
        <v>12</v>
      </c>
      <c r="D512" s="3">
        <v>0</v>
      </c>
      <c r="E512" s="3">
        <v>0</v>
      </c>
      <c r="F512" s="3">
        <v>0</v>
      </c>
      <c r="G512" s="49">
        <f>+B512*C512</f>
        <v>27000</v>
      </c>
      <c r="H512" s="3">
        <v>0</v>
      </c>
      <c r="I512" s="47">
        <v>0</v>
      </c>
      <c r="J512" s="54">
        <f t="shared" si="85"/>
        <v>27000</v>
      </c>
    </row>
    <row r="513" spans="1:10" x14ac:dyDescent="0.3">
      <c r="A513" s="51"/>
      <c r="B513" s="52" t="s">
        <v>13328</v>
      </c>
      <c r="C513" s="52" t="s">
        <v>13272</v>
      </c>
      <c r="D513" s="52" t="s">
        <v>13273</v>
      </c>
      <c r="E513" s="52" t="s">
        <v>13274</v>
      </c>
      <c r="F513" s="52" t="s">
        <v>13275</v>
      </c>
      <c r="G513" s="52" t="s">
        <v>13276</v>
      </c>
      <c r="H513" s="52" t="s">
        <v>13277</v>
      </c>
      <c r="I513" s="52" t="s">
        <v>13329</v>
      </c>
      <c r="J513" s="56">
        <v>0</v>
      </c>
    </row>
    <row r="514" spans="1:10" x14ac:dyDescent="0.3">
      <c r="A514" t="s">
        <v>13330</v>
      </c>
      <c r="B514" s="3">
        <f>+F497</f>
        <v>2250</v>
      </c>
      <c r="C514" s="3">
        <v>0</v>
      </c>
      <c r="D514" s="3">
        <v>1.2</v>
      </c>
      <c r="E514" s="3">
        <v>0.7</v>
      </c>
      <c r="F514" s="3">
        <v>0</v>
      </c>
      <c r="G514" s="3">
        <v>0</v>
      </c>
      <c r="H514" s="50">
        <f>+B514*D514*E514</f>
        <v>1889.9999999999998</v>
      </c>
      <c r="I514" s="3">
        <v>0</v>
      </c>
      <c r="J514" s="54">
        <f t="shared" ref="J514:J520" si="88">SUM(G514:I514)</f>
        <v>1889.9999999999998</v>
      </c>
    </row>
    <row r="515" spans="1:10" x14ac:dyDescent="0.3">
      <c r="A515" t="s">
        <v>13310</v>
      </c>
      <c r="B515" s="3">
        <f>+F497</f>
        <v>2250</v>
      </c>
      <c r="C515" s="3"/>
      <c r="D515" s="3">
        <v>0.6</v>
      </c>
      <c r="E515" s="3">
        <v>0.6</v>
      </c>
      <c r="F515" s="3"/>
      <c r="G515" s="3"/>
      <c r="H515" s="50">
        <f>+H514-(B515*D515*E515)</f>
        <v>1079.9999999999998</v>
      </c>
      <c r="I515" s="3"/>
      <c r="J515" s="54">
        <f t="shared" si="88"/>
        <v>1079.9999999999998</v>
      </c>
    </row>
    <row r="516" spans="1:10" x14ac:dyDescent="0.3">
      <c r="A516" t="s">
        <v>13324</v>
      </c>
      <c r="B516" s="3">
        <v>0</v>
      </c>
      <c r="C516" s="3">
        <v>0</v>
      </c>
      <c r="D516" s="3">
        <v>0</v>
      </c>
      <c r="E516" s="3">
        <v>0</v>
      </c>
      <c r="F516" s="3">
        <v>0</v>
      </c>
      <c r="G516" s="3">
        <v>0</v>
      </c>
      <c r="H516" s="50">
        <f>(H514-H515)*1.4*5</f>
        <v>5670</v>
      </c>
      <c r="I516" s="3"/>
      <c r="J516" s="54">
        <f t="shared" si="88"/>
        <v>5670</v>
      </c>
    </row>
    <row r="517" spans="1:10" x14ac:dyDescent="0.3">
      <c r="A517" t="s">
        <v>13311</v>
      </c>
      <c r="B517" s="3">
        <f>+F497</f>
        <v>2250</v>
      </c>
      <c r="C517" s="3">
        <v>0</v>
      </c>
      <c r="D517" s="3">
        <v>0.6</v>
      </c>
      <c r="E517" s="3">
        <v>0.6</v>
      </c>
      <c r="F517" s="3">
        <v>0</v>
      </c>
      <c r="G517" s="50">
        <f>B517*D517*4</f>
        <v>5400</v>
      </c>
      <c r="H517" s="3">
        <v>0</v>
      </c>
      <c r="I517" s="3">
        <v>0</v>
      </c>
      <c r="J517" s="54">
        <f t="shared" si="88"/>
        <v>5400</v>
      </c>
    </row>
    <row r="518" spans="1:10" x14ac:dyDescent="0.3">
      <c r="A518" t="s">
        <v>13312</v>
      </c>
      <c r="B518" s="3">
        <f>+F497</f>
        <v>2250</v>
      </c>
      <c r="C518" s="3">
        <v>0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50">
        <f>+B518</f>
        <v>2250</v>
      </c>
      <c r="J518" s="54">
        <f t="shared" si="88"/>
        <v>2250</v>
      </c>
    </row>
    <row r="519" spans="1:10" x14ac:dyDescent="0.3">
      <c r="A519" t="s">
        <v>13313</v>
      </c>
      <c r="B519" s="3">
        <f>+F497</f>
        <v>2250</v>
      </c>
      <c r="C519" s="3">
        <v>0</v>
      </c>
      <c r="D519" s="3">
        <v>0.6</v>
      </c>
      <c r="E519" s="3">
        <v>0.6</v>
      </c>
      <c r="F519" s="3">
        <v>0</v>
      </c>
      <c r="G519" s="3">
        <v>0</v>
      </c>
      <c r="H519" s="50">
        <f>B519*D519*E519-(B519*3.14*0.4*0.4/4)</f>
        <v>527.4</v>
      </c>
      <c r="I519" s="3">
        <v>0</v>
      </c>
      <c r="J519" s="54">
        <f t="shared" si="88"/>
        <v>527.4</v>
      </c>
    </row>
    <row r="520" spans="1:10" x14ac:dyDescent="0.3">
      <c r="A520" t="s">
        <v>13320</v>
      </c>
      <c r="B520" s="3">
        <f>+F497</f>
        <v>2250</v>
      </c>
      <c r="C520" s="3">
        <v>1.2</v>
      </c>
      <c r="D520" s="3">
        <v>0</v>
      </c>
      <c r="E520" s="3">
        <v>0.1</v>
      </c>
      <c r="F520" s="3">
        <v>0</v>
      </c>
      <c r="G520" s="3">
        <v>0</v>
      </c>
      <c r="H520" s="50">
        <f>+B520*C520*E520</f>
        <v>270</v>
      </c>
      <c r="I520" s="3"/>
      <c r="J520" s="54">
        <f t="shared" si="88"/>
        <v>270</v>
      </c>
    </row>
    <row r="521" spans="1:10" x14ac:dyDescent="0.3">
      <c r="A521" s="51"/>
      <c r="B521" s="52" t="s">
        <v>13328</v>
      </c>
      <c r="C521" s="52" t="s">
        <v>13272</v>
      </c>
      <c r="D521" s="52" t="s">
        <v>13273</v>
      </c>
      <c r="E521" s="52" t="s">
        <v>13274</v>
      </c>
      <c r="F521" s="52" t="s">
        <v>13275</v>
      </c>
      <c r="G521" s="52" t="s">
        <v>13276</v>
      </c>
      <c r="H521" s="52" t="s">
        <v>13277</v>
      </c>
      <c r="I521" s="52" t="s">
        <v>13329</v>
      </c>
      <c r="J521" s="56">
        <v>0</v>
      </c>
    </row>
    <row r="522" spans="1:10" x14ac:dyDescent="0.3">
      <c r="A522" t="s">
        <v>13331</v>
      </c>
      <c r="B522" s="3">
        <f>+F497</f>
        <v>2250</v>
      </c>
      <c r="C522" s="3">
        <v>0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f>+B522*2</f>
        <v>4500</v>
      </c>
      <c r="J522" s="54">
        <f t="shared" ref="J522:J525" si="89">SUM(G522:I522)</f>
        <v>4500</v>
      </c>
    </row>
    <row r="523" spans="1:10" x14ac:dyDescent="0.3">
      <c r="A523" t="s">
        <v>13332</v>
      </c>
      <c r="B523" s="3">
        <f>+F497</f>
        <v>2250</v>
      </c>
      <c r="C523" s="3">
        <v>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f>+B523*2</f>
        <v>4500</v>
      </c>
      <c r="J523" s="54">
        <f t="shared" si="89"/>
        <v>4500</v>
      </c>
    </row>
    <row r="524" spans="1:10" x14ac:dyDescent="0.3">
      <c r="A524" t="s">
        <v>13333</v>
      </c>
      <c r="B524" s="3">
        <v>0</v>
      </c>
      <c r="C524" s="3">
        <v>0</v>
      </c>
      <c r="D524" s="3">
        <v>0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54">
        <f t="shared" si="89"/>
        <v>0</v>
      </c>
    </row>
    <row r="525" spans="1:10" x14ac:dyDescent="0.3">
      <c r="A525" t="s">
        <v>13334</v>
      </c>
      <c r="B525" s="3">
        <v>0</v>
      </c>
      <c r="C525" s="3"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54">
        <f t="shared" si="89"/>
        <v>0</v>
      </c>
    </row>
    <row r="526" spans="1:10" x14ac:dyDescent="0.3">
      <c r="A526" s="51"/>
      <c r="B526" s="52" t="s">
        <v>13328</v>
      </c>
      <c r="C526" s="52" t="s">
        <v>13272</v>
      </c>
      <c r="D526" s="52" t="s">
        <v>13273</v>
      </c>
      <c r="E526" s="52" t="s">
        <v>13274</v>
      </c>
      <c r="F526" s="52" t="s">
        <v>13275</v>
      </c>
      <c r="G526" s="52" t="s">
        <v>13276</v>
      </c>
      <c r="H526" s="52" t="s">
        <v>13277</v>
      </c>
      <c r="I526" s="52" t="s">
        <v>13329</v>
      </c>
      <c r="J526" s="56">
        <v>0</v>
      </c>
    </row>
    <row r="527" spans="1:10" x14ac:dyDescent="0.3">
      <c r="A527" t="s">
        <v>13330</v>
      </c>
      <c r="B527" s="3">
        <f>+F497</f>
        <v>2250</v>
      </c>
      <c r="C527" s="3">
        <v>0</v>
      </c>
      <c r="D527" s="3">
        <v>3.5</v>
      </c>
      <c r="E527" s="3">
        <v>0.15</v>
      </c>
      <c r="F527" s="3">
        <v>0</v>
      </c>
      <c r="G527" s="3">
        <v>0</v>
      </c>
      <c r="H527" s="3">
        <f>+B527*D527*E527*2</f>
        <v>2362.5</v>
      </c>
      <c r="I527" s="3">
        <v>0</v>
      </c>
      <c r="J527" s="54">
        <f t="shared" ref="J527:J531" si="90">SUM(G527:I527)</f>
        <v>2362.5</v>
      </c>
    </row>
    <row r="528" spans="1:10" x14ac:dyDescent="0.3">
      <c r="A528" t="s">
        <v>13271</v>
      </c>
      <c r="B528" s="3">
        <f>+F497</f>
        <v>2250</v>
      </c>
      <c r="C528" s="3">
        <v>0</v>
      </c>
      <c r="D528" s="3">
        <v>3.5</v>
      </c>
      <c r="E528" s="3">
        <v>0.1</v>
      </c>
      <c r="F528" s="3">
        <v>0</v>
      </c>
      <c r="G528" s="3">
        <v>0</v>
      </c>
      <c r="H528" s="3">
        <f>+B528*D528*E528*2</f>
        <v>1575</v>
      </c>
      <c r="I528" s="3">
        <v>0</v>
      </c>
      <c r="J528" s="54">
        <f t="shared" si="90"/>
        <v>1575</v>
      </c>
    </row>
    <row r="529" spans="1:10" x14ac:dyDescent="0.3">
      <c r="A529" t="s">
        <v>13324</v>
      </c>
      <c r="B529" s="3">
        <v>0</v>
      </c>
      <c r="C529" s="3">
        <v>0</v>
      </c>
      <c r="D529" s="3">
        <v>0</v>
      </c>
      <c r="E529" s="3">
        <v>0</v>
      </c>
      <c r="F529" s="3">
        <v>0</v>
      </c>
      <c r="G529" s="3">
        <v>0</v>
      </c>
      <c r="H529" s="3">
        <f>+H527-H528</f>
        <v>787.5</v>
      </c>
      <c r="I529" s="3">
        <v>0</v>
      </c>
      <c r="J529" s="54">
        <f t="shared" si="90"/>
        <v>787.5</v>
      </c>
    </row>
    <row r="530" spans="1:10" x14ac:dyDescent="0.3">
      <c r="A530" t="s">
        <v>13335</v>
      </c>
      <c r="B530" s="3">
        <f>+F497</f>
        <v>2250</v>
      </c>
      <c r="C530" s="3">
        <v>0</v>
      </c>
      <c r="D530" s="3">
        <v>3.5</v>
      </c>
      <c r="E530" s="3">
        <v>0</v>
      </c>
      <c r="F530" s="3">
        <v>0</v>
      </c>
      <c r="G530" s="3">
        <f>+B530*D530*2</f>
        <v>15750</v>
      </c>
      <c r="H530" s="3">
        <v>0</v>
      </c>
      <c r="I530" s="3">
        <v>0</v>
      </c>
      <c r="J530" s="54">
        <f t="shared" si="90"/>
        <v>15750</v>
      </c>
    </row>
    <row r="531" spans="1:10" x14ac:dyDescent="0.3">
      <c r="A531" t="s">
        <v>13336</v>
      </c>
      <c r="B531" s="3">
        <f>+F497</f>
        <v>2250</v>
      </c>
      <c r="C531" s="3">
        <v>0</v>
      </c>
      <c r="D531" s="3">
        <v>3.5</v>
      </c>
      <c r="E531" s="3">
        <v>0.15</v>
      </c>
      <c r="F531" s="3">
        <v>0</v>
      </c>
      <c r="G531" s="3"/>
      <c r="H531" s="3">
        <f>+B531*D531*E531</f>
        <v>1181.25</v>
      </c>
      <c r="I531" s="3">
        <v>0</v>
      </c>
      <c r="J531" s="54">
        <f t="shared" si="90"/>
        <v>1181.25</v>
      </c>
    </row>
    <row r="532" spans="1:10" x14ac:dyDescent="0.3">
      <c r="A532" s="51"/>
      <c r="B532" s="52" t="s">
        <v>13328</v>
      </c>
      <c r="C532" s="52" t="s">
        <v>13272</v>
      </c>
      <c r="D532" s="52" t="s">
        <v>13273</v>
      </c>
      <c r="E532" s="52" t="s">
        <v>13274</v>
      </c>
      <c r="F532" s="52" t="s">
        <v>13275</v>
      </c>
      <c r="G532" s="52" t="s">
        <v>13276</v>
      </c>
      <c r="H532" s="52" t="s">
        <v>13277</v>
      </c>
      <c r="I532" s="52" t="s">
        <v>13329</v>
      </c>
      <c r="J532" s="56">
        <v>0</v>
      </c>
    </row>
    <row r="533" spans="1:10" x14ac:dyDescent="0.3">
      <c r="A533" s="3" t="s">
        <v>13337</v>
      </c>
      <c r="B533" s="3">
        <f>+F497</f>
        <v>2250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f>+B533*2</f>
        <v>4500</v>
      </c>
      <c r="J533" s="55">
        <f t="shared" ref="J533" si="91">SUM(G533:I533)</f>
        <v>4500</v>
      </c>
    </row>
    <row r="535" spans="1:10" x14ac:dyDescent="0.3">
      <c r="A535" t="s">
        <v>21</v>
      </c>
      <c r="B535" t="str">
        <f>+'Ficha Canais'!A19</f>
        <v>Canal: CS21a - Trecho 5</v>
      </c>
      <c r="E535" t="s">
        <v>13269</v>
      </c>
      <c r="F535" s="3">
        <v>4747</v>
      </c>
      <c r="G535" t="s">
        <v>13270</v>
      </c>
      <c r="H535" t="s">
        <v>14586</v>
      </c>
      <c r="I535" s="3">
        <f>+I497</f>
        <v>5</v>
      </c>
    </row>
    <row r="536" spans="1:10" x14ac:dyDescent="0.3">
      <c r="A536" s="51"/>
      <c r="B536" s="52" t="s">
        <v>13328</v>
      </c>
      <c r="C536" s="52" t="s">
        <v>13272</v>
      </c>
      <c r="D536" s="52" t="s">
        <v>13273</v>
      </c>
      <c r="E536" s="52" t="s">
        <v>13274</v>
      </c>
      <c r="F536" s="52" t="s">
        <v>13275</v>
      </c>
      <c r="G536" s="52" t="s">
        <v>13276</v>
      </c>
      <c r="H536" s="52" t="s">
        <v>13277</v>
      </c>
      <c r="I536" s="52" t="s">
        <v>13329</v>
      </c>
      <c r="J536" s="53" t="s">
        <v>13309</v>
      </c>
    </row>
    <row r="537" spans="1:10" x14ac:dyDescent="0.3">
      <c r="A537" t="s">
        <v>13322</v>
      </c>
      <c r="B537" s="3">
        <f>+F535</f>
        <v>4747</v>
      </c>
      <c r="C537" s="3">
        <v>40</v>
      </c>
      <c r="D537" s="3">
        <v>0</v>
      </c>
      <c r="E537" s="3">
        <v>0</v>
      </c>
      <c r="F537" s="3">
        <v>0</v>
      </c>
      <c r="G537" s="49">
        <f>+B537*C537</f>
        <v>189880</v>
      </c>
      <c r="H537" s="47">
        <v>0</v>
      </c>
      <c r="I537" s="47">
        <v>0</v>
      </c>
      <c r="J537" s="54">
        <f>SUM(G537:I537)</f>
        <v>189880</v>
      </c>
    </row>
    <row r="538" spans="1:10" x14ac:dyDescent="0.3">
      <c r="A538" t="s">
        <v>13323</v>
      </c>
      <c r="B538" s="3">
        <v>0</v>
      </c>
      <c r="C538" s="3">
        <v>0</v>
      </c>
      <c r="D538" s="3">
        <v>0</v>
      </c>
      <c r="E538" s="3">
        <v>0</v>
      </c>
      <c r="F538" s="3">
        <v>0</v>
      </c>
      <c r="G538" s="3">
        <v>0</v>
      </c>
      <c r="H538" s="68">
        <v>14982.62</v>
      </c>
      <c r="I538" s="47">
        <v>0</v>
      </c>
      <c r="J538" s="54">
        <f t="shared" ref="J538:J550" si="92">SUM(G538:I538)</f>
        <v>14982.62</v>
      </c>
    </row>
    <row r="539" spans="1:10" x14ac:dyDescent="0.3">
      <c r="A539" t="s">
        <v>13271</v>
      </c>
      <c r="B539" s="3">
        <v>0</v>
      </c>
      <c r="C539" s="3">
        <v>0</v>
      </c>
      <c r="D539" s="3">
        <v>0</v>
      </c>
      <c r="E539" s="3">
        <v>0</v>
      </c>
      <c r="F539" s="3">
        <v>0</v>
      </c>
      <c r="G539" s="3">
        <v>0</v>
      </c>
      <c r="H539" s="68">
        <v>58408.31</v>
      </c>
      <c r="I539" s="47">
        <v>0</v>
      </c>
      <c r="J539" s="54">
        <f t="shared" si="92"/>
        <v>58408.31</v>
      </c>
    </row>
    <row r="540" spans="1:10" x14ac:dyDescent="0.3">
      <c r="A540" t="s">
        <v>13324</v>
      </c>
      <c r="B540" s="3">
        <v>0</v>
      </c>
      <c r="C540" s="3">
        <v>0</v>
      </c>
      <c r="D540" s="3">
        <v>0</v>
      </c>
      <c r="E540" s="3">
        <v>0</v>
      </c>
      <c r="F540" s="3">
        <v>0</v>
      </c>
      <c r="G540" s="3">
        <v>0</v>
      </c>
      <c r="H540" s="68">
        <f>(H539-H538)*1.4*I535</f>
        <v>303979.82999999996</v>
      </c>
      <c r="I540" s="47">
        <v>0</v>
      </c>
      <c r="J540" s="54">
        <f t="shared" si="92"/>
        <v>303979.82999999996</v>
      </c>
    </row>
    <row r="541" spans="1:10" s="60" customFormat="1" x14ac:dyDescent="0.3">
      <c r="A541" s="60" t="s">
        <v>13335</v>
      </c>
      <c r="B541" s="61">
        <f>+F535</f>
        <v>4747</v>
      </c>
      <c r="C541" s="61">
        <v>0</v>
      </c>
      <c r="D541" s="61">
        <f>+'Ficha Canais'!$C$19</f>
        <v>0.8</v>
      </c>
      <c r="E541" s="61">
        <v>0</v>
      </c>
      <c r="F541" s="61">
        <v>0</v>
      </c>
      <c r="G541" s="194">
        <f>+B541*D541</f>
        <v>3797.6000000000004</v>
      </c>
      <c r="H541" s="62">
        <v>0</v>
      </c>
      <c r="I541" s="62"/>
      <c r="J541" s="195">
        <f t="shared" ref="J541" si="93">SUM(G541:I541)</f>
        <v>3797.6000000000004</v>
      </c>
    </row>
    <row r="542" spans="1:10" x14ac:dyDescent="0.3">
      <c r="A542" t="s">
        <v>13325</v>
      </c>
      <c r="B542" s="3">
        <f>+F535</f>
        <v>4747</v>
      </c>
      <c r="C542" s="3">
        <v>0</v>
      </c>
      <c r="D542" s="3">
        <v>0.8</v>
      </c>
      <c r="E542" s="3">
        <v>1.83</v>
      </c>
      <c r="F542" s="3">
        <f>(E542*1.8*2)+D542+0.8</f>
        <v>8.1880000000000006</v>
      </c>
      <c r="G542" s="69">
        <v>6396</v>
      </c>
      <c r="H542" s="68">
        <v>0</v>
      </c>
      <c r="I542" s="47">
        <v>0</v>
      </c>
      <c r="J542" s="54">
        <f t="shared" si="92"/>
        <v>6396</v>
      </c>
    </row>
    <row r="543" spans="1:10" s="60" customFormat="1" x14ac:dyDescent="0.3">
      <c r="A543" s="60" t="s">
        <v>14514</v>
      </c>
      <c r="B543" s="61">
        <f>+F535</f>
        <v>4747</v>
      </c>
      <c r="C543" s="61">
        <v>0</v>
      </c>
      <c r="D543" s="61">
        <v>0</v>
      </c>
      <c r="E543" s="61">
        <v>0</v>
      </c>
      <c r="F543" s="61">
        <v>0</v>
      </c>
      <c r="G543" s="62">
        <v>0</v>
      </c>
      <c r="H543" s="194">
        <f>+G544*0.2</f>
        <v>5117</v>
      </c>
      <c r="I543" s="62">
        <v>0</v>
      </c>
      <c r="J543" s="195">
        <f t="shared" ref="J543" si="94">SUM(G543:I543)</f>
        <v>5117</v>
      </c>
    </row>
    <row r="544" spans="1:10" x14ac:dyDescent="0.3">
      <c r="A544" t="s">
        <v>13326</v>
      </c>
      <c r="B544" s="3">
        <v>0</v>
      </c>
      <c r="C544" s="3">
        <v>0</v>
      </c>
      <c r="D544" s="3">
        <v>0</v>
      </c>
      <c r="E544" s="3">
        <v>0</v>
      </c>
      <c r="F544" s="3">
        <v>0</v>
      </c>
      <c r="G544" s="69">
        <v>25585</v>
      </c>
      <c r="H544" s="68">
        <v>0</v>
      </c>
      <c r="I544" s="47">
        <v>0</v>
      </c>
      <c r="J544" s="54">
        <f t="shared" si="92"/>
        <v>25585</v>
      </c>
    </row>
    <row r="545" spans="1:10" s="60" customFormat="1" x14ac:dyDescent="0.3">
      <c r="A545" s="60" t="s">
        <v>14515</v>
      </c>
      <c r="B545" s="61">
        <f>+F535</f>
        <v>4747</v>
      </c>
      <c r="C545" s="61">
        <v>0</v>
      </c>
      <c r="D545" s="61">
        <v>0</v>
      </c>
      <c r="E545" s="61">
        <v>0</v>
      </c>
      <c r="F545" s="61">
        <v>0</v>
      </c>
      <c r="G545" s="62">
        <v>0</v>
      </c>
      <c r="H545" s="61">
        <v>0</v>
      </c>
      <c r="I545" s="194">
        <f>+B545*2</f>
        <v>9494</v>
      </c>
      <c r="J545" s="195">
        <f>+I545</f>
        <v>9494</v>
      </c>
    </row>
    <row r="546" spans="1:10" x14ac:dyDescent="0.3">
      <c r="A546" t="s">
        <v>3042</v>
      </c>
      <c r="B546" s="3">
        <v>0</v>
      </c>
      <c r="C546" s="3">
        <v>0</v>
      </c>
      <c r="D546" s="3">
        <v>0</v>
      </c>
      <c r="E546" s="3">
        <v>0</v>
      </c>
      <c r="F546" s="3">
        <v>0</v>
      </c>
      <c r="G546" s="68">
        <v>0</v>
      </c>
      <c r="H546" s="68">
        <f>+G544*0.07</f>
        <v>1790.9500000000003</v>
      </c>
      <c r="I546" s="47">
        <v>0</v>
      </c>
      <c r="J546" s="54">
        <f t="shared" si="92"/>
        <v>1790.9500000000003</v>
      </c>
    </row>
    <row r="547" spans="1:10" x14ac:dyDescent="0.3">
      <c r="A547" t="s">
        <v>13327</v>
      </c>
      <c r="B547" s="3">
        <v>0</v>
      </c>
      <c r="C547" s="3">
        <v>0</v>
      </c>
      <c r="D547" s="3">
        <v>0</v>
      </c>
      <c r="E547" s="3">
        <v>0</v>
      </c>
      <c r="F547" s="3">
        <v>0</v>
      </c>
      <c r="G547" s="68">
        <v>0</v>
      </c>
      <c r="H547" s="68">
        <f>+H546</f>
        <v>1790.9500000000003</v>
      </c>
      <c r="I547" s="47">
        <v>0</v>
      </c>
      <c r="J547" s="54">
        <f t="shared" si="92"/>
        <v>1790.9500000000003</v>
      </c>
    </row>
    <row r="548" spans="1:10" x14ac:dyDescent="0.3">
      <c r="A548" t="s">
        <v>13278</v>
      </c>
      <c r="B548" s="3">
        <f>+F535</f>
        <v>4747</v>
      </c>
      <c r="C548" s="3">
        <v>0</v>
      </c>
      <c r="D548" s="3">
        <v>0</v>
      </c>
      <c r="E548" s="3">
        <v>0</v>
      </c>
      <c r="F548" s="47">
        <f>+F542</f>
        <v>8.1880000000000006</v>
      </c>
      <c r="G548" s="3">
        <v>0</v>
      </c>
      <c r="H548" s="3">
        <v>0</v>
      </c>
      <c r="I548" s="49">
        <f>+B548/2*F548</f>
        <v>19434.218000000001</v>
      </c>
      <c r="J548" s="54">
        <f t="shared" si="92"/>
        <v>19434.218000000001</v>
      </c>
    </row>
    <row r="549" spans="1:10" x14ac:dyDescent="0.3">
      <c r="A549" t="s">
        <v>13279</v>
      </c>
      <c r="B549" s="3">
        <f>+F535</f>
        <v>4747</v>
      </c>
      <c r="C549" s="3"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49">
        <f>+B549*2</f>
        <v>9494</v>
      </c>
      <c r="J549" s="54">
        <f t="shared" si="92"/>
        <v>9494</v>
      </c>
    </row>
    <row r="550" spans="1:10" x14ac:dyDescent="0.3">
      <c r="A550" t="s">
        <v>13282</v>
      </c>
      <c r="B550" s="47">
        <f>+F535</f>
        <v>4747</v>
      </c>
      <c r="C550" s="3">
        <v>12</v>
      </c>
      <c r="D550" s="3">
        <v>0</v>
      </c>
      <c r="E550" s="3">
        <v>0</v>
      </c>
      <c r="F550" s="3">
        <v>0</v>
      </c>
      <c r="G550" s="49">
        <f>+B550*C550</f>
        <v>56964</v>
      </c>
      <c r="H550" s="3">
        <v>0</v>
      </c>
      <c r="I550" s="47">
        <v>0</v>
      </c>
      <c r="J550" s="54">
        <f t="shared" si="92"/>
        <v>56964</v>
      </c>
    </row>
    <row r="551" spans="1:10" x14ac:dyDescent="0.3">
      <c r="A551" s="51"/>
      <c r="B551" s="52" t="s">
        <v>13328</v>
      </c>
      <c r="C551" s="52" t="s">
        <v>13272</v>
      </c>
      <c r="D551" s="52" t="s">
        <v>13273</v>
      </c>
      <c r="E551" s="52" t="s">
        <v>13274</v>
      </c>
      <c r="F551" s="52" t="s">
        <v>13275</v>
      </c>
      <c r="G551" s="52" t="s">
        <v>13276</v>
      </c>
      <c r="H551" s="52" t="s">
        <v>13277</v>
      </c>
      <c r="I551" s="52" t="s">
        <v>13329</v>
      </c>
      <c r="J551" s="56">
        <v>0</v>
      </c>
    </row>
    <row r="552" spans="1:10" x14ac:dyDescent="0.3">
      <c r="A552" t="s">
        <v>13330</v>
      </c>
      <c r="B552" s="3">
        <f>+F535</f>
        <v>4747</v>
      </c>
      <c r="C552" s="3">
        <v>0</v>
      </c>
      <c r="D552" s="3">
        <v>1.2</v>
      </c>
      <c r="E552" s="3">
        <v>0.7</v>
      </c>
      <c r="F552" s="3">
        <v>0</v>
      </c>
      <c r="G552" s="3">
        <v>0</v>
      </c>
      <c r="H552" s="50">
        <f>+B552*D552*E552</f>
        <v>3987.4799999999996</v>
      </c>
      <c r="I552" s="3">
        <v>0</v>
      </c>
      <c r="J552" s="54">
        <f t="shared" ref="J552:J558" si="95">SUM(G552:I552)</f>
        <v>3987.4799999999996</v>
      </c>
    </row>
    <row r="553" spans="1:10" x14ac:dyDescent="0.3">
      <c r="A553" t="s">
        <v>13310</v>
      </c>
      <c r="B553" s="3">
        <f>+F535</f>
        <v>4747</v>
      </c>
      <c r="C553" s="3"/>
      <c r="D553" s="3">
        <v>0.6</v>
      </c>
      <c r="E553" s="3">
        <v>0.6</v>
      </c>
      <c r="F553" s="3"/>
      <c r="G553" s="3"/>
      <c r="H553" s="50">
        <f>+H552-(B553*D553*E553)</f>
        <v>2278.5599999999995</v>
      </c>
      <c r="I553" s="3"/>
      <c r="J553" s="54">
        <f t="shared" si="95"/>
        <v>2278.5599999999995</v>
      </c>
    </row>
    <row r="554" spans="1:10" x14ac:dyDescent="0.3">
      <c r="A554" t="s">
        <v>13324</v>
      </c>
      <c r="B554" s="3">
        <v>0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  <c r="H554" s="50">
        <f>(H552-H553)*1.4*5</f>
        <v>11962.439999999999</v>
      </c>
      <c r="I554" s="3"/>
      <c r="J554" s="54">
        <f t="shared" si="95"/>
        <v>11962.439999999999</v>
      </c>
    </row>
    <row r="555" spans="1:10" x14ac:dyDescent="0.3">
      <c r="A555" t="s">
        <v>13311</v>
      </c>
      <c r="B555" s="3">
        <f>+F535</f>
        <v>4747</v>
      </c>
      <c r="C555" s="3">
        <v>0</v>
      </c>
      <c r="D555" s="3">
        <v>0.6</v>
      </c>
      <c r="E555" s="3">
        <v>0.6</v>
      </c>
      <c r="F555" s="3">
        <v>0</v>
      </c>
      <c r="G555" s="50">
        <f>B555*D555*4</f>
        <v>11392.8</v>
      </c>
      <c r="H555" s="3">
        <v>0</v>
      </c>
      <c r="I555" s="3">
        <v>0</v>
      </c>
      <c r="J555" s="54">
        <f t="shared" si="95"/>
        <v>11392.8</v>
      </c>
    </row>
    <row r="556" spans="1:10" x14ac:dyDescent="0.3">
      <c r="A556" t="s">
        <v>13312</v>
      </c>
      <c r="B556" s="3">
        <f>+F535</f>
        <v>4747</v>
      </c>
      <c r="C556" s="3">
        <v>0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50">
        <f>+B556</f>
        <v>4747</v>
      </c>
      <c r="J556" s="54">
        <f t="shared" si="95"/>
        <v>4747</v>
      </c>
    </row>
    <row r="557" spans="1:10" x14ac:dyDescent="0.3">
      <c r="A557" t="s">
        <v>13313</v>
      </c>
      <c r="B557" s="3">
        <f>+F535</f>
        <v>4747</v>
      </c>
      <c r="C557" s="3">
        <v>0</v>
      </c>
      <c r="D557" s="3">
        <v>0.6</v>
      </c>
      <c r="E557" s="3">
        <v>0.6</v>
      </c>
      <c r="F557" s="3">
        <v>0</v>
      </c>
      <c r="G557" s="3">
        <v>0</v>
      </c>
      <c r="H557" s="50">
        <f>B557*D557*E557-(B557*3.14*0.4*0.4/4)</f>
        <v>1112.6967999999997</v>
      </c>
      <c r="I557" s="3">
        <v>0</v>
      </c>
      <c r="J557" s="54">
        <f t="shared" si="95"/>
        <v>1112.6967999999997</v>
      </c>
    </row>
    <row r="558" spans="1:10" x14ac:dyDescent="0.3">
      <c r="A558" t="s">
        <v>13320</v>
      </c>
      <c r="B558" s="3">
        <f>+F535</f>
        <v>4747</v>
      </c>
      <c r="C558" s="3">
        <v>1.2</v>
      </c>
      <c r="D558" s="3">
        <v>0</v>
      </c>
      <c r="E558" s="3">
        <v>0.1</v>
      </c>
      <c r="F558" s="3">
        <v>0</v>
      </c>
      <c r="G558" s="3">
        <v>0</v>
      </c>
      <c r="H558" s="50">
        <f>+B558*C558*E558</f>
        <v>569.64</v>
      </c>
      <c r="I558" s="3"/>
      <c r="J558" s="54">
        <f t="shared" si="95"/>
        <v>569.64</v>
      </c>
    </row>
    <row r="559" spans="1:10" x14ac:dyDescent="0.3">
      <c r="A559" s="51"/>
      <c r="B559" s="52" t="s">
        <v>13328</v>
      </c>
      <c r="C559" s="52" t="s">
        <v>13272</v>
      </c>
      <c r="D559" s="52" t="s">
        <v>13273</v>
      </c>
      <c r="E559" s="52" t="s">
        <v>13274</v>
      </c>
      <c r="F559" s="52" t="s">
        <v>13275</v>
      </c>
      <c r="G559" s="52" t="s">
        <v>13276</v>
      </c>
      <c r="H559" s="52" t="s">
        <v>13277</v>
      </c>
      <c r="I559" s="52" t="s">
        <v>13329</v>
      </c>
      <c r="J559" s="56">
        <v>0</v>
      </c>
    </row>
    <row r="560" spans="1:10" x14ac:dyDescent="0.3">
      <c r="A560" t="s">
        <v>13331</v>
      </c>
      <c r="B560" s="3">
        <f>+F535</f>
        <v>4747</v>
      </c>
      <c r="C560" s="3">
        <v>0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f>+B560*2</f>
        <v>9494</v>
      </c>
      <c r="J560" s="54">
        <f t="shared" ref="J560:J563" si="96">SUM(G560:I560)</f>
        <v>9494</v>
      </c>
    </row>
    <row r="561" spans="1:10" x14ac:dyDescent="0.3">
      <c r="A561" t="s">
        <v>13332</v>
      </c>
      <c r="B561" s="3">
        <f>+F535</f>
        <v>4747</v>
      </c>
      <c r="C561" s="3"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f>+B561*2</f>
        <v>9494</v>
      </c>
      <c r="J561" s="54">
        <f t="shared" si="96"/>
        <v>9494</v>
      </c>
    </row>
    <row r="562" spans="1:10" x14ac:dyDescent="0.3">
      <c r="A562" t="s">
        <v>13333</v>
      </c>
      <c r="B562" s="3">
        <v>0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54">
        <f t="shared" si="96"/>
        <v>0</v>
      </c>
    </row>
    <row r="563" spans="1:10" x14ac:dyDescent="0.3">
      <c r="A563" t="s">
        <v>13334</v>
      </c>
      <c r="B563" s="3">
        <v>0</v>
      </c>
      <c r="C563" s="3"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54">
        <f t="shared" si="96"/>
        <v>0</v>
      </c>
    </row>
    <row r="564" spans="1:10" x14ac:dyDescent="0.3">
      <c r="A564" s="51"/>
      <c r="B564" s="52" t="s">
        <v>13328</v>
      </c>
      <c r="C564" s="52" t="s">
        <v>13272</v>
      </c>
      <c r="D564" s="52" t="s">
        <v>13273</v>
      </c>
      <c r="E564" s="52" t="s">
        <v>13274</v>
      </c>
      <c r="F564" s="52" t="s">
        <v>13275</v>
      </c>
      <c r="G564" s="52" t="s">
        <v>13276</v>
      </c>
      <c r="H564" s="52" t="s">
        <v>13277</v>
      </c>
      <c r="I564" s="52" t="s">
        <v>13329</v>
      </c>
      <c r="J564" s="56">
        <v>0</v>
      </c>
    </row>
    <row r="565" spans="1:10" x14ac:dyDescent="0.3">
      <c r="A565" t="s">
        <v>13330</v>
      </c>
      <c r="B565" s="3">
        <f>+F535</f>
        <v>4747</v>
      </c>
      <c r="C565" s="3">
        <v>0</v>
      </c>
      <c r="D565" s="3">
        <v>3.5</v>
      </c>
      <c r="E565" s="3">
        <v>0.15</v>
      </c>
      <c r="F565" s="3">
        <v>0</v>
      </c>
      <c r="G565" s="3">
        <v>0</v>
      </c>
      <c r="H565" s="3">
        <f>+B565*D565*E565*2</f>
        <v>4984.3499999999995</v>
      </c>
      <c r="I565" s="3">
        <v>0</v>
      </c>
      <c r="J565" s="54">
        <f t="shared" ref="J565:J569" si="97">SUM(G565:I565)</f>
        <v>4984.3499999999995</v>
      </c>
    </row>
    <row r="566" spans="1:10" x14ac:dyDescent="0.3">
      <c r="A566" t="s">
        <v>13271</v>
      </c>
      <c r="B566" s="3">
        <f>+F535</f>
        <v>4747</v>
      </c>
      <c r="C566" s="3">
        <v>0</v>
      </c>
      <c r="D566" s="3">
        <v>3.5</v>
      </c>
      <c r="E566" s="3">
        <v>0.1</v>
      </c>
      <c r="F566" s="3">
        <v>0</v>
      </c>
      <c r="G566" s="3">
        <v>0</v>
      </c>
      <c r="H566" s="3">
        <f>+B566*D566*E566*2</f>
        <v>3322.9</v>
      </c>
      <c r="I566" s="3">
        <v>0</v>
      </c>
      <c r="J566" s="54">
        <f t="shared" si="97"/>
        <v>3322.9</v>
      </c>
    </row>
    <row r="567" spans="1:10" x14ac:dyDescent="0.3">
      <c r="A567" t="s">
        <v>13324</v>
      </c>
      <c r="B567" s="3">
        <v>0</v>
      </c>
      <c r="C567" s="3">
        <v>0</v>
      </c>
      <c r="D567" s="3">
        <v>0</v>
      </c>
      <c r="E567" s="3">
        <v>0</v>
      </c>
      <c r="F567" s="3">
        <v>0</v>
      </c>
      <c r="G567" s="3">
        <v>0</v>
      </c>
      <c r="H567" s="3">
        <f>+H565-H566</f>
        <v>1661.4499999999994</v>
      </c>
      <c r="I567" s="3">
        <v>0</v>
      </c>
      <c r="J567" s="54">
        <f t="shared" si="97"/>
        <v>1661.4499999999994</v>
      </c>
    </row>
    <row r="568" spans="1:10" x14ac:dyDescent="0.3">
      <c r="A568" t="s">
        <v>13335</v>
      </c>
      <c r="B568" s="3">
        <f>+F535</f>
        <v>4747</v>
      </c>
      <c r="C568" s="3">
        <v>0</v>
      </c>
      <c r="D568" s="3">
        <v>3.5</v>
      </c>
      <c r="E568" s="3">
        <v>0</v>
      </c>
      <c r="F568" s="3">
        <v>0</v>
      </c>
      <c r="G568" s="3">
        <f>+B568*D568*2</f>
        <v>33229</v>
      </c>
      <c r="H568" s="3">
        <v>0</v>
      </c>
      <c r="I568" s="3">
        <v>0</v>
      </c>
      <c r="J568" s="54">
        <f t="shared" si="97"/>
        <v>33229</v>
      </c>
    </row>
    <row r="569" spans="1:10" x14ac:dyDescent="0.3">
      <c r="A569" t="s">
        <v>13336</v>
      </c>
      <c r="B569" s="3">
        <f>+F535</f>
        <v>4747</v>
      </c>
      <c r="C569" s="3">
        <v>0</v>
      </c>
      <c r="D569" s="3">
        <v>3.5</v>
      </c>
      <c r="E569" s="3">
        <v>0.15</v>
      </c>
      <c r="F569" s="3">
        <v>0</v>
      </c>
      <c r="G569" s="3"/>
      <c r="H569" s="3">
        <f>+B569*D569*E569</f>
        <v>2492.1749999999997</v>
      </c>
      <c r="I569" s="3">
        <v>0</v>
      </c>
      <c r="J569" s="54">
        <f t="shared" si="97"/>
        <v>2492.1749999999997</v>
      </c>
    </row>
    <row r="570" spans="1:10" x14ac:dyDescent="0.3">
      <c r="A570" s="51"/>
      <c r="B570" s="52" t="s">
        <v>13328</v>
      </c>
      <c r="C570" s="52" t="s">
        <v>13272</v>
      </c>
      <c r="D570" s="52" t="s">
        <v>13273</v>
      </c>
      <c r="E570" s="52" t="s">
        <v>13274</v>
      </c>
      <c r="F570" s="52" t="s">
        <v>13275</v>
      </c>
      <c r="G570" s="52" t="s">
        <v>13276</v>
      </c>
      <c r="H570" s="52" t="s">
        <v>13277</v>
      </c>
      <c r="I570" s="52" t="s">
        <v>13329</v>
      </c>
      <c r="J570" s="56">
        <v>0</v>
      </c>
    </row>
    <row r="571" spans="1:10" x14ac:dyDescent="0.3">
      <c r="A571" s="3" t="s">
        <v>13337</v>
      </c>
      <c r="B571" s="3">
        <f>+F535</f>
        <v>4747</v>
      </c>
      <c r="C571" s="3"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f>+B571*2</f>
        <v>9494</v>
      </c>
      <c r="J571" s="55">
        <f t="shared" ref="J571" si="98">SUM(G571:I571)</f>
        <v>9494</v>
      </c>
    </row>
    <row r="573" spans="1:10" x14ac:dyDescent="0.3">
      <c r="A573" t="s">
        <v>21</v>
      </c>
      <c r="B573" t="str">
        <f>+'Ficha Canais'!A20</f>
        <v>Canal: CT2-S21</v>
      </c>
      <c r="E573" t="s">
        <v>13269</v>
      </c>
      <c r="F573" s="3">
        <f>+'Ficha Canais'!B20</f>
        <v>2600</v>
      </c>
      <c r="G573" t="s">
        <v>13270</v>
      </c>
      <c r="H573" t="s">
        <v>14586</v>
      </c>
      <c r="I573" s="3">
        <f>+I535</f>
        <v>5</v>
      </c>
    </row>
    <row r="574" spans="1:10" x14ac:dyDescent="0.3">
      <c r="A574" s="51"/>
      <c r="B574" s="52" t="s">
        <v>13328</v>
      </c>
      <c r="C574" s="52" t="s">
        <v>13272</v>
      </c>
      <c r="D574" s="52" t="s">
        <v>13273</v>
      </c>
      <c r="E574" s="52" t="s">
        <v>13274</v>
      </c>
      <c r="F574" s="52" t="s">
        <v>13275</v>
      </c>
      <c r="G574" s="52" t="s">
        <v>13276</v>
      </c>
      <c r="H574" s="52" t="s">
        <v>13277</v>
      </c>
      <c r="I574" s="52" t="s">
        <v>13329</v>
      </c>
      <c r="J574" s="53" t="s">
        <v>13309</v>
      </c>
    </row>
    <row r="575" spans="1:10" x14ac:dyDescent="0.3">
      <c r="A575" t="s">
        <v>13322</v>
      </c>
      <c r="B575" s="3">
        <f>+F573</f>
        <v>2600</v>
      </c>
      <c r="C575" s="3">
        <v>40</v>
      </c>
      <c r="D575" s="3">
        <v>0</v>
      </c>
      <c r="E575" s="3">
        <v>0</v>
      </c>
      <c r="F575" s="3">
        <v>0</v>
      </c>
      <c r="G575" s="49">
        <f>+B575*C575</f>
        <v>104000</v>
      </c>
      <c r="H575" s="47">
        <v>0</v>
      </c>
      <c r="I575" s="47">
        <v>0</v>
      </c>
      <c r="J575" s="54">
        <f>SUM(G575:I575)</f>
        <v>104000</v>
      </c>
    </row>
    <row r="576" spans="1:10" x14ac:dyDescent="0.3">
      <c r="A576" t="s">
        <v>13323</v>
      </c>
      <c r="B576" s="3">
        <v>0</v>
      </c>
      <c r="C576" s="3">
        <v>0</v>
      </c>
      <c r="D576" s="3">
        <v>0</v>
      </c>
      <c r="E576" s="3">
        <v>0</v>
      </c>
      <c r="F576" s="3">
        <v>0</v>
      </c>
      <c r="G576" s="3">
        <v>0</v>
      </c>
      <c r="H576" s="68">
        <v>33821.54</v>
      </c>
      <c r="I576" s="47">
        <v>0</v>
      </c>
      <c r="J576" s="54">
        <f t="shared" ref="J576:J588" si="99">SUM(G576:I576)</f>
        <v>33821.54</v>
      </c>
    </row>
    <row r="577" spans="1:10" x14ac:dyDescent="0.3">
      <c r="A577" t="s">
        <v>13271</v>
      </c>
      <c r="B577" s="3">
        <v>0</v>
      </c>
      <c r="C577" s="3">
        <v>0</v>
      </c>
      <c r="D577" s="3">
        <v>0</v>
      </c>
      <c r="E577" s="3">
        <v>0</v>
      </c>
      <c r="F577" s="3">
        <v>0</v>
      </c>
      <c r="G577" s="3">
        <v>0</v>
      </c>
      <c r="H577" s="68">
        <v>13007.64</v>
      </c>
      <c r="I577" s="47">
        <v>0</v>
      </c>
      <c r="J577" s="54">
        <f t="shared" si="99"/>
        <v>13007.64</v>
      </c>
    </row>
    <row r="578" spans="1:10" x14ac:dyDescent="0.3">
      <c r="A578" t="s">
        <v>13324</v>
      </c>
      <c r="B578" s="3">
        <v>0</v>
      </c>
      <c r="C578" s="3">
        <v>0</v>
      </c>
      <c r="D578" s="3">
        <v>0</v>
      </c>
      <c r="E578" s="3">
        <v>0</v>
      </c>
      <c r="F578" s="3">
        <v>0</v>
      </c>
      <c r="G578" s="3">
        <v>0</v>
      </c>
      <c r="H578" s="68">
        <f>-(H577-H576)*1.4*I573</f>
        <v>145697.29999999999</v>
      </c>
      <c r="I578" s="47">
        <v>0</v>
      </c>
      <c r="J578" s="54">
        <f t="shared" si="99"/>
        <v>145697.29999999999</v>
      </c>
    </row>
    <row r="579" spans="1:10" s="60" customFormat="1" x14ac:dyDescent="0.3">
      <c r="A579" s="60" t="s">
        <v>13335</v>
      </c>
      <c r="B579" s="61">
        <f>+F573</f>
        <v>2600</v>
      </c>
      <c r="C579" s="61">
        <v>0</v>
      </c>
      <c r="D579" s="61">
        <f>+'Ficha Canais'!$C$20</f>
        <v>0.8</v>
      </c>
      <c r="E579" s="61">
        <v>0</v>
      </c>
      <c r="F579" s="61">
        <v>0</v>
      </c>
      <c r="G579" s="194">
        <f>+B579*D579</f>
        <v>2080</v>
      </c>
      <c r="H579" s="62">
        <v>0</v>
      </c>
      <c r="I579" s="62"/>
      <c r="J579" s="195">
        <f t="shared" ref="J579" si="100">SUM(G579:I579)</f>
        <v>2080</v>
      </c>
    </row>
    <row r="580" spans="1:10" x14ac:dyDescent="0.3">
      <c r="A580" t="s">
        <v>13325</v>
      </c>
      <c r="B580" s="3">
        <f>+F573</f>
        <v>2600</v>
      </c>
      <c r="C580" s="3">
        <v>0</v>
      </c>
      <c r="D580" s="3">
        <v>0.8</v>
      </c>
      <c r="E580" s="3">
        <v>1.52</v>
      </c>
      <c r="F580" s="3">
        <f>(E580*1.8*2)+D580+0.8</f>
        <v>7.0720000000000001</v>
      </c>
      <c r="G580" s="69">
        <v>3313.17</v>
      </c>
      <c r="H580" s="68">
        <v>0</v>
      </c>
      <c r="I580" s="47">
        <v>0</v>
      </c>
      <c r="J580" s="54">
        <f t="shared" si="99"/>
        <v>3313.17</v>
      </c>
    </row>
    <row r="581" spans="1:10" s="60" customFormat="1" x14ac:dyDescent="0.3">
      <c r="A581" s="60" t="s">
        <v>14514</v>
      </c>
      <c r="B581" s="61">
        <f>+F573</f>
        <v>2600</v>
      </c>
      <c r="C581" s="61">
        <v>0</v>
      </c>
      <c r="D581" s="61">
        <v>0</v>
      </c>
      <c r="E581" s="61">
        <v>0</v>
      </c>
      <c r="F581" s="61">
        <v>0</v>
      </c>
      <c r="G581" s="62">
        <v>0</v>
      </c>
      <c r="H581" s="194">
        <f>+G582*0.2</f>
        <v>2650.6000000000004</v>
      </c>
      <c r="I581" s="62">
        <v>0</v>
      </c>
      <c r="J581" s="195">
        <f t="shared" ref="J581" si="101">SUM(G581:I581)</f>
        <v>2650.6000000000004</v>
      </c>
    </row>
    <row r="582" spans="1:10" x14ac:dyDescent="0.3">
      <c r="A582" t="s">
        <v>13326</v>
      </c>
      <c r="B582" s="3">
        <v>0</v>
      </c>
      <c r="C582" s="3">
        <v>0</v>
      </c>
      <c r="D582" s="3">
        <v>0</v>
      </c>
      <c r="E582" s="3">
        <v>0</v>
      </c>
      <c r="F582" s="3">
        <v>0</v>
      </c>
      <c r="G582" s="69">
        <v>13253</v>
      </c>
      <c r="H582" s="68">
        <v>0</v>
      </c>
      <c r="I582" s="47">
        <v>0</v>
      </c>
      <c r="J582" s="54">
        <f t="shared" si="99"/>
        <v>13253</v>
      </c>
    </row>
    <row r="583" spans="1:10" s="60" customFormat="1" x14ac:dyDescent="0.3">
      <c r="A583" s="60" t="s">
        <v>14515</v>
      </c>
      <c r="B583" s="61">
        <f>+F573</f>
        <v>2600</v>
      </c>
      <c r="C583" s="61">
        <v>0</v>
      </c>
      <c r="D583" s="61">
        <v>0</v>
      </c>
      <c r="E583" s="61">
        <v>0</v>
      </c>
      <c r="F583" s="61">
        <v>0</v>
      </c>
      <c r="G583" s="62">
        <v>0</v>
      </c>
      <c r="H583" s="61">
        <v>0</v>
      </c>
      <c r="I583" s="194">
        <f>+B583*2</f>
        <v>5200</v>
      </c>
      <c r="J583" s="195">
        <f>+I583</f>
        <v>5200</v>
      </c>
    </row>
    <row r="584" spans="1:10" x14ac:dyDescent="0.3">
      <c r="A584" t="s">
        <v>3042</v>
      </c>
      <c r="B584" s="3">
        <v>0</v>
      </c>
      <c r="C584" s="3">
        <v>0</v>
      </c>
      <c r="D584" s="3">
        <v>0</v>
      </c>
      <c r="E584" s="3">
        <v>0</v>
      </c>
      <c r="F584" s="3">
        <v>0</v>
      </c>
      <c r="G584" s="68">
        <v>0</v>
      </c>
      <c r="H584" s="68">
        <f>+G582*0.07</f>
        <v>927.71</v>
      </c>
      <c r="I584" s="47">
        <v>0</v>
      </c>
      <c r="J584" s="54">
        <f t="shared" si="99"/>
        <v>927.71</v>
      </c>
    </row>
    <row r="585" spans="1:10" x14ac:dyDescent="0.3">
      <c r="A585" t="s">
        <v>13327</v>
      </c>
      <c r="B585" s="3">
        <v>0</v>
      </c>
      <c r="C585" s="3">
        <v>0</v>
      </c>
      <c r="D585" s="3">
        <v>0</v>
      </c>
      <c r="E585" s="3">
        <v>0</v>
      </c>
      <c r="F585" s="3">
        <v>0</v>
      </c>
      <c r="G585" s="68">
        <v>0</v>
      </c>
      <c r="H585" s="68">
        <f>+H584</f>
        <v>927.71</v>
      </c>
      <c r="I585" s="47">
        <v>0</v>
      </c>
      <c r="J585" s="54">
        <f t="shared" si="99"/>
        <v>927.71</v>
      </c>
    </row>
    <row r="586" spans="1:10" x14ac:dyDescent="0.3">
      <c r="A586" t="s">
        <v>13278</v>
      </c>
      <c r="B586" s="3">
        <f>+F573</f>
        <v>2600</v>
      </c>
      <c r="C586" s="3">
        <v>0</v>
      </c>
      <c r="D586" s="3">
        <v>0</v>
      </c>
      <c r="E586" s="3">
        <v>0</v>
      </c>
      <c r="F586" s="47">
        <f>+F580</f>
        <v>7.0720000000000001</v>
      </c>
      <c r="G586" s="3">
        <v>0</v>
      </c>
      <c r="H586" s="3">
        <v>0</v>
      </c>
      <c r="I586" s="49">
        <f>+B586/2*F586</f>
        <v>9193.6</v>
      </c>
      <c r="J586" s="54">
        <f t="shared" si="99"/>
        <v>9193.6</v>
      </c>
    </row>
    <row r="587" spans="1:10" x14ac:dyDescent="0.3">
      <c r="A587" t="s">
        <v>13279</v>
      </c>
      <c r="B587" s="3">
        <f>+F573</f>
        <v>2600</v>
      </c>
      <c r="C587" s="3"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49">
        <f>+B587*2</f>
        <v>5200</v>
      </c>
      <c r="J587" s="54">
        <f t="shared" si="99"/>
        <v>5200</v>
      </c>
    </row>
    <row r="588" spans="1:10" x14ac:dyDescent="0.3">
      <c r="A588" t="s">
        <v>13282</v>
      </c>
      <c r="B588" s="47">
        <f>+F573</f>
        <v>2600</v>
      </c>
      <c r="C588" s="3">
        <v>12</v>
      </c>
      <c r="D588" s="3">
        <v>0</v>
      </c>
      <c r="E588" s="3">
        <v>0</v>
      </c>
      <c r="F588" s="3">
        <v>0</v>
      </c>
      <c r="G588" s="49">
        <f>+B588*C588</f>
        <v>31200</v>
      </c>
      <c r="H588" s="3">
        <v>0</v>
      </c>
      <c r="I588" s="47">
        <v>0</v>
      </c>
      <c r="J588" s="54">
        <f t="shared" si="99"/>
        <v>31200</v>
      </c>
    </row>
    <row r="589" spans="1:10" x14ac:dyDescent="0.3">
      <c r="A589" s="51"/>
      <c r="B589" s="52" t="s">
        <v>13328</v>
      </c>
      <c r="C589" s="52" t="s">
        <v>13272</v>
      </c>
      <c r="D589" s="52" t="s">
        <v>13273</v>
      </c>
      <c r="E589" s="52" t="s">
        <v>13274</v>
      </c>
      <c r="F589" s="52" t="s">
        <v>13275</v>
      </c>
      <c r="G589" s="52" t="s">
        <v>13276</v>
      </c>
      <c r="H589" s="52" t="s">
        <v>13277</v>
      </c>
      <c r="I589" s="52" t="s">
        <v>13329</v>
      </c>
      <c r="J589" s="56">
        <v>0</v>
      </c>
    </row>
    <row r="590" spans="1:10" x14ac:dyDescent="0.3">
      <c r="A590" t="s">
        <v>13330</v>
      </c>
      <c r="B590" s="3">
        <f>+F573</f>
        <v>2600</v>
      </c>
      <c r="C590" s="3">
        <v>0</v>
      </c>
      <c r="D590" s="3">
        <v>1.2</v>
      </c>
      <c r="E590" s="3">
        <v>0.7</v>
      </c>
      <c r="F590" s="3">
        <v>0</v>
      </c>
      <c r="G590" s="3">
        <v>0</v>
      </c>
      <c r="H590" s="50">
        <f>+B590*D590*E590</f>
        <v>2184</v>
      </c>
      <c r="I590" s="3">
        <v>0</v>
      </c>
      <c r="J590" s="54">
        <f t="shared" ref="J590:J596" si="102">SUM(G590:I590)</f>
        <v>2184</v>
      </c>
    </row>
    <row r="591" spans="1:10" x14ac:dyDescent="0.3">
      <c r="A591" t="s">
        <v>13310</v>
      </c>
      <c r="B591" s="3">
        <f>+F573</f>
        <v>2600</v>
      </c>
      <c r="C591" s="3"/>
      <c r="D591" s="3">
        <v>0.6</v>
      </c>
      <c r="E591" s="3">
        <v>0.6</v>
      </c>
      <c r="F591" s="3"/>
      <c r="G591" s="3"/>
      <c r="H591" s="50">
        <f>+H590-(B591*D591*E591)</f>
        <v>1248</v>
      </c>
      <c r="I591" s="3"/>
      <c r="J591" s="54">
        <f t="shared" si="102"/>
        <v>1248</v>
      </c>
    </row>
    <row r="592" spans="1:10" x14ac:dyDescent="0.3">
      <c r="A592" t="s">
        <v>13324</v>
      </c>
      <c r="B592" s="3">
        <v>0</v>
      </c>
      <c r="C592" s="3">
        <v>0</v>
      </c>
      <c r="D592" s="3">
        <v>0</v>
      </c>
      <c r="E592" s="3">
        <v>0</v>
      </c>
      <c r="F592" s="3">
        <v>0</v>
      </c>
      <c r="G592" s="3">
        <v>0</v>
      </c>
      <c r="H592" s="50">
        <f>(H590-H591)*1.4*5</f>
        <v>6551.9999999999991</v>
      </c>
      <c r="I592" s="3"/>
      <c r="J592" s="54">
        <f t="shared" si="102"/>
        <v>6551.9999999999991</v>
      </c>
    </row>
    <row r="593" spans="1:10" x14ac:dyDescent="0.3">
      <c r="A593" t="s">
        <v>13311</v>
      </c>
      <c r="B593" s="3">
        <f>+F573</f>
        <v>2600</v>
      </c>
      <c r="C593" s="3">
        <v>0</v>
      </c>
      <c r="D593" s="3">
        <v>0.6</v>
      </c>
      <c r="E593" s="3">
        <v>0.6</v>
      </c>
      <c r="F593" s="3">
        <v>0</v>
      </c>
      <c r="G593" s="50">
        <f>B593*D593*4</f>
        <v>6240</v>
      </c>
      <c r="H593" s="3">
        <v>0</v>
      </c>
      <c r="I593" s="3">
        <v>0</v>
      </c>
      <c r="J593" s="54">
        <f t="shared" si="102"/>
        <v>6240</v>
      </c>
    </row>
    <row r="594" spans="1:10" x14ac:dyDescent="0.3">
      <c r="A594" t="s">
        <v>13312</v>
      </c>
      <c r="B594" s="3">
        <f>+F573</f>
        <v>2600</v>
      </c>
      <c r="C594" s="3">
        <v>0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50">
        <f>+B594</f>
        <v>2600</v>
      </c>
      <c r="J594" s="54">
        <f t="shared" si="102"/>
        <v>2600</v>
      </c>
    </row>
    <row r="595" spans="1:10" x14ac:dyDescent="0.3">
      <c r="A595" t="s">
        <v>13313</v>
      </c>
      <c r="B595" s="3">
        <f>+F573</f>
        <v>2600</v>
      </c>
      <c r="C595" s="3">
        <v>0</v>
      </c>
      <c r="D595" s="3">
        <v>0.6</v>
      </c>
      <c r="E595" s="3">
        <v>0.6</v>
      </c>
      <c r="F595" s="3">
        <v>0</v>
      </c>
      <c r="G595" s="3">
        <v>0</v>
      </c>
      <c r="H595" s="50">
        <f>B595*D595*E595-(B595*3.14*0.4*0.4/4)</f>
        <v>609.43999999999994</v>
      </c>
      <c r="I595" s="3">
        <v>0</v>
      </c>
      <c r="J595" s="54">
        <f t="shared" si="102"/>
        <v>609.43999999999994</v>
      </c>
    </row>
    <row r="596" spans="1:10" x14ac:dyDescent="0.3">
      <c r="A596" t="s">
        <v>13320</v>
      </c>
      <c r="B596" s="3">
        <f>+F573</f>
        <v>2600</v>
      </c>
      <c r="C596" s="3">
        <v>1.2</v>
      </c>
      <c r="D596" s="3">
        <v>0</v>
      </c>
      <c r="E596" s="3">
        <v>0.1</v>
      </c>
      <c r="F596" s="3">
        <v>0</v>
      </c>
      <c r="G596" s="3">
        <v>0</v>
      </c>
      <c r="H596" s="50">
        <f>+B596*C596*E596</f>
        <v>312</v>
      </c>
      <c r="I596" s="3"/>
      <c r="J596" s="54">
        <f t="shared" si="102"/>
        <v>312</v>
      </c>
    </row>
    <row r="597" spans="1:10" x14ac:dyDescent="0.3">
      <c r="A597" s="51"/>
      <c r="B597" s="52" t="s">
        <v>13328</v>
      </c>
      <c r="C597" s="52" t="s">
        <v>13272</v>
      </c>
      <c r="D597" s="52" t="s">
        <v>13273</v>
      </c>
      <c r="E597" s="52" t="s">
        <v>13274</v>
      </c>
      <c r="F597" s="52" t="s">
        <v>13275</v>
      </c>
      <c r="G597" s="52" t="s">
        <v>13276</v>
      </c>
      <c r="H597" s="52" t="s">
        <v>13277</v>
      </c>
      <c r="I597" s="52" t="s">
        <v>13329</v>
      </c>
      <c r="J597" s="56">
        <v>0</v>
      </c>
    </row>
    <row r="598" spans="1:10" x14ac:dyDescent="0.3">
      <c r="A598" t="s">
        <v>13331</v>
      </c>
      <c r="B598" s="3">
        <f>+F573</f>
        <v>2600</v>
      </c>
      <c r="C598" s="3">
        <v>0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3">
        <f>+B598*2</f>
        <v>5200</v>
      </c>
      <c r="J598" s="54">
        <f t="shared" ref="J598:J601" si="103">SUM(G598:I598)</f>
        <v>5200</v>
      </c>
    </row>
    <row r="599" spans="1:10" x14ac:dyDescent="0.3">
      <c r="A599" t="s">
        <v>13332</v>
      </c>
      <c r="B599" s="3">
        <f>+F573</f>
        <v>2600</v>
      </c>
      <c r="C599" s="3">
        <v>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>
        <f>+B599*2</f>
        <v>5200</v>
      </c>
      <c r="J599" s="54">
        <f t="shared" si="103"/>
        <v>5200</v>
      </c>
    </row>
    <row r="600" spans="1:10" x14ac:dyDescent="0.3">
      <c r="A600" t="s">
        <v>13333</v>
      </c>
      <c r="B600" s="3">
        <v>0</v>
      </c>
      <c r="C600" s="3">
        <v>0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18.5</v>
      </c>
      <c r="J600" s="54">
        <f t="shared" si="103"/>
        <v>18.5</v>
      </c>
    </row>
    <row r="601" spans="1:10" x14ac:dyDescent="0.3">
      <c r="A601" t="s">
        <v>13334</v>
      </c>
      <c r="B601" s="3">
        <v>0</v>
      </c>
      <c r="C601" s="3">
        <v>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>
        <v>2</v>
      </c>
      <c r="J601" s="54">
        <f t="shared" si="103"/>
        <v>2</v>
      </c>
    </row>
    <row r="602" spans="1:10" x14ac:dyDescent="0.3">
      <c r="A602" s="51"/>
      <c r="B602" s="52" t="s">
        <v>13328</v>
      </c>
      <c r="C602" s="52" t="s">
        <v>13272</v>
      </c>
      <c r="D602" s="52" t="s">
        <v>13273</v>
      </c>
      <c r="E602" s="52" t="s">
        <v>13274</v>
      </c>
      <c r="F602" s="52" t="s">
        <v>13275</v>
      </c>
      <c r="G602" s="52" t="s">
        <v>13276</v>
      </c>
      <c r="H602" s="52" t="s">
        <v>13277</v>
      </c>
      <c r="I602" s="52" t="s">
        <v>13329</v>
      </c>
      <c r="J602" s="56">
        <v>0</v>
      </c>
    </row>
    <row r="603" spans="1:10" x14ac:dyDescent="0.3">
      <c r="A603" t="s">
        <v>13330</v>
      </c>
      <c r="B603" s="3">
        <f>+F573</f>
        <v>2600</v>
      </c>
      <c r="C603" s="3">
        <v>0</v>
      </c>
      <c r="D603" s="3">
        <v>3.5</v>
      </c>
      <c r="E603" s="3">
        <v>0.15</v>
      </c>
      <c r="F603" s="3">
        <v>0</v>
      </c>
      <c r="G603" s="3">
        <v>0</v>
      </c>
      <c r="H603" s="3">
        <f>+B603*D603*E603*2</f>
        <v>2730</v>
      </c>
      <c r="I603" s="3">
        <v>0</v>
      </c>
      <c r="J603" s="54">
        <f t="shared" ref="J603:J607" si="104">SUM(G603:I603)</f>
        <v>2730</v>
      </c>
    </row>
    <row r="604" spans="1:10" x14ac:dyDescent="0.3">
      <c r="A604" t="s">
        <v>13271</v>
      </c>
      <c r="B604" s="3">
        <f>+F573</f>
        <v>2600</v>
      </c>
      <c r="C604" s="3">
        <v>0</v>
      </c>
      <c r="D604" s="3">
        <v>3.5</v>
      </c>
      <c r="E604" s="3">
        <v>0.1</v>
      </c>
      <c r="F604" s="3">
        <v>0</v>
      </c>
      <c r="G604" s="3">
        <v>0</v>
      </c>
      <c r="H604" s="3">
        <f>+B604*D604*E604*2</f>
        <v>1820</v>
      </c>
      <c r="I604" s="3">
        <v>0</v>
      </c>
      <c r="J604" s="54">
        <f t="shared" si="104"/>
        <v>1820</v>
      </c>
    </row>
    <row r="605" spans="1:10" x14ac:dyDescent="0.3">
      <c r="A605" t="s">
        <v>13324</v>
      </c>
      <c r="B605" s="3">
        <v>0</v>
      </c>
      <c r="C605" s="3">
        <v>0</v>
      </c>
      <c r="D605" s="3">
        <v>0</v>
      </c>
      <c r="E605" s="3">
        <v>0</v>
      </c>
      <c r="F605" s="3">
        <v>0</v>
      </c>
      <c r="G605" s="3">
        <v>0</v>
      </c>
      <c r="H605" s="3">
        <f>+H603-H604</f>
        <v>910</v>
      </c>
      <c r="I605" s="3">
        <v>0</v>
      </c>
      <c r="J605" s="54">
        <f t="shared" si="104"/>
        <v>910</v>
      </c>
    </row>
    <row r="606" spans="1:10" x14ac:dyDescent="0.3">
      <c r="A606" t="s">
        <v>13335</v>
      </c>
      <c r="B606" s="3">
        <f>+F573</f>
        <v>2600</v>
      </c>
      <c r="C606" s="3">
        <v>0</v>
      </c>
      <c r="D606" s="3">
        <v>3.5</v>
      </c>
      <c r="E606" s="3">
        <v>0</v>
      </c>
      <c r="F606" s="3">
        <v>0</v>
      </c>
      <c r="G606" s="3">
        <f>+B606*D606*2</f>
        <v>18200</v>
      </c>
      <c r="H606" s="3">
        <v>0</v>
      </c>
      <c r="I606" s="3">
        <v>0</v>
      </c>
      <c r="J606" s="54">
        <f t="shared" si="104"/>
        <v>18200</v>
      </c>
    </row>
    <row r="607" spans="1:10" x14ac:dyDescent="0.3">
      <c r="A607" t="s">
        <v>13336</v>
      </c>
      <c r="B607" s="3">
        <f>+F573</f>
        <v>2600</v>
      </c>
      <c r="C607" s="3">
        <v>0</v>
      </c>
      <c r="D607" s="3">
        <v>3.5</v>
      </c>
      <c r="E607" s="3">
        <v>0.15</v>
      </c>
      <c r="F607" s="3">
        <v>0</v>
      </c>
      <c r="G607" s="3"/>
      <c r="H607" s="3">
        <f>+B607*D607*E607</f>
        <v>1365</v>
      </c>
      <c r="I607" s="3">
        <v>0</v>
      </c>
      <c r="J607" s="54">
        <f t="shared" si="104"/>
        <v>1365</v>
      </c>
    </row>
    <row r="608" spans="1:10" x14ac:dyDescent="0.3">
      <c r="A608" s="51"/>
      <c r="B608" s="52" t="s">
        <v>13328</v>
      </c>
      <c r="C608" s="52" t="s">
        <v>13272</v>
      </c>
      <c r="D608" s="52" t="s">
        <v>13273</v>
      </c>
      <c r="E608" s="52" t="s">
        <v>13274</v>
      </c>
      <c r="F608" s="52" t="s">
        <v>13275</v>
      </c>
      <c r="G608" s="52" t="s">
        <v>13276</v>
      </c>
      <c r="H608" s="52" t="s">
        <v>13277</v>
      </c>
      <c r="I608" s="52" t="s">
        <v>13329</v>
      </c>
      <c r="J608" s="56">
        <v>0</v>
      </c>
    </row>
    <row r="609" spans="1:10" x14ac:dyDescent="0.3">
      <c r="A609" s="3" t="s">
        <v>13337</v>
      </c>
      <c r="B609" s="3">
        <f>+F573</f>
        <v>2600</v>
      </c>
      <c r="C609" s="3"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f>+B609*2</f>
        <v>5200</v>
      </c>
      <c r="J609" s="55">
        <f t="shared" ref="J609" si="105">SUM(G609:I609)</f>
        <v>5200</v>
      </c>
    </row>
    <row r="611" spans="1:10" x14ac:dyDescent="0.3">
      <c r="A611" t="s">
        <v>13135</v>
      </c>
      <c r="B611" t="str">
        <f>+'Ficha Canais'!A25</f>
        <v>Canal: CP3 - Trecho 1</v>
      </c>
      <c r="E611" t="s">
        <v>13269</v>
      </c>
      <c r="F611" s="3">
        <f>+'Ficha Canais'!B25</f>
        <v>1950</v>
      </c>
      <c r="G611" t="s">
        <v>13270</v>
      </c>
      <c r="H611" t="s">
        <v>14586</v>
      </c>
      <c r="I611" s="3">
        <f>+I573</f>
        <v>5</v>
      </c>
    </row>
    <row r="612" spans="1:10" x14ac:dyDescent="0.3">
      <c r="A612" s="51"/>
      <c r="B612" s="52" t="s">
        <v>13328</v>
      </c>
      <c r="C612" s="52" t="s">
        <v>13272</v>
      </c>
      <c r="D612" s="52" t="s">
        <v>13273</v>
      </c>
      <c r="E612" s="52" t="s">
        <v>13274</v>
      </c>
      <c r="F612" s="52" t="s">
        <v>13275</v>
      </c>
      <c r="G612" s="52" t="s">
        <v>13276</v>
      </c>
      <c r="H612" s="52" t="s">
        <v>13277</v>
      </c>
      <c r="I612" s="52" t="s">
        <v>13329</v>
      </c>
      <c r="J612" s="53" t="s">
        <v>13309</v>
      </c>
    </row>
    <row r="613" spans="1:10" x14ac:dyDescent="0.3">
      <c r="A613" t="s">
        <v>13322</v>
      </c>
      <c r="B613" s="3">
        <f>+F611</f>
        <v>1950</v>
      </c>
      <c r="C613" s="3">
        <v>40</v>
      </c>
      <c r="D613" s="3">
        <v>0</v>
      </c>
      <c r="E613" s="3">
        <v>0</v>
      </c>
      <c r="F613" s="3">
        <v>0</v>
      </c>
      <c r="G613" s="49">
        <f>+B613*C613</f>
        <v>78000</v>
      </c>
      <c r="H613" s="47">
        <v>0</v>
      </c>
      <c r="I613" s="47">
        <v>0</v>
      </c>
      <c r="J613" s="54">
        <f>SUM(G613:I613)</f>
        <v>78000</v>
      </c>
    </row>
    <row r="614" spans="1:10" x14ac:dyDescent="0.3">
      <c r="A614" t="s">
        <v>13323</v>
      </c>
      <c r="B614" s="3">
        <v>0</v>
      </c>
      <c r="C614" s="3">
        <v>0</v>
      </c>
      <c r="D614" s="3">
        <v>0</v>
      </c>
      <c r="E614" s="3">
        <v>0</v>
      </c>
      <c r="F614" s="3">
        <v>0</v>
      </c>
      <c r="G614" s="3">
        <v>0</v>
      </c>
      <c r="H614" s="68">
        <v>1049.1099999999999</v>
      </c>
      <c r="I614" s="47">
        <v>0</v>
      </c>
      <c r="J614" s="54">
        <f t="shared" ref="J614:J626" si="106">SUM(G614:I614)</f>
        <v>1049.1099999999999</v>
      </c>
    </row>
    <row r="615" spans="1:10" x14ac:dyDescent="0.3">
      <c r="A615" t="s">
        <v>13271</v>
      </c>
      <c r="B615" s="3">
        <v>0</v>
      </c>
      <c r="C615" s="3">
        <v>0</v>
      </c>
      <c r="D615" s="3">
        <v>0</v>
      </c>
      <c r="E615" s="3">
        <v>0</v>
      </c>
      <c r="F615" s="3">
        <v>0</v>
      </c>
      <c r="G615" s="3">
        <v>0</v>
      </c>
      <c r="H615" s="68">
        <v>86734.59</v>
      </c>
      <c r="I615" s="47">
        <v>0</v>
      </c>
      <c r="J615" s="54">
        <f t="shared" si="106"/>
        <v>86734.59</v>
      </c>
    </row>
    <row r="616" spans="1:10" x14ac:dyDescent="0.3">
      <c r="A616" t="s">
        <v>13324</v>
      </c>
      <c r="B616" s="3">
        <v>0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68">
        <f>+(H615-H614)*1.4*I611</f>
        <v>599798.36</v>
      </c>
      <c r="I616" s="47">
        <v>0</v>
      </c>
      <c r="J616" s="54">
        <f t="shared" si="106"/>
        <v>599798.36</v>
      </c>
    </row>
    <row r="617" spans="1:10" s="60" customFormat="1" x14ac:dyDescent="0.3">
      <c r="A617" s="60" t="s">
        <v>13335</v>
      </c>
      <c r="B617" s="61">
        <f>+F611</f>
        <v>1950</v>
      </c>
      <c r="C617" s="61">
        <v>0</v>
      </c>
      <c r="D617" s="61">
        <f>+D618</f>
        <v>1.8</v>
      </c>
      <c r="E617" s="61">
        <v>0</v>
      </c>
      <c r="F617" s="61">
        <v>0</v>
      </c>
      <c r="G617" s="194">
        <f>+B617*D617</f>
        <v>3510</v>
      </c>
      <c r="H617" s="62">
        <v>0</v>
      </c>
      <c r="I617" s="62"/>
      <c r="J617" s="195">
        <f t="shared" ref="J617" si="107">SUM(G617:I617)</f>
        <v>3510</v>
      </c>
    </row>
    <row r="618" spans="1:10" x14ac:dyDescent="0.3">
      <c r="A618" t="s">
        <v>13325</v>
      </c>
      <c r="B618" s="3">
        <f>+F611</f>
        <v>1950</v>
      </c>
      <c r="C618" s="3">
        <v>0</v>
      </c>
      <c r="D618" s="3">
        <v>1.8</v>
      </c>
      <c r="E618" s="3">
        <v>2.5499999999999998</v>
      </c>
      <c r="F618" s="3">
        <f>(E618*1.8*2)+D618+0.8</f>
        <v>11.780000000000001</v>
      </c>
      <c r="G618" s="69">
        <v>5449.1</v>
      </c>
      <c r="H618" s="68">
        <v>0</v>
      </c>
      <c r="I618" s="47">
        <v>0</v>
      </c>
      <c r="J618" s="54">
        <f t="shared" si="106"/>
        <v>5449.1</v>
      </c>
    </row>
    <row r="619" spans="1:10" s="60" customFormat="1" x14ac:dyDescent="0.3">
      <c r="A619" s="60" t="s">
        <v>14514</v>
      </c>
      <c r="B619" s="61">
        <f>+F611</f>
        <v>1950</v>
      </c>
      <c r="C619" s="61">
        <v>0</v>
      </c>
      <c r="D619" s="61">
        <v>0</v>
      </c>
      <c r="E619" s="61">
        <v>0</v>
      </c>
      <c r="F619" s="61">
        <v>0</v>
      </c>
      <c r="G619" s="62">
        <v>0</v>
      </c>
      <c r="H619" s="194">
        <f>+G620*0.2</f>
        <v>4359.2</v>
      </c>
      <c r="I619" s="62">
        <v>0</v>
      </c>
      <c r="J619" s="195">
        <f t="shared" ref="J619" si="108">SUM(G619:I619)</f>
        <v>4359.2</v>
      </c>
    </row>
    <row r="620" spans="1:10" x14ac:dyDescent="0.3">
      <c r="A620" t="s">
        <v>13326</v>
      </c>
      <c r="B620" s="3">
        <v>0</v>
      </c>
      <c r="C620" s="3">
        <v>0</v>
      </c>
      <c r="D620" s="3">
        <v>0</v>
      </c>
      <c r="E620" s="3">
        <v>0</v>
      </c>
      <c r="F620" s="3">
        <v>0</v>
      </c>
      <c r="G620" s="69">
        <v>21796</v>
      </c>
      <c r="H620" s="68">
        <v>0</v>
      </c>
      <c r="I620" s="47">
        <v>0</v>
      </c>
      <c r="J620" s="54">
        <f t="shared" si="106"/>
        <v>21796</v>
      </c>
    </row>
    <row r="621" spans="1:10" s="60" customFormat="1" x14ac:dyDescent="0.3">
      <c r="A621" s="60" t="s">
        <v>14515</v>
      </c>
      <c r="B621" s="61">
        <f>+F611</f>
        <v>1950</v>
      </c>
      <c r="C621" s="61">
        <v>0</v>
      </c>
      <c r="D621" s="61">
        <v>0</v>
      </c>
      <c r="E621" s="61">
        <v>0</v>
      </c>
      <c r="F621" s="61">
        <v>0</v>
      </c>
      <c r="G621" s="62">
        <v>0</v>
      </c>
      <c r="H621" s="61">
        <v>0</v>
      </c>
      <c r="I621" s="194">
        <f>+B621*2</f>
        <v>3900</v>
      </c>
      <c r="J621" s="195">
        <f>+I621</f>
        <v>3900</v>
      </c>
    </row>
    <row r="622" spans="1:10" x14ac:dyDescent="0.3">
      <c r="A622" t="s">
        <v>3042</v>
      </c>
      <c r="B622" s="3">
        <v>0</v>
      </c>
      <c r="C622" s="3">
        <v>0</v>
      </c>
      <c r="D622" s="3">
        <v>0</v>
      </c>
      <c r="E622" s="3">
        <v>0</v>
      </c>
      <c r="F622" s="3">
        <v>0</v>
      </c>
      <c r="G622" s="68">
        <v>0</v>
      </c>
      <c r="H622" s="68">
        <f>+G620*0.07</f>
        <v>1525.7200000000003</v>
      </c>
      <c r="I622" s="47">
        <v>0</v>
      </c>
      <c r="J622" s="54">
        <f t="shared" si="106"/>
        <v>1525.7200000000003</v>
      </c>
    </row>
    <row r="623" spans="1:10" x14ac:dyDescent="0.3">
      <c r="A623" t="s">
        <v>13327</v>
      </c>
      <c r="B623" s="3">
        <v>0</v>
      </c>
      <c r="C623" s="3">
        <v>0</v>
      </c>
      <c r="D623" s="3">
        <v>0</v>
      </c>
      <c r="E623" s="3">
        <v>0</v>
      </c>
      <c r="F623" s="3">
        <v>0</v>
      </c>
      <c r="G623" s="68">
        <v>0</v>
      </c>
      <c r="H623" s="68">
        <f>+H622</f>
        <v>1525.7200000000003</v>
      </c>
      <c r="I623" s="47">
        <v>0</v>
      </c>
      <c r="J623" s="54">
        <f t="shared" si="106"/>
        <v>1525.7200000000003</v>
      </c>
    </row>
    <row r="624" spans="1:10" x14ac:dyDescent="0.3">
      <c r="A624" t="s">
        <v>13278</v>
      </c>
      <c r="B624" s="3">
        <f>+F611</f>
        <v>1950</v>
      </c>
      <c r="C624" s="3">
        <v>0</v>
      </c>
      <c r="D624" s="3">
        <v>0</v>
      </c>
      <c r="E624" s="3">
        <v>0</v>
      </c>
      <c r="F624" s="47">
        <f>+F618</f>
        <v>11.780000000000001</v>
      </c>
      <c r="G624" s="3">
        <v>0</v>
      </c>
      <c r="H624" s="3">
        <v>0</v>
      </c>
      <c r="I624" s="49">
        <f>+B624/2*F624</f>
        <v>11485.500000000002</v>
      </c>
      <c r="J624" s="54">
        <f t="shared" si="106"/>
        <v>11485.500000000002</v>
      </c>
    </row>
    <row r="625" spans="1:10" x14ac:dyDescent="0.3">
      <c r="A625" t="s">
        <v>13279</v>
      </c>
      <c r="B625" s="3">
        <f>+F611</f>
        <v>1950</v>
      </c>
      <c r="C625" s="3"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49">
        <f>+B625*2</f>
        <v>3900</v>
      </c>
      <c r="J625" s="54">
        <f t="shared" si="106"/>
        <v>3900</v>
      </c>
    </row>
    <row r="626" spans="1:10" x14ac:dyDescent="0.3">
      <c r="A626" t="s">
        <v>13282</v>
      </c>
      <c r="B626" s="47">
        <f>+F611</f>
        <v>1950</v>
      </c>
      <c r="C626" s="3">
        <v>12</v>
      </c>
      <c r="D626" s="3">
        <v>0</v>
      </c>
      <c r="E626" s="3">
        <v>0</v>
      </c>
      <c r="F626" s="3">
        <v>0</v>
      </c>
      <c r="G626" s="49">
        <f>+B626*C626</f>
        <v>23400</v>
      </c>
      <c r="H626" s="3">
        <v>0</v>
      </c>
      <c r="I626" s="47">
        <v>0</v>
      </c>
      <c r="J626" s="54">
        <f t="shared" si="106"/>
        <v>23400</v>
      </c>
    </row>
    <row r="627" spans="1:10" x14ac:dyDescent="0.3">
      <c r="A627" s="51"/>
      <c r="B627" s="52" t="s">
        <v>13328</v>
      </c>
      <c r="C627" s="52" t="s">
        <v>13272</v>
      </c>
      <c r="D627" s="52" t="s">
        <v>13273</v>
      </c>
      <c r="E627" s="52" t="s">
        <v>13274</v>
      </c>
      <c r="F627" s="52" t="s">
        <v>13275</v>
      </c>
      <c r="G627" s="52" t="s">
        <v>13276</v>
      </c>
      <c r="H627" s="52" t="s">
        <v>13277</v>
      </c>
      <c r="I627" s="52" t="s">
        <v>13329</v>
      </c>
      <c r="J627" s="56">
        <v>0</v>
      </c>
    </row>
    <row r="628" spans="1:10" x14ac:dyDescent="0.3">
      <c r="A628" t="s">
        <v>13330</v>
      </c>
      <c r="B628" s="3">
        <f>+F611</f>
        <v>1950</v>
      </c>
      <c r="C628" s="3">
        <v>0</v>
      </c>
      <c r="D628" s="3">
        <v>1.2</v>
      </c>
      <c r="E628" s="3">
        <v>0.7</v>
      </c>
      <c r="F628" s="3">
        <v>0</v>
      </c>
      <c r="G628" s="3">
        <v>0</v>
      </c>
      <c r="H628" s="50">
        <f>+B628*D628*E628</f>
        <v>1638</v>
      </c>
      <c r="I628" s="3">
        <v>0</v>
      </c>
      <c r="J628" s="54">
        <f t="shared" ref="J628:J634" si="109">SUM(G628:I628)</f>
        <v>1638</v>
      </c>
    </row>
    <row r="629" spans="1:10" x14ac:dyDescent="0.3">
      <c r="A629" t="s">
        <v>13310</v>
      </c>
      <c r="B629" s="3">
        <f>+F611</f>
        <v>1950</v>
      </c>
      <c r="C629" s="3"/>
      <c r="D629" s="3">
        <v>0.6</v>
      </c>
      <c r="E629" s="3">
        <v>0.6</v>
      </c>
      <c r="F629" s="3"/>
      <c r="G629" s="3"/>
      <c r="H629" s="50">
        <f>+H628-(B629*D629*E629)</f>
        <v>936</v>
      </c>
      <c r="I629" s="3"/>
      <c r="J629" s="54">
        <f t="shared" si="109"/>
        <v>936</v>
      </c>
    </row>
    <row r="630" spans="1:10" x14ac:dyDescent="0.3">
      <c r="A630" t="s">
        <v>13324</v>
      </c>
      <c r="B630" s="3">
        <v>0</v>
      </c>
      <c r="C630" s="3">
        <v>0</v>
      </c>
      <c r="D630" s="3">
        <v>0</v>
      </c>
      <c r="E630" s="3">
        <v>0</v>
      </c>
      <c r="F630" s="3">
        <v>0</v>
      </c>
      <c r="G630" s="3">
        <v>0</v>
      </c>
      <c r="H630" s="50">
        <f>(H628-H629)*1.4*5</f>
        <v>4914</v>
      </c>
      <c r="I630" s="3"/>
      <c r="J630" s="54">
        <f t="shared" si="109"/>
        <v>4914</v>
      </c>
    </row>
    <row r="631" spans="1:10" x14ac:dyDescent="0.3">
      <c r="A631" t="s">
        <v>13311</v>
      </c>
      <c r="B631" s="3">
        <f>+F611</f>
        <v>1950</v>
      </c>
      <c r="C631" s="3">
        <v>0</v>
      </c>
      <c r="D631" s="3">
        <v>0.6</v>
      </c>
      <c r="E631" s="3">
        <v>0.6</v>
      </c>
      <c r="F631" s="3">
        <v>0</v>
      </c>
      <c r="G631" s="50">
        <f>B631*D631*4</f>
        <v>4680</v>
      </c>
      <c r="H631" s="3">
        <v>0</v>
      </c>
      <c r="I631" s="3">
        <v>0</v>
      </c>
      <c r="J631" s="54">
        <f t="shared" si="109"/>
        <v>4680</v>
      </c>
    </row>
    <row r="632" spans="1:10" x14ac:dyDescent="0.3">
      <c r="A632" t="s">
        <v>13312</v>
      </c>
      <c r="B632" s="3">
        <f>+F611</f>
        <v>1950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50">
        <f>+B632</f>
        <v>1950</v>
      </c>
      <c r="J632" s="54">
        <f t="shared" si="109"/>
        <v>1950</v>
      </c>
    </row>
    <row r="633" spans="1:10" x14ac:dyDescent="0.3">
      <c r="A633" t="s">
        <v>13313</v>
      </c>
      <c r="B633" s="3">
        <f>+F611</f>
        <v>1950</v>
      </c>
      <c r="C633" s="3">
        <v>0</v>
      </c>
      <c r="D633" s="3">
        <v>0.6</v>
      </c>
      <c r="E633" s="3">
        <v>0.6</v>
      </c>
      <c r="F633" s="3">
        <v>0</v>
      </c>
      <c r="G633" s="3">
        <v>0</v>
      </c>
      <c r="H633" s="50">
        <f>B633*D633*E633-(B633*3.14*0.4*0.4/4)</f>
        <v>457.07999999999993</v>
      </c>
      <c r="I633" s="3">
        <v>0</v>
      </c>
      <c r="J633" s="54">
        <f t="shared" si="109"/>
        <v>457.07999999999993</v>
      </c>
    </row>
    <row r="634" spans="1:10" x14ac:dyDescent="0.3">
      <c r="A634" t="s">
        <v>13320</v>
      </c>
      <c r="B634" s="3">
        <f>+F611</f>
        <v>1950</v>
      </c>
      <c r="C634" s="3">
        <v>1.2</v>
      </c>
      <c r="D634" s="3">
        <v>0</v>
      </c>
      <c r="E634" s="3">
        <v>0.1</v>
      </c>
      <c r="F634" s="3">
        <v>0</v>
      </c>
      <c r="G634" s="3">
        <v>0</v>
      </c>
      <c r="H634" s="50">
        <f>+B634*C634*E634</f>
        <v>234</v>
      </c>
      <c r="I634" s="3"/>
      <c r="J634" s="54">
        <f t="shared" si="109"/>
        <v>234</v>
      </c>
    </row>
    <row r="635" spans="1:10" x14ac:dyDescent="0.3">
      <c r="A635" s="51"/>
      <c r="B635" s="52" t="s">
        <v>13328</v>
      </c>
      <c r="C635" s="52" t="s">
        <v>13272</v>
      </c>
      <c r="D635" s="52" t="s">
        <v>13273</v>
      </c>
      <c r="E635" s="52" t="s">
        <v>13274</v>
      </c>
      <c r="F635" s="52" t="s">
        <v>13275</v>
      </c>
      <c r="G635" s="52" t="s">
        <v>13276</v>
      </c>
      <c r="H635" s="52" t="s">
        <v>13277</v>
      </c>
      <c r="I635" s="52" t="s">
        <v>13329</v>
      </c>
      <c r="J635" s="56">
        <v>0</v>
      </c>
    </row>
    <row r="636" spans="1:10" x14ac:dyDescent="0.3">
      <c r="A636" t="s">
        <v>13331</v>
      </c>
      <c r="B636" s="3">
        <f>+F611</f>
        <v>1950</v>
      </c>
      <c r="C636" s="3">
        <v>0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f>+B636*2</f>
        <v>3900</v>
      </c>
      <c r="J636" s="54">
        <f t="shared" ref="J636:J639" si="110">SUM(G636:I636)</f>
        <v>3900</v>
      </c>
    </row>
    <row r="637" spans="1:10" x14ac:dyDescent="0.3">
      <c r="A637" t="s">
        <v>13332</v>
      </c>
      <c r="B637" s="3">
        <f>+F611</f>
        <v>1950</v>
      </c>
      <c r="C637" s="3"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f>+B637*2</f>
        <v>3900</v>
      </c>
      <c r="J637" s="54">
        <f t="shared" si="110"/>
        <v>3900</v>
      </c>
    </row>
    <row r="638" spans="1:10" x14ac:dyDescent="0.3">
      <c r="A638" t="s">
        <v>13333</v>
      </c>
      <c r="B638" s="3">
        <v>0</v>
      </c>
      <c r="C638" s="3">
        <v>0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f>26+25.5+26.5</f>
        <v>78</v>
      </c>
      <c r="J638" s="54">
        <f t="shared" si="110"/>
        <v>78</v>
      </c>
    </row>
    <row r="639" spans="1:10" x14ac:dyDescent="0.3">
      <c r="A639" t="s">
        <v>13334</v>
      </c>
      <c r="B639" s="3">
        <v>0</v>
      </c>
      <c r="C639" s="3">
        <v>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6</v>
      </c>
      <c r="J639" s="54">
        <f t="shared" si="110"/>
        <v>6</v>
      </c>
    </row>
    <row r="640" spans="1:10" x14ac:dyDescent="0.3">
      <c r="A640" s="51"/>
      <c r="B640" s="52" t="s">
        <v>13328</v>
      </c>
      <c r="C640" s="52" t="s">
        <v>13272</v>
      </c>
      <c r="D640" s="52" t="s">
        <v>13273</v>
      </c>
      <c r="E640" s="52" t="s">
        <v>13274</v>
      </c>
      <c r="F640" s="52" t="s">
        <v>13275</v>
      </c>
      <c r="G640" s="52" t="s">
        <v>13276</v>
      </c>
      <c r="H640" s="52" t="s">
        <v>13277</v>
      </c>
      <c r="I640" s="52" t="s">
        <v>13329</v>
      </c>
      <c r="J640" s="56">
        <v>0</v>
      </c>
    </row>
    <row r="641" spans="1:10" x14ac:dyDescent="0.3">
      <c r="A641" t="s">
        <v>13330</v>
      </c>
      <c r="B641" s="3">
        <f>+F611</f>
        <v>1950</v>
      </c>
      <c r="C641" s="3">
        <v>0</v>
      </c>
      <c r="D641" s="3">
        <v>3.5</v>
      </c>
      <c r="E641" s="3">
        <v>0.15</v>
      </c>
      <c r="F641" s="3">
        <v>0</v>
      </c>
      <c r="G641" s="3">
        <v>0</v>
      </c>
      <c r="H641" s="3">
        <f>+B641*D641*E641*2</f>
        <v>2047.5</v>
      </c>
      <c r="I641" s="3">
        <v>0</v>
      </c>
      <c r="J641" s="54">
        <f t="shared" ref="J641:J645" si="111">SUM(G641:I641)</f>
        <v>2047.5</v>
      </c>
    </row>
    <row r="642" spans="1:10" x14ac:dyDescent="0.3">
      <c r="A642" t="s">
        <v>13271</v>
      </c>
      <c r="B642" s="3">
        <f>+F611</f>
        <v>1950</v>
      </c>
      <c r="C642" s="3">
        <v>0</v>
      </c>
      <c r="D642" s="3">
        <v>3.5</v>
      </c>
      <c r="E642" s="3">
        <v>0.1</v>
      </c>
      <c r="F642" s="3">
        <v>0</v>
      </c>
      <c r="G642" s="3">
        <v>0</v>
      </c>
      <c r="H642" s="3">
        <f>+B642*D642*E642*2</f>
        <v>1365</v>
      </c>
      <c r="I642" s="3">
        <v>0</v>
      </c>
      <c r="J642" s="54">
        <f t="shared" si="111"/>
        <v>1365</v>
      </c>
    </row>
    <row r="643" spans="1:10" x14ac:dyDescent="0.3">
      <c r="A643" t="s">
        <v>13324</v>
      </c>
      <c r="B643" s="3">
        <v>0</v>
      </c>
      <c r="C643" s="3">
        <v>0</v>
      </c>
      <c r="D643" s="3">
        <v>0</v>
      </c>
      <c r="E643" s="3">
        <v>0</v>
      </c>
      <c r="F643" s="3">
        <v>0</v>
      </c>
      <c r="G643" s="3">
        <v>0</v>
      </c>
      <c r="H643" s="3">
        <f>+H641-H642</f>
        <v>682.5</v>
      </c>
      <c r="I643" s="3">
        <v>0</v>
      </c>
      <c r="J643" s="54">
        <f t="shared" si="111"/>
        <v>682.5</v>
      </c>
    </row>
    <row r="644" spans="1:10" x14ac:dyDescent="0.3">
      <c r="A644" t="s">
        <v>13335</v>
      </c>
      <c r="B644" s="3">
        <f>+F611</f>
        <v>1950</v>
      </c>
      <c r="C644" s="3">
        <v>0</v>
      </c>
      <c r="D644" s="3">
        <v>3.5</v>
      </c>
      <c r="E644" s="3">
        <v>0</v>
      </c>
      <c r="F644" s="3">
        <v>0</v>
      </c>
      <c r="G644" s="3">
        <f>+B644*D644*2</f>
        <v>13650</v>
      </c>
      <c r="H644" s="3">
        <v>0</v>
      </c>
      <c r="I644" s="3">
        <v>0</v>
      </c>
      <c r="J644" s="54">
        <f t="shared" si="111"/>
        <v>13650</v>
      </c>
    </row>
    <row r="645" spans="1:10" x14ac:dyDescent="0.3">
      <c r="A645" t="s">
        <v>13336</v>
      </c>
      <c r="B645" s="3">
        <f>+F611</f>
        <v>1950</v>
      </c>
      <c r="C645" s="3">
        <v>0</v>
      </c>
      <c r="D645" s="3">
        <v>3.5</v>
      </c>
      <c r="E645" s="3">
        <v>0.15</v>
      </c>
      <c r="F645" s="3">
        <v>0</v>
      </c>
      <c r="G645" s="3"/>
      <c r="H645" s="3">
        <f>+B645*D645*E645</f>
        <v>1023.75</v>
      </c>
      <c r="I645" s="3">
        <v>0</v>
      </c>
      <c r="J645" s="54">
        <f t="shared" si="111"/>
        <v>1023.75</v>
      </c>
    </row>
    <row r="646" spans="1:10" x14ac:dyDescent="0.3">
      <c r="A646" s="51"/>
      <c r="B646" s="52" t="s">
        <v>13328</v>
      </c>
      <c r="C646" s="52" t="s">
        <v>13272</v>
      </c>
      <c r="D646" s="52" t="s">
        <v>13273</v>
      </c>
      <c r="E646" s="52" t="s">
        <v>13274</v>
      </c>
      <c r="F646" s="52" t="s">
        <v>13275</v>
      </c>
      <c r="G646" s="52" t="s">
        <v>13276</v>
      </c>
      <c r="H646" s="52" t="s">
        <v>13277</v>
      </c>
      <c r="I646" s="52" t="s">
        <v>13329</v>
      </c>
      <c r="J646" s="56">
        <v>0</v>
      </c>
    </row>
    <row r="647" spans="1:10" x14ac:dyDescent="0.3">
      <c r="A647" s="3" t="s">
        <v>13337</v>
      </c>
      <c r="B647" s="3">
        <f>+F611</f>
        <v>1950</v>
      </c>
      <c r="C647" s="3"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f>+B647*2</f>
        <v>3900</v>
      </c>
      <c r="J647" s="55">
        <f t="shared" ref="J647" si="112">SUM(G647:I647)</f>
        <v>3900</v>
      </c>
    </row>
    <row r="649" spans="1:10" x14ac:dyDescent="0.3">
      <c r="A649" t="s">
        <v>13135</v>
      </c>
      <c r="B649" t="str">
        <f>+'Ficha Canais'!A26</f>
        <v>Canal: CP3 - Trecho 2</v>
      </c>
      <c r="E649" t="s">
        <v>13269</v>
      </c>
      <c r="F649" s="3">
        <f>+'Ficha Canais'!B26</f>
        <v>4900</v>
      </c>
      <c r="G649" t="s">
        <v>13270</v>
      </c>
      <c r="H649" t="s">
        <v>14586</v>
      </c>
      <c r="I649" s="3">
        <f>+I611</f>
        <v>5</v>
      </c>
    </row>
    <row r="650" spans="1:10" x14ac:dyDescent="0.3">
      <c r="A650" s="51"/>
      <c r="B650" s="52" t="s">
        <v>13328</v>
      </c>
      <c r="C650" s="52" t="s">
        <v>13272</v>
      </c>
      <c r="D650" s="52" t="s">
        <v>13273</v>
      </c>
      <c r="E650" s="52" t="s">
        <v>13274</v>
      </c>
      <c r="F650" s="52" t="s">
        <v>13275</v>
      </c>
      <c r="G650" s="52" t="s">
        <v>13276</v>
      </c>
      <c r="H650" s="52" t="s">
        <v>13277</v>
      </c>
      <c r="I650" s="52" t="s">
        <v>13329</v>
      </c>
      <c r="J650" s="53" t="s">
        <v>13309</v>
      </c>
    </row>
    <row r="651" spans="1:10" x14ac:dyDescent="0.3">
      <c r="A651" t="s">
        <v>13322</v>
      </c>
      <c r="B651" s="3">
        <f>+F649</f>
        <v>4900</v>
      </c>
      <c r="C651" s="3">
        <v>40</v>
      </c>
      <c r="D651" s="3">
        <v>0</v>
      </c>
      <c r="E651" s="3">
        <v>0</v>
      </c>
      <c r="F651" s="3">
        <v>0</v>
      </c>
      <c r="G651" s="49">
        <f>+B651*C651</f>
        <v>196000</v>
      </c>
      <c r="H651" s="47">
        <v>0</v>
      </c>
      <c r="I651" s="47">
        <v>0</v>
      </c>
      <c r="J651" s="54">
        <f>SUM(G651:I651)</f>
        <v>196000</v>
      </c>
    </row>
    <row r="652" spans="1:10" x14ac:dyDescent="0.3">
      <c r="A652" t="s">
        <v>13323</v>
      </c>
      <c r="B652" s="3">
        <v>0</v>
      </c>
      <c r="C652" s="3">
        <v>0</v>
      </c>
      <c r="D652" s="3">
        <v>0</v>
      </c>
      <c r="E652" s="3">
        <v>0</v>
      </c>
      <c r="F652" s="3">
        <v>0</v>
      </c>
      <c r="G652" s="3">
        <v>0</v>
      </c>
      <c r="H652" s="68">
        <v>87315.64</v>
      </c>
      <c r="I652" s="47">
        <v>0</v>
      </c>
      <c r="J652" s="54">
        <f t="shared" ref="J652:J664" si="113">SUM(G652:I652)</f>
        <v>87315.64</v>
      </c>
    </row>
    <row r="653" spans="1:10" x14ac:dyDescent="0.3">
      <c r="A653" t="s">
        <v>13271</v>
      </c>
      <c r="B653" s="3">
        <v>0</v>
      </c>
      <c r="C653" s="3">
        <v>0</v>
      </c>
      <c r="D653" s="3">
        <v>0</v>
      </c>
      <c r="E653" s="3">
        <v>0</v>
      </c>
      <c r="F653" s="3">
        <v>0</v>
      </c>
      <c r="G653" s="3">
        <v>0</v>
      </c>
      <c r="H653" s="68">
        <v>35943.57</v>
      </c>
      <c r="I653" s="47">
        <v>0</v>
      </c>
      <c r="J653" s="54">
        <f t="shared" si="113"/>
        <v>35943.57</v>
      </c>
    </row>
    <row r="654" spans="1:10" x14ac:dyDescent="0.3">
      <c r="A654" t="s">
        <v>13324</v>
      </c>
      <c r="B654" s="3">
        <v>0</v>
      </c>
      <c r="C654" s="3">
        <v>0</v>
      </c>
      <c r="D654" s="3">
        <v>0</v>
      </c>
      <c r="E654" s="3">
        <v>0</v>
      </c>
      <c r="F654" s="3">
        <v>0</v>
      </c>
      <c r="G654" s="3">
        <v>0</v>
      </c>
      <c r="H654" s="68">
        <f>-(H653-H652)*1.4*I649</f>
        <v>359604.49</v>
      </c>
      <c r="I654" s="47">
        <v>0</v>
      </c>
      <c r="J654" s="54">
        <f t="shared" si="113"/>
        <v>359604.49</v>
      </c>
    </row>
    <row r="655" spans="1:10" s="60" customFormat="1" x14ac:dyDescent="0.3">
      <c r="A655" s="60" t="s">
        <v>13335</v>
      </c>
      <c r="B655" s="61">
        <f>+F649</f>
        <v>4900</v>
      </c>
      <c r="C655" s="61">
        <v>0</v>
      </c>
      <c r="D655" s="61">
        <f>+D656</f>
        <v>1.8</v>
      </c>
      <c r="E655" s="61">
        <v>0</v>
      </c>
      <c r="F655" s="61">
        <v>0</v>
      </c>
      <c r="G655" s="194">
        <f>+B655*D655</f>
        <v>8820</v>
      </c>
      <c r="H655" s="62">
        <v>0</v>
      </c>
      <c r="I655" s="62"/>
      <c r="J655" s="195">
        <f t="shared" ref="J655" si="114">SUM(G655:I655)</f>
        <v>8820</v>
      </c>
    </row>
    <row r="656" spans="1:10" x14ac:dyDescent="0.3">
      <c r="A656" t="s">
        <v>13325</v>
      </c>
      <c r="B656" s="3">
        <f>+F649</f>
        <v>4900</v>
      </c>
      <c r="C656" s="3">
        <v>0</v>
      </c>
      <c r="D656" s="3">
        <v>1.8</v>
      </c>
      <c r="E656" s="3">
        <v>2.46</v>
      </c>
      <c r="F656" s="3">
        <f>(E656*1.8*2)+D656+0.8</f>
        <v>11.456000000000001</v>
      </c>
      <c r="G656" s="69">
        <v>13330.72</v>
      </c>
      <c r="H656" s="68">
        <v>0</v>
      </c>
      <c r="I656" s="47">
        <v>0</v>
      </c>
      <c r="J656" s="54">
        <f t="shared" si="113"/>
        <v>13330.72</v>
      </c>
    </row>
    <row r="657" spans="1:10" s="60" customFormat="1" x14ac:dyDescent="0.3">
      <c r="A657" s="60" t="s">
        <v>14514</v>
      </c>
      <c r="B657" s="61">
        <f>+F649</f>
        <v>4900</v>
      </c>
      <c r="C657" s="61">
        <v>0</v>
      </c>
      <c r="D657" s="61">
        <v>0</v>
      </c>
      <c r="E657" s="61">
        <v>0</v>
      </c>
      <c r="F657" s="61">
        <v>0</v>
      </c>
      <c r="G657" s="62">
        <v>0</v>
      </c>
      <c r="H657" s="194">
        <f>+G658*0.2</f>
        <v>10664.6</v>
      </c>
      <c r="I657" s="62">
        <v>0</v>
      </c>
      <c r="J657" s="195">
        <f t="shared" ref="J657" si="115">SUM(G657:I657)</f>
        <v>10664.6</v>
      </c>
    </row>
    <row r="658" spans="1:10" x14ac:dyDescent="0.3">
      <c r="A658" t="s">
        <v>13326</v>
      </c>
      <c r="B658" s="3">
        <v>0</v>
      </c>
      <c r="C658" s="3">
        <v>0</v>
      </c>
      <c r="D658" s="3">
        <v>0</v>
      </c>
      <c r="E658" s="3">
        <v>0</v>
      </c>
      <c r="F658" s="3">
        <v>0</v>
      </c>
      <c r="G658" s="69">
        <v>53323</v>
      </c>
      <c r="H658" s="68">
        <v>0</v>
      </c>
      <c r="I658" s="47">
        <v>0</v>
      </c>
      <c r="J658" s="54">
        <f t="shared" si="113"/>
        <v>53323</v>
      </c>
    </row>
    <row r="659" spans="1:10" s="60" customFormat="1" x14ac:dyDescent="0.3">
      <c r="A659" s="60" t="s">
        <v>14515</v>
      </c>
      <c r="B659" s="61">
        <f>+F649</f>
        <v>4900</v>
      </c>
      <c r="C659" s="61">
        <v>0</v>
      </c>
      <c r="D659" s="61">
        <v>0</v>
      </c>
      <c r="E659" s="61">
        <v>0</v>
      </c>
      <c r="F659" s="61">
        <v>0</v>
      </c>
      <c r="G659" s="62">
        <v>0</v>
      </c>
      <c r="H659" s="61">
        <v>0</v>
      </c>
      <c r="I659" s="194">
        <f>+B659*2</f>
        <v>9800</v>
      </c>
      <c r="J659" s="195">
        <f>+I659</f>
        <v>9800</v>
      </c>
    </row>
    <row r="660" spans="1:10" x14ac:dyDescent="0.3">
      <c r="A660" t="s">
        <v>3042</v>
      </c>
      <c r="B660" s="3">
        <v>0</v>
      </c>
      <c r="C660" s="3">
        <v>0</v>
      </c>
      <c r="D660" s="3">
        <v>0</v>
      </c>
      <c r="E660" s="3">
        <v>0</v>
      </c>
      <c r="F660" s="3">
        <v>0</v>
      </c>
      <c r="G660" s="68">
        <v>0</v>
      </c>
      <c r="H660" s="68">
        <f>+G658*0.07</f>
        <v>3732.6100000000006</v>
      </c>
      <c r="I660" s="47">
        <v>0</v>
      </c>
      <c r="J660" s="54">
        <f t="shared" si="113"/>
        <v>3732.6100000000006</v>
      </c>
    </row>
    <row r="661" spans="1:10" x14ac:dyDescent="0.3">
      <c r="A661" t="s">
        <v>13327</v>
      </c>
      <c r="B661" s="3">
        <v>0</v>
      </c>
      <c r="C661" s="3">
        <v>0</v>
      </c>
      <c r="D661" s="3">
        <v>0</v>
      </c>
      <c r="E661" s="3">
        <v>0</v>
      </c>
      <c r="F661" s="3">
        <v>0</v>
      </c>
      <c r="G661" s="68">
        <v>0</v>
      </c>
      <c r="H661" s="68">
        <f>+H660</f>
        <v>3732.6100000000006</v>
      </c>
      <c r="I661" s="47">
        <v>0</v>
      </c>
      <c r="J661" s="54">
        <f t="shared" si="113"/>
        <v>3732.6100000000006</v>
      </c>
    </row>
    <row r="662" spans="1:10" x14ac:dyDescent="0.3">
      <c r="A662" t="s">
        <v>13278</v>
      </c>
      <c r="B662" s="3">
        <f>+F649</f>
        <v>4900</v>
      </c>
      <c r="C662" s="3">
        <v>0</v>
      </c>
      <c r="D662" s="3">
        <v>0</v>
      </c>
      <c r="E662" s="3">
        <v>0</v>
      </c>
      <c r="F662" s="47">
        <f>+F656</f>
        <v>11.456000000000001</v>
      </c>
      <c r="G662" s="3">
        <v>0</v>
      </c>
      <c r="H662" s="3">
        <v>0</v>
      </c>
      <c r="I662" s="49">
        <f>+B662/2*F662</f>
        <v>28067.200000000004</v>
      </c>
      <c r="J662" s="54">
        <f t="shared" si="113"/>
        <v>28067.200000000004</v>
      </c>
    </row>
    <row r="663" spans="1:10" x14ac:dyDescent="0.3">
      <c r="A663" t="s">
        <v>13279</v>
      </c>
      <c r="B663" s="3">
        <f>+F649</f>
        <v>4900</v>
      </c>
      <c r="C663" s="3"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49">
        <f>+B663*2</f>
        <v>9800</v>
      </c>
      <c r="J663" s="54">
        <f t="shared" si="113"/>
        <v>9800</v>
      </c>
    </row>
    <row r="664" spans="1:10" x14ac:dyDescent="0.3">
      <c r="A664" t="s">
        <v>13282</v>
      </c>
      <c r="B664" s="47">
        <f>+F649</f>
        <v>4900</v>
      </c>
      <c r="C664" s="3">
        <v>12</v>
      </c>
      <c r="D664" s="3">
        <v>0</v>
      </c>
      <c r="E664" s="3">
        <v>0</v>
      </c>
      <c r="F664" s="3">
        <v>0</v>
      </c>
      <c r="G664" s="49">
        <f>+B664*C664</f>
        <v>58800</v>
      </c>
      <c r="H664" s="3">
        <v>0</v>
      </c>
      <c r="I664" s="47">
        <v>0</v>
      </c>
      <c r="J664" s="54">
        <f t="shared" si="113"/>
        <v>58800</v>
      </c>
    </row>
    <row r="665" spans="1:10" x14ac:dyDescent="0.3">
      <c r="A665" s="51"/>
      <c r="B665" s="52" t="s">
        <v>13328</v>
      </c>
      <c r="C665" s="52" t="s">
        <v>13272</v>
      </c>
      <c r="D665" s="52" t="s">
        <v>13273</v>
      </c>
      <c r="E665" s="52" t="s">
        <v>13274</v>
      </c>
      <c r="F665" s="52" t="s">
        <v>13275</v>
      </c>
      <c r="G665" s="52" t="s">
        <v>13276</v>
      </c>
      <c r="H665" s="52" t="s">
        <v>13277</v>
      </c>
      <c r="I665" s="52" t="s">
        <v>13329</v>
      </c>
      <c r="J665" s="56">
        <v>0</v>
      </c>
    </row>
    <row r="666" spans="1:10" x14ac:dyDescent="0.3">
      <c r="A666" t="s">
        <v>13330</v>
      </c>
      <c r="B666" s="3">
        <f>+F649</f>
        <v>4900</v>
      </c>
      <c r="C666" s="3">
        <v>0</v>
      </c>
      <c r="D666" s="3">
        <v>1.2</v>
      </c>
      <c r="E666" s="3">
        <v>0.7</v>
      </c>
      <c r="F666" s="3">
        <v>0</v>
      </c>
      <c r="G666" s="3">
        <v>0</v>
      </c>
      <c r="H666" s="50">
        <f>+B666*D666*E666</f>
        <v>4116</v>
      </c>
      <c r="I666" s="3">
        <v>0</v>
      </c>
      <c r="J666" s="54">
        <f t="shared" ref="J666:J672" si="116">SUM(G666:I666)</f>
        <v>4116</v>
      </c>
    </row>
    <row r="667" spans="1:10" x14ac:dyDescent="0.3">
      <c r="A667" t="s">
        <v>13310</v>
      </c>
      <c r="B667" s="3">
        <f>+F649</f>
        <v>4900</v>
      </c>
      <c r="C667" s="3"/>
      <c r="D667" s="3">
        <v>0.6</v>
      </c>
      <c r="E667" s="3">
        <v>0.6</v>
      </c>
      <c r="F667" s="3"/>
      <c r="G667" s="3"/>
      <c r="H667" s="50">
        <f>+H666-(B667*D667*E667)</f>
        <v>2352</v>
      </c>
      <c r="I667" s="3"/>
      <c r="J667" s="54">
        <f t="shared" si="116"/>
        <v>2352</v>
      </c>
    </row>
    <row r="668" spans="1:10" x14ac:dyDescent="0.3">
      <c r="A668" t="s">
        <v>13324</v>
      </c>
      <c r="B668" s="3">
        <v>0</v>
      </c>
      <c r="C668" s="3">
        <v>0</v>
      </c>
      <c r="D668" s="3">
        <v>0</v>
      </c>
      <c r="E668" s="3">
        <v>0</v>
      </c>
      <c r="F668" s="3">
        <v>0</v>
      </c>
      <c r="G668" s="3">
        <v>0</v>
      </c>
      <c r="H668" s="50">
        <f>(H666-H667)*1.4*5</f>
        <v>12348</v>
      </c>
      <c r="I668" s="3"/>
      <c r="J668" s="54">
        <f t="shared" si="116"/>
        <v>12348</v>
      </c>
    </row>
    <row r="669" spans="1:10" x14ac:dyDescent="0.3">
      <c r="A669" t="s">
        <v>13311</v>
      </c>
      <c r="B669" s="3">
        <f>+F649</f>
        <v>4900</v>
      </c>
      <c r="C669" s="3">
        <v>0</v>
      </c>
      <c r="D669" s="3">
        <v>0.6</v>
      </c>
      <c r="E669" s="3">
        <v>0.6</v>
      </c>
      <c r="F669" s="3">
        <v>0</v>
      </c>
      <c r="G669" s="50">
        <f>B669*D669*4</f>
        <v>11760</v>
      </c>
      <c r="H669" s="3">
        <v>0</v>
      </c>
      <c r="I669" s="3">
        <v>0</v>
      </c>
      <c r="J669" s="54">
        <f t="shared" si="116"/>
        <v>11760</v>
      </c>
    </row>
    <row r="670" spans="1:10" x14ac:dyDescent="0.3">
      <c r="A670" t="s">
        <v>13312</v>
      </c>
      <c r="B670" s="3">
        <f>+F649</f>
        <v>4900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50">
        <f>+B670</f>
        <v>4900</v>
      </c>
      <c r="J670" s="54">
        <f t="shared" si="116"/>
        <v>4900</v>
      </c>
    </row>
    <row r="671" spans="1:10" x14ac:dyDescent="0.3">
      <c r="A671" t="s">
        <v>13313</v>
      </c>
      <c r="B671" s="3">
        <f>+F649</f>
        <v>4900</v>
      </c>
      <c r="C671" s="3">
        <v>0</v>
      </c>
      <c r="D671" s="3">
        <v>0.6</v>
      </c>
      <c r="E671" s="3">
        <v>0.6</v>
      </c>
      <c r="F671" s="3">
        <v>0</v>
      </c>
      <c r="G671" s="3">
        <v>0</v>
      </c>
      <c r="H671" s="50">
        <f>B671*D671*E671-(B671*3.14*0.4*0.4/4)</f>
        <v>1148.56</v>
      </c>
      <c r="I671" s="3">
        <v>0</v>
      </c>
      <c r="J671" s="54">
        <f t="shared" si="116"/>
        <v>1148.56</v>
      </c>
    </row>
    <row r="672" spans="1:10" x14ac:dyDescent="0.3">
      <c r="A672" t="s">
        <v>13320</v>
      </c>
      <c r="B672" s="3">
        <f>+F649</f>
        <v>4900</v>
      </c>
      <c r="C672" s="3">
        <v>1.2</v>
      </c>
      <c r="D672" s="3">
        <v>0</v>
      </c>
      <c r="E672" s="3">
        <v>0.1</v>
      </c>
      <c r="F672" s="3">
        <v>0</v>
      </c>
      <c r="G672" s="3">
        <v>0</v>
      </c>
      <c r="H672" s="50">
        <f>+B672*C672*E672</f>
        <v>588</v>
      </c>
      <c r="I672" s="3"/>
      <c r="J672" s="54">
        <f t="shared" si="116"/>
        <v>588</v>
      </c>
    </row>
    <row r="673" spans="1:10" x14ac:dyDescent="0.3">
      <c r="A673" s="51"/>
      <c r="B673" s="52" t="s">
        <v>13328</v>
      </c>
      <c r="C673" s="52" t="s">
        <v>13272</v>
      </c>
      <c r="D673" s="52" t="s">
        <v>13273</v>
      </c>
      <c r="E673" s="52" t="s">
        <v>13274</v>
      </c>
      <c r="F673" s="52" t="s">
        <v>13275</v>
      </c>
      <c r="G673" s="52" t="s">
        <v>13276</v>
      </c>
      <c r="H673" s="52" t="s">
        <v>13277</v>
      </c>
      <c r="I673" s="52" t="s">
        <v>13329</v>
      </c>
      <c r="J673" s="56">
        <v>0</v>
      </c>
    </row>
    <row r="674" spans="1:10" x14ac:dyDescent="0.3">
      <c r="A674" t="s">
        <v>13331</v>
      </c>
      <c r="B674" s="3">
        <f>+F649</f>
        <v>4900</v>
      </c>
      <c r="C674" s="3">
        <v>0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f>+B674*2</f>
        <v>9800</v>
      </c>
      <c r="J674" s="54">
        <f t="shared" ref="J674:J677" si="117">SUM(G674:I674)</f>
        <v>9800</v>
      </c>
    </row>
    <row r="675" spans="1:10" x14ac:dyDescent="0.3">
      <c r="A675" t="s">
        <v>13332</v>
      </c>
      <c r="B675" s="3">
        <f>+F649</f>
        <v>4900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f>+B675*2</f>
        <v>9800</v>
      </c>
      <c r="J675" s="54">
        <f t="shared" si="117"/>
        <v>9800</v>
      </c>
    </row>
    <row r="676" spans="1:10" x14ac:dyDescent="0.3">
      <c r="A676" t="s">
        <v>13333</v>
      </c>
      <c r="B676" s="3">
        <v>0</v>
      </c>
      <c r="C676" s="3">
        <v>0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f>35+31</f>
        <v>66</v>
      </c>
      <c r="J676" s="54">
        <f t="shared" si="117"/>
        <v>66</v>
      </c>
    </row>
    <row r="677" spans="1:10" x14ac:dyDescent="0.3">
      <c r="A677" t="s">
        <v>13334</v>
      </c>
      <c r="B677" s="3">
        <v>0</v>
      </c>
      <c r="C677" s="3"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4</v>
      </c>
      <c r="J677" s="54">
        <f t="shared" si="117"/>
        <v>4</v>
      </c>
    </row>
    <row r="678" spans="1:10" x14ac:dyDescent="0.3">
      <c r="A678" s="51"/>
      <c r="B678" s="52" t="s">
        <v>13328</v>
      </c>
      <c r="C678" s="52" t="s">
        <v>13272</v>
      </c>
      <c r="D678" s="52" t="s">
        <v>13273</v>
      </c>
      <c r="E678" s="52" t="s">
        <v>13274</v>
      </c>
      <c r="F678" s="52" t="s">
        <v>13275</v>
      </c>
      <c r="G678" s="52" t="s">
        <v>13276</v>
      </c>
      <c r="H678" s="52" t="s">
        <v>13277</v>
      </c>
      <c r="I678" s="52" t="s">
        <v>13329</v>
      </c>
      <c r="J678" s="56">
        <v>0</v>
      </c>
    </row>
    <row r="679" spans="1:10" x14ac:dyDescent="0.3">
      <c r="A679" t="s">
        <v>13330</v>
      </c>
      <c r="B679" s="3">
        <f>+F649</f>
        <v>4900</v>
      </c>
      <c r="C679" s="3">
        <v>0</v>
      </c>
      <c r="D679" s="3">
        <v>3.5</v>
      </c>
      <c r="E679" s="3">
        <v>0.15</v>
      </c>
      <c r="F679" s="3">
        <v>0</v>
      </c>
      <c r="G679" s="3">
        <v>0</v>
      </c>
      <c r="H679" s="3">
        <f>+B679*D679*E679*2</f>
        <v>5145</v>
      </c>
      <c r="I679" s="3">
        <v>0</v>
      </c>
      <c r="J679" s="54">
        <f t="shared" ref="J679:J683" si="118">SUM(G679:I679)</f>
        <v>5145</v>
      </c>
    </row>
    <row r="680" spans="1:10" x14ac:dyDescent="0.3">
      <c r="A680" t="s">
        <v>13271</v>
      </c>
      <c r="B680" s="3">
        <f>+F649</f>
        <v>4900</v>
      </c>
      <c r="C680" s="3">
        <v>0</v>
      </c>
      <c r="D680" s="3">
        <v>3.5</v>
      </c>
      <c r="E680" s="3">
        <v>0.1</v>
      </c>
      <c r="F680" s="3">
        <v>0</v>
      </c>
      <c r="G680" s="3">
        <v>0</v>
      </c>
      <c r="H680" s="3">
        <f>+B680*D680*E680*2</f>
        <v>3430</v>
      </c>
      <c r="I680" s="3">
        <v>0</v>
      </c>
      <c r="J680" s="54">
        <f t="shared" si="118"/>
        <v>3430</v>
      </c>
    </row>
    <row r="681" spans="1:10" x14ac:dyDescent="0.3">
      <c r="A681" t="s">
        <v>13324</v>
      </c>
      <c r="B681" s="3">
        <v>0</v>
      </c>
      <c r="C681" s="3">
        <v>0</v>
      </c>
      <c r="D681" s="3">
        <v>0</v>
      </c>
      <c r="E681" s="3">
        <v>0</v>
      </c>
      <c r="F681" s="3">
        <v>0</v>
      </c>
      <c r="G681" s="3">
        <v>0</v>
      </c>
      <c r="H681" s="3">
        <f>+H679-H680</f>
        <v>1715</v>
      </c>
      <c r="I681" s="3">
        <v>0</v>
      </c>
      <c r="J681" s="54">
        <f t="shared" si="118"/>
        <v>1715</v>
      </c>
    </row>
    <row r="682" spans="1:10" x14ac:dyDescent="0.3">
      <c r="A682" t="s">
        <v>13335</v>
      </c>
      <c r="B682" s="3">
        <f>+F649</f>
        <v>4900</v>
      </c>
      <c r="C682" s="3">
        <v>0</v>
      </c>
      <c r="D682" s="3">
        <v>3.5</v>
      </c>
      <c r="E682" s="3">
        <v>0</v>
      </c>
      <c r="F682" s="3">
        <v>0</v>
      </c>
      <c r="G682" s="3">
        <f>+B682*D682*2</f>
        <v>34300</v>
      </c>
      <c r="H682" s="3">
        <v>0</v>
      </c>
      <c r="I682" s="3">
        <v>0</v>
      </c>
      <c r="J682" s="54">
        <f t="shared" si="118"/>
        <v>34300</v>
      </c>
    </row>
    <row r="683" spans="1:10" x14ac:dyDescent="0.3">
      <c r="A683" t="s">
        <v>13336</v>
      </c>
      <c r="B683" s="3">
        <f>+F649</f>
        <v>4900</v>
      </c>
      <c r="C683" s="3">
        <v>0</v>
      </c>
      <c r="D683" s="3">
        <v>3.5</v>
      </c>
      <c r="E683" s="3">
        <v>0.15</v>
      </c>
      <c r="F683" s="3">
        <v>0</v>
      </c>
      <c r="G683" s="3"/>
      <c r="H683" s="3">
        <f>+B683*D683*E683</f>
        <v>2572.5</v>
      </c>
      <c r="I683" s="3">
        <v>0</v>
      </c>
      <c r="J683" s="54">
        <f t="shared" si="118"/>
        <v>2572.5</v>
      </c>
    </row>
    <row r="684" spans="1:10" x14ac:dyDescent="0.3">
      <c r="A684" s="51"/>
      <c r="B684" s="52" t="s">
        <v>13328</v>
      </c>
      <c r="C684" s="52" t="s">
        <v>13272</v>
      </c>
      <c r="D684" s="52" t="s">
        <v>13273</v>
      </c>
      <c r="E684" s="52" t="s">
        <v>13274</v>
      </c>
      <c r="F684" s="52" t="s">
        <v>13275</v>
      </c>
      <c r="G684" s="52" t="s">
        <v>13276</v>
      </c>
      <c r="H684" s="52" t="s">
        <v>13277</v>
      </c>
      <c r="I684" s="52" t="s">
        <v>13329</v>
      </c>
      <c r="J684" s="56">
        <v>0</v>
      </c>
    </row>
    <row r="685" spans="1:10" x14ac:dyDescent="0.3">
      <c r="A685" s="3" t="s">
        <v>13337</v>
      </c>
      <c r="B685" s="3">
        <f>+F649</f>
        <v>4900</v>
      </c>
      <c r="C685" s="3"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f>+B685*2</f>
        <v>9800</v>
      </c>
      <c r="J685" s="55">
        <f t="shared" ref="J685" si="119">SUM(G685:I685)</f>
        <v>9800</v>
      </c>
    </row>
    <row r="687" spans="1:10" x14ac:dyDescent="0.3">
      <c r="A687" t="s">
        <v>13135</v>
      </c>
      <c r="B687" t="str">
        <f>+'Ficha Canais'!A27</f>
        <v>Canal: CP3 - Trecho 3</v>
      </c>
      <c r="E687" t="s">
        <v>13269</v>
      </c>
      <c r="F687" s="3">
        <f>+'Ficha Canais'!B27</f>
        <v>2982</v>
      </c>
      <c r="G687" t="s">
        <v>13270</v>
      </c>
      <c r="H687" t="s">
        <v>14586</v>
      </c>
      <c r="I687" s="3">
        <f>+I649</f>
        <v>5</v>
      </c>
    </row>
    <row r="688" spans="1:10" x14ac:dyDescent="0.3">
      <c r="A688" s="51"/>
      <c r="B688" s="52" t="s">
        <v>13328</v>
      </c>
      <c r="C688" s="52" t="s">
        <v>13272</v>
      </c>
      <c r="D688" s="52" t="s">
        <v>13273</v>
      </c>
      <c r="E688" s="52" t="s">
        <v>13274</v>
      </c>
      <c r="F688" s="52" t="s">
        <v>13275</v>
      </c>
      <c r="G688" s="52" t="s">
        <v>13276</v>
      </c>
      <c r="H688" s="52" t="s">
        <v>13277</v>
      </c>
      <c r="I688" s="52" t="s">
        <v>13329</v>
      </c>
      <c r="J688" s="53" t="s">
        <v>13309</v>
      </c>
    </row>
    <row r="689" spans="1:10" x14ac:dyDescent="0.3">
      <c r="A689" t="s">
        <v>13322</v>
      </c>
      <c r="B689" s="3">
        <f>+F687</f>
        <v>2982</v>
      </c>
      <c r="C689" s="3">
        <v>40</v>
      </c>
      <c r="D689" s="3">
        <v>0</v>
      </c>
      <c r="E689" s="3">
        <v>0</v>
      </c>
      <c r="F689" s="3">
        <v>0</v>
      </c>
      <c r="G689" s="49">
        <f>+B689*C689</f>
        <v>119280</v>
      </c>
      <c r="H689" s="47">
        <v>0</v>
      </c>
      <c r="I689" s="47">
        <v>0</v>
      </c>
      <c r="J689" s="54">
        <f>SUM(G689:I689)</f>
        <v>119280</v>
      </c>
    </row>
    <row r="690" spans="1:10" x14ac:dyDescent="0.3">
      <c r="A690" t="s">
        <v>13323</v>
      </c>
      <c r="B690" s="3">
        <v>0</v>
      </c>
      <c r="C690" s="3">
        <v>0</v>
      </c>
      <c r="D690" s="3">
        <v>0</v>
      </c>
      <c r="E690" s="3">
        <v>0</v>
      </c>
      <c r="F690" s="3">
        <v>0</v>
      </c>
      <c r="G690" s="3">
        <v>0</v>
      </c>
      <c r="H690" s="68">
        <v>72198.38</v>
      </c>
      <c r="I690" s="47">
        <v>0</v>
      </c>
      <c r="J690" s="54">
        <f t="shared" ref="J690:J702" si="120">SUM(G690:I690)</f>
        <v>72198.38</v>
      </c>
    </row>
    <row r="691" spans="1:10" x14ac:dyDescent="0.3">
      <c r="A691" t="s">
        <v>13271</v>
      </c>
      <c r="B691" s="3">
        <v>0</v>
      </c>
      <c r="C691" s="3">
        <v>0</v>
      </c>
      <c r="D691" s="3">
        <v>0</v>
      </c>
      <c r="E691" s="3">
        <v>0</v>
      </c>
      <c r="F691" s="3">
        <v>0</v>
      </c>
      <c r="G691" s="3">
        <v>0</v>
      </c>
      <c r="H691" s="68">
        <v>10868.67</v>
      </c>
      <c r="I691" s="47">
        <v>0</v>
      </c>
      <c r="J691" s="54">
        <f t="shared" si="120"/>
        <v>10868.67</v>
      </c>
    </row>
    <row r="692" spans="1:10" x14ac:dyDescent="0.3">
      <c r="A692" t="s">
        <v>13324</v>
      </c>
      <c r="B692" s="3">
        <v>0</v>
      </c>
      <c r="C692" s="3">
        <v>0</v>
      </c>
      <c r="D692" s="3">
        <v>0</v>
      </c>
      <c r="E692" s="3">
        <v>0</v>
      </c>
      <c r="F692" s="3">
        <v>0</v>
      </c>
      <c r="G692" s="3">
        <v>0</v>
      </c>
      <c r="H692" s="68">
        <f>-(H691-H690)*1.4*I687</f>
        <v>429307.97</v>
      </c>
      <c r="I692" s="47">
        <v>0</v>
      </c>
      <c r="J692" s="54">
        <f t="shared" si="120"/>
        <v>429307.97</v>
      </c>
    </row>
    <row r="693" spans="1:10" s="60" customFormat="1" x14ac:dyDescent="0.3">
      <c r="A693" s="60" t="s">
        <v>13335</v>
      </c>
      <c r="B693" s="61">
        <f>+F687</f>
        <v>2982</v>
      </c>
      <c r="C693" s="61">
        <v>0</v>
      </c>
      <c r="D693" s="61">
        <f>+D694</f>
        <v>1.5</v>
      </c>
      <c r="E693" s="61">
        <v>0</v>
      </c>
      <c r="F693" s="61">
        <v>0</v>
      </c>
      <c r="G693" s="194">
        <f>+B693*D693</f>
        <v>4473</v>
      </c>
      <c r="H693" s="62">
        <v>0</v>
      </c>
      <c r="I693" s="62"/>
      <c r="J693" s="195">
        <f t="shared" ref="J693" si="121">SUM(G693:I693)</f>
        <v>4473</v>
      </c>
    </row>
    <row r="694" spans="1:10" x14ac:dyDescent="0.3">
      <c r="A694" t="s">
        <v>13325</v>
      </c>
      <c r="B694" s="3">
        <f>+F687</f>
        <v>2982</v>
      </c>
      <c r="C694" s="3">
        <v>0</v>
      </c>
      <c r="D694" s="3">
        <v>1.5</v>
      </c>
      <c r="E694" s="3">
        <v>2.06</v>
      </c>
      <c r="F694" s="3">
        <f>(E694*1.8*2)+D694+0.8</f>
        <v>9.7160000000000011</v>
      </c>
      <c r="G694" s="69">
        <v>6469.92</v>
      </c>
      <c r="H694" s="68">
        <v>0</v>
      </c>
      <c r="I694" s="47">
        <v>0</v>
      </c>
      <c r="J694" s="54">
        <f t="shared" si="120"/>
        <v>6469.92</v>
      </c>
    </row>
    <row r="695" spans="1:10" s="60" customFormat="1" x14ac:dyDescent="0.3">
      <c r="A695" s="60" t="s">
        <v>14514</v>
      </c>
      <c r="B695" s="61">
        <f>+F687</f>
        <v>2982</v>
      </c>
      <c r="C695" s="61">
        <v>0</v>
      </c>
      <c r="D695" s="61">
        <v>0</v>
      </c>
      <c r="E695" s="61">
        <v>0</v>
      </c>
      <c r="F695" s="61">
        <v>0</v>
      </c>
      <c r="G695" s="62">
        <v>0</v>
      </c>
      <c r="H695" s="194">
        <f>+G696*0.2</f>
        <v>5176</v>
      </c>
      <c r="I695" s="62">
        <v>0</v>
      </c>
      <c r="J695" s="195">
        <f t="shared" ref="J695" si="122">SUM(G695:I695)</f>
        <v>5176</v>
      </c>
    </row>
    <row r="696" spans="1:10" x14ac:dyDescent="0.3">
      <c r="A696" t="s">
        <v>13326</v>
      </c>
      <c r="B696" s="3">
        <v>0</v>
      </c>
      <c r="C696" s="3">
        <v>0</v>
      </c>
      <c r="D696" s="3">
        <v>0</v>
      </c>
      <c r="E696" s="3">
        <v>0</v>
      </c>
      <c r="F696" s="3">
        <v>0</v>
      </c>
      <c r="G696" s="69">
        <v>25880</v>
      </c>
      <c r="H696" s="68">
        <v>0</v>
      </c>
      <c r="I696" s="47">
        <v>0</v>
      </c>
      <c r="J696" s="54">
        <f t="shared" si="120"/>
        <v>25880</v>
      </c>
    </row>
    <row r="697" spans="1:10" s="60" customFormat="1" x14ac:dyDescent="0.3">
      <c r="A697" s="60" t="s">
        <v>14515</v>
      </c>
      <c r="B697" s="61">
        <f>+F687</f>
        <v>2982</v>
      </c>
      <c r="C697" s="61">
        <v>0</v>
      </c>
      <c r="D697" s="61">
        <v>0</v>
      </c>
      <c r="E697" s="61">
        <v>0</v>
      </c>
      <c r="F697" s="61">
        <v>0</v>
      </c>
      <c r="G697" s="62">
        <v>0</v>
      </c>
      <c r="H697" s="61">
        <v>0</v>
      </c>
      <c r="I697" s="194">
        <f>+B697*2</f>
        <v>5964</v>
      </c>
      <c r="J697" s="195">
        <f>+I697</f>
        <v>5964</v>
      </c>
    </row>
    <row r="698" spans="1:10" x14ac:dyDescent="0.3">
      <c r="A698" t="s">
        <v>3042</v>
      </c>
      <c r="B698" s="3">
        <v>0</v>
      </c>
      <c r="C698" s="3">
        <v>0</v>
      </c>
      <c r="D698" s="3">
        <v>0</v>
      </c>
      <c r="E698" s="3">
        <v>0</v>
      </c>
      <c r="F698" s="3">
        <v>0</v>
      </c>
      <c r="G698" s="68">
        <v>0</v>
      </c>
      <c r="H698" s="68">
        <f>+G696*0.07</f>
        <v>1811.6000000000001</v>
      </c>
      <c r="I698" s="47">
        <v>0</v>
      </c>
      <c r="J698" s="54">
        <f t="shared" si="120"/>
        <v>1811.6000000000001</v>
      </c>
    </row>
    <row r="699" spans="1:10" x14ac:dyDescent="0.3">
      <c r="A699" t="s">
        <v>13327</v>
      </c>
      <c r="B699" s="3">
        <v>0</v>
      </c>
      <c r="C699" s="3">
        <v>0</v>
      </c>
      <c r="D699" s="3">
        <v>0</v>
      </c>
      <c r="E699" s="3">
        <v>0</v>
      </c>
      <c r="F699" s="3">
        <v>0</v>
      </c>
      <c r="G699" s="68">
        <v>0</v>
      </c>
      <c r="H699" s="68">
        <f>+H698</f>
        <v>1811.6000000000001</v>
      </c>
      <c r="I699" s="47">
        <v>0</v>
      </c>
      <c r="J699" s="54">
        <f t="shared" si="120"/>
        <v>1811.6000000000001</v>
      </c>
    </row>
    <row r="700" spans="1:10" x14ac:dyDescent="0.3">
      <c r="A700" t="s">
        <v>13278</v>
      </c>
      <c r="B700" s="3">
        <f>+F687</f>
        <v>2982</v>
      </c>
      <c r="C700" s="3">
        <v>0</v>
      </c>
      <c r="D700" s="3">
        <v>0</v>
      </c>
      <c r="E700" s="3">
        <v>0</v>
      </c>
      <c r="F700" s="47">
        <f>+F694</f>
        <v>9.7160000000000011</v>
      </c>
      <c r="G700" s="3">
        <v>0</v>
      </c>
      <c r="H700" s="3">
        <v>0</v>
      </c>
      <c r="I700" s="49">
        <f>+B700/2*F700</f>
        <v>14486.556000000002</v>
      </c>
      <c r="J700" s="54">
        <f t="shared" si="120"/>
        <v>14486.556000000002</v>
      </c>
    </row>
    <row r="701" spans="1:10" x14ac:dyDescent="0.3">
      <c r="A701" t="s">
        <v>13279</v>
      </c>
      <c r="B701" s="3">
        <f>+F687</f>
        <v>2982</v>
      </c>
      <c r="C701" s="3"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49">
        <f>+B701*2</f>
        <v>5964</v>
      </c>
      <c r="J701" s="54">
        <f t="shared" si="120"/>
        <v>5964</v>
      </c>
    </row>
    <row r="702" spans="1:10" x14ac:dyDescent="0.3">
      <c r="A702" t="s">
        <v>13282</v>
      </c>
      <c r="B702" s="47">
        <f>+F687</f>
        <v>2982</v>
      </c>
      <c r="C702" s="3">
        <v>12</v>
      </c>
      <c r="D702" s="3">
        <v>0</v>
      </c>
      <c r="E702" s="3">
        <v>0</v>
      </c>
      <c r="F702" s="3">
        <v>0</v>
      </c>
      <c r="G702" s="49">
        <f>+B702*C702</f>
        <v>35784</v>
      </c>
      <c r="H702" s="3">
        <v>0</v>
      </c>
      <c r="I702" s="47">
        <v>0</v>
      </c>
      <c r="J702" s="54">
        <f t="shared" si="120"/>
        <v>35784</v>
      </c>
    </row>
    <row r="703" spans="1:10" x14ac:dyDescent="0.3">
      <c r="A703" s="51"/>
      <c r="B703" s="52" t="s">
        <v>13328</v>
      </c>
      <c r="C703" s="52" t="s">
        <v>13272</v>
      </c>
      <c r="D703" s="52" t="s">
        <v>13273</v>
      </c>
      <c r="E703" s="52" t="s">
        <v>13274</v>
      </c>
      <c r="F703" s="52" t="s">
        <v>13275</v>
      </c>
      <c r="G703" s="52" t="s">
        <v>13276</v>
      </c>
      <c r="H703" s="52" t="s">
        <v>13277</v>
      </c>
      <c r="I703" s="52" t="s">
        <v>13329</v>
      </c>
      <c r="J703" s="56">
        <v>0</v>
      </c>
    </row>
    <row r="704" spans="1:10" x14ac:dyDescent="0.3">
      <c r="A704" t="s">
        <v>13330</v>
      </c>
      <c r="B704" s="3">
        <f>+F687</f>
        <v>2982</v>
      </c>
      <c r="C704" s="3">
        <v>0</v>
      </c>
      <c r="D704" s="3">
        <v>1.2</v>
      </c>
      <c r="E704" s="3">
        <v>0.7</v>
      </c>
      <c r="F704" s="3">
        <v>0</v>
      </c>
      <c r="G704" s="3">
        <v>0</v>
      </c>
      <c r="H704" s="50">
        <f>+B704*D704*E704</f>
        <v>2504.88</v>
      </c>
      <c r="I704" s="3">
        <v>0</v>
      </c>
      <c r="J704" s="54">
        <f t="shared" ref="J704:J710" si="123">SUM(G704:I704)</f>
        <v>2504.88</v>
      </c>
    </row>
    <row r="705" spans="1:10" x14ac:dyDescent="0.3">
      <c r="A705" t="s">
        <v>13310</v>
      </c>
      <c r="B705" s="3">
        <f>+F687</f>
        <v>2982</v>
      </c>
      <c r="C705" s="3"/>
      <c r="D705" s="3">
        <v>0.6</v>
      </c>
      <c r="E705" s="3">
        <v>0.6</v>
      </c>
      <c r="F705" s="3"/>
      <c r="G705" s="3"/>
      <c r="H705" s="50">
        <f>+H704-(B705*D705*E705)</f>
        <v>1431.3600000000001</v>
      </c>
      <c r="I705" s="3"/>
      <c r="J705" s="54">
        <f t="shared" si="123"/>
        <v>1431.3600000000001</v>
      </c>
    </row>
    <row r="706" spans="1:10" x14ac:dyDescent="0.3">
      <c r="A706" t="s">
        <v>13324</v>
      </c>
      <c r="B706" s="3">
        <v>0</v>
      </c>
      <c r="C706" s="3">
        <v>0</v>
      </c>
      <c r="D706" s="3">
        <v>0</v>
      </c>
      <c r="E706" s="3">
        <v>0</v>
      </c>
      <c r="F706" s="3">
        <v>0</v>
      </c>
      <c r="G706" s="3">
        <v>0</v>
      </c>
      <c r="H706" s="50">
        <f>(H704-H705)*1.4*5</f>
        <v>7514.6399999999994</v>
      </c>
      <c r="I706" s="3"/>
      <c r="J706" s="54">
        <f t="shared" si="123"/>
        <v>7514.6399999999994</v>
      </c>
    </row>
    <row r="707" spans="1:10" x14ac:dyDescent="0.3">
      <c r="A707" t="s">
        <v>13311</v>
      </c>
      <c r="B707" s="3">
        <f>+F687</f>
        <v>2982</v>
      </c>
      <c r="C707" s="3">
        <v>0</v>
      </c>
      <c r="D707" s="3">
        <v>0.6</v>
      </c>
      <c r="E707" s="3">
        <v>0.6</v>
      </c>
      <c r="F707" s="3">
        <v>0</v>
      </c>
      <c r="G707" s="50">
        <f>B707*D707*4</f>
        <v>7156.8</v>
      </c>
      <c r="H707" s="3">
        <v>0</v>
      </c>
      <c r="I707" s="3">
        <v>0</v>
      </c>
      <c r="J707" s="54">
        <f t="shared" si="123"/>
        <v>7156.8</v>
      </c>
    </row>
    <row r="708" spans="1:10" x14ac:dyDescent="0.3">
      <c r="A708" t="s">
        <v>13312</v>
      </c>
      <c r="B708" s="3">
        <f>+F687</f>
        <v>2982</v>
      </c>
      <c r="C708" s="3">
        <v>0</v>
      </c>
      <c r="D708" s="3">
        <v>0</v>
      </c>
      <c r="E708" s="3">
        <v>0</v>
      </c>
      <c r="F708" s="3">
        <v>0</v>
      </c>
      <c r="G708" s="3">
        <v>0</v>
      </c>
      <c r="H708" s="3">
        <v>0</v>
      </c>
      <c r="I708" s="50">
        <f>+B708</f>
        <v>2982</v>
      </c>
      <c r="J708" s="54">
        <f t="shared" si="123"/>
        <v>2982</v>
      </c>
    </row>
    <row r="709" spans="1:10" x14ac:dyDescent="0.3">
      <c r="A709" t="s">
        <v>13313</v>
      </c>
      <c r="B709" s="3">
        <f>+F687</f>
        <v>2982</v>
      </c>
      <c r="C709" s="3">
        <v>0</v>
      </c>
      <c r="D709" s="3">
        <v>0.6</v>
      </c>
      <c r="E709" s="3">
        <v>0.6</v>
      </c>
      <c r="F709" s="3">
        <v>0</v>
      </c>
      <c r="G709" s="3">
        <v>0</v>
      </c>
      <c r="H709" s="50">
        <f>B709*D709*E709-(B709*3.14*0.4*0.4/4)</f>
        <v>698.98080000000004</v>
      </c>
      <c r="I709" s="3">
        <v>0</v>
      </c>
      <c r="J709" s="54">
        <f t="shared" si="123"/>
        <v>698.98080000000004</v>
      </c>
    </row>
    <row r="710" spans="1:10" x14ac:dyDescent="0.3">
      <c r="A710" t="s">
        <v>13320</v>
      </c>
      <c r="B710" s="3">
        <f>+F687</f>
        <v>2982</v>
      </c>
      <c r="C710" s="3">
        <v>1.2</v>
      </c>
      <c r="D710" s="3">
        <v>0</v>
      </c>
      <c r="E710" s="3">
        <v>0.1</v>
      </c>
      <c r="F710" s="3">
        <v>0</v>
      </c>
      <c r="G710" s="3">
        <v>0</v>
      </c>
      <c r="H710" s="50">
        <f>+B710*C710*E710</f>
        <v>357.84000000000003</v>
      </c>
      <c r="I710" s="3"/>
      <c r="J710" s="54">
        <f t="shared" si="123"/>
        <v>357.84000000000003</v>
      </c>
    </row>
    <row r="711" spans="1:10" x14ac:dyDescent="0.3">
      <c r="A711" s="51"/>
      <c r="B711" s="52" t="s">
        <v>13328</v>
      </c>
      <c r="C711" s="52" t="s">
        <v>13272</v>
      </c>
      <c r="D711" s="52" t="s">
        <v>13273</v>
      </c>
      <c r="E711" s="52" t="s">
        <v>13274</v>
      </c>
      <c r="F711" s="52" t="s">
        <v>13275</v>
      </c>
      <c r="G711" s="52" t="s">
        <v>13276</v>
      </c>
      <c r="H711" s="52" t="s">
        <v>13277</v>
      </c>
      <c r="I711" s="52" t="s">
        <v>13329</v>
      </c>
      <c r="J711" s="56">
        <v>0</v>
      </c>
    </row>
    <row r="712" spans="1:10" x14ac:dyDescent="0.3">
      <c r="A712" t="s">
        <v>13331</v>
      </c>
      <c r="B712" s="3">
        <f>+F687</f>
        <v>2982</v>
      </c>
      <c r="C712" s="3">
        <v>0</v>
      </c>
      <c r="D712" s="3">
        <v>0</v>
      </c>
      <c r="E712" s="3">
        <v>0</v>
      </c>
      <c r="F712" s="3">
        <v>0</v>
      </c>
      <c r="G712" s="3">
        <v>0</v>
      </c>
      <c r="H712" s="3">
        <v>0</v>
      </c>
      <c r="I712" s="3">
        <f>+B712*2</f>
        <v>5964</v>
      </c>
      <c r="J712" s="54">
        <f t="shared" ref="J712:J715" si="124">SUM(G712:I712)</f>
        <v>5964</v>
      </c>
    </row>
    <row r="713" spans="1:10" x14ac:dyDescent="0.3">
      <c r="A713" t="s">
        <v>13332</v>
      </c>
      <c r="B713" s="3">
        <f>+F687</f>
        <v>2982</v>
      </c>
      <c r="C713" s="3">
        <v>0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f>+B713*2</f>
        <v>5964</v>
      </c>
      <c r="J713" s="54">
        <f t="shared" si="124"/>
        <v>5964</v>
      </c>
    </row>
    <row r="714" spans="1:10" x14ac:dyDescent="0.3">
      <c r="A714" t="s">
        <v>13333</v>
      </c>
      <c r="B714" s="3">
        <v>0</v>
      </c>
      <c r="C714" s="3">
        <v>0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54">
        <f t="shared" si="124"/>
        <v>0</v>
      </c>
    </row>
    <row r="715" spans="1:10" x14ac:dyDescent="0.3">
      <c r="A715" t="s">
        <v>13334</v>
      </c>
      <c r="B715" s="3">
        <v>0</v>
      </c>
      <c r="C715" s="3">
        <v>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54">
        <f t="shared" si="124"/>
        <v>0</v>
      </c>
    </row>
    <row r="716" spans="1:10" x14ac:dyDescent="0.3">
      <c r="A716" s="51"/>
      <c r="B716" s="52" t="s">
        <v>13328</v>
      </c>
      <c r="C716" s="52" t="s">
        <v>13272</v>
      </c>
      <c r="D716" s="52" t="s">
        <v>13273</v>
      </c>
      <c r="E716" s="52" t="s">
        <v>13274</v>
      </c>
      <c r="F716" s="52" t="s">
        <v>13275</v>
      </c>
      <c r="G716" s="52" t="s">
        <v>13276</v>
      </c>
      <c r="H716" s="52" t="s">
        <v>13277</v>
      </c>
      <c r="I716" s="52" t="s">
        <v>13329</v>
      </c>
      <c r="J716" s="56">
        <v>0</v>
      </c>
    </row>
    <row r="717" spans="1:10" x14ac:dyDescent="0.3">
      <c r="A717" t="s">
        <v>13330</v>
      </c>
      <c r="B717" s="3">
        <f>+F687</f>
        <v>2982</v>
      </c>
      <c r="C717" s="3">
        <v>0</v>
      </c>
      <c r="D717" s="3">
        <v>3.5</v>
      </c>
      <c r="E717" s="3">
        <v>0.15</v>
      </c>
      <c r="F717" s="3">
        <v>0</v>
      </c>
      <c r="G717" s="3">
        <v>0</v>
      </c>
      <c r="H717" s="3">
        <f>+B717*D717*E717*2</f>
        <v>3131.1</v>
      </c>
      <c r="I717" s="3">
        <v>0</v>
      </c>
      <c r="J717" s="54">
        <f t="shared" ref="J717:J721" si="125">SUM(G717:I717)</f>
        <v>3131.1</v>
      </c>
    </row>
    <row r="718" spans="1:10" x14ac:dyDescent="0.3">
      <c r="A718" t="s">
        <v>13271</v>
      </c>
      <c r="B718" s="3">
        <f>+F687</f>
        <v>2982</v>
      </c>
      <c r="C718" s="3">
        <v>0</v>
      </c>
      <c r="D718" s="3">
        <v>3.5</v>
      </c>
      <c r="E718" s="3">
        <v>0.1</v>
      </c>
      <c r="F718" s="3">
        <v>0</v>
      </c>
      <c r="G718" s="3">
        <v>0</v>
      </c>
      <c r="H718" s="3">
        <f>+B718*D718*E718*2</f>
        <v>2087.4</v>
      </c>
      <c r="I718" s="3">
        <v>0</v>
      </c>
      <c r="J718" s="54">
        <f t="shared" si="125"/>
        <v>2087.4</v>
      </c>
    </row>
    <row r="719" spans="1:10" x14ac:dyDescent="0.3">
      <c r="A719" t="s">
        <v>13324</v>
      </c>
      <c r="B719" s="3">
        <v>0</v>
      </c>
      <c r="C719" s="3">
        <v>0</v>
      </c>
      <c r="D719" s="3">
        <v>0</v>
      </c>
      <c r="E719" s="3">
        <v>0</v>
      </c>
      <c r="F719" s="3">
        <v>0</v>
      </c>
      <c r="G719" s="3">
        <v>0</v>
      </c>
      <c r="H719" s="3">
        <f>+H717-H718</f>
        <v>1043.6999999999998</v>
      </c>
      <c r="I719" s="3">
        <v>0</v>
      </c>
      <c r="J719" s="54">
        <f t="shared" si="125"/>
        <v>1043.6999999999998</v>
      </c>
    </row>
    <row r="720" spans="1:10" x14ac:dyDescent="0.3">
      <c r="A720" t="s">
        <v>13335</v>
      </c>
      <c r="B720" s="3">
        <f>+F687</f>
        <v>2982</v>
      </c>
      <c r="C720" s="3">
        <v>0</v>
      </c>
      <c r="D720" s="3">
        <v>3.5</v>
      </c>
      <c r="E720" s="3">
        <v>0</v>
      </c>
      <c r="F720" s="3">
        <v>0</v>
      </c>
      <c r="G720" s="3">
        <f>+B720*D720*2</f>
        <v>20874</v>
      </c>
      <c r="H720" s="3">
        <v>0</v>
      </c>
      <c r="I720" s="3">
        <v>0</v>
      </c>
      <c r="J720" s="54">
        <f t="shared" si="125"/>
        <v>20874</v>
      </c>
    </row>
    <row r="721" spans="1:10" x14ac:dyDescent="0.3">
      <c r="A721" t="s">
        <v>13336</v>
      </c>
      <c r="B721" s="3">
        <f>+F687</f>
        <v>2982</v>
      </c>
      <c r="C721" s="3">
        <v>0</v>
      </c>
      <c r="D721" s="3">
        <v>3.5</v>
      </c>
      <c r="E721" s="3">
        <v>0.15</v>
      </c>
      <c r="F721" s="3">
        <v>0</v>
      </c>
      <c r="G721" s="3"/>
      <c r="H721" s="3">
        <f>+B721*D721*E721</f>
        <v>1565.55</v>
      </c>
      <c r="I721" s="3">
        <v>0</v>
      </c>
      <c r="J721" s="54">
        <f t="shared" si="125"/>
        <v>1565.55</v>
      </c>
    </row>
    <row r="722" spans="1:10" x14ac:dyDescent="0.3">
      <c r="A722" s="51"/>
      <c r="B722" s="52" t="s">
        <v>13328</v>
      </c>
      <c r="C722" s="52" t="s">
        <v>13272</v>
      </c>
      <c r="D722" s="52" t="s">
        <v>13273</v>
      </c>
      <c r="E722" s="52" t="s">
        <v>13274</v>
      </c>
      <c r="F722" s="52" t="s">
        <v>13275</v>
      </c>
      <c r="G722" s="52" t="s">
        <v>13276</v>
      </c>
      <c r="H722" s="52" t="s">
        <v>13277</v>
      </c>
      <c r="I722" s="52" t="s">
        <v>13329</v>
      </c>
      <c r="J722" s="56">
        <v>0</v>
      </c>
    </row>
    <row r="723" spans="1:10" x14ac:dyDescent="0.3">
      <c r="A723" s="3" t="s">
        <v>13337</v>
      </c>
      <c r="B723" s="3">
        <f>+F687</f>
        <v>2982</v>
      </c>
      <c r="C723" s="3">
        <v>0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f>+B723*2</f>
        <v>5964</v>
      </c>
      <c r="J723" s="55">
        <f t="shared" ref="J723" si="126">SUM(G723:I723)</f>
        <v>5964</v>
      </c>
    </row>
    <row r="725" spans="1:10" x14ac:dyDescent="0.3">
      <c r="A725" t="s">
        <v>13135</v>
      </c>
      <c r="B725" t="str">
        <f>+'Ficha Canais'!A28</f>
        <v>Canal: CP3a - Trecho 1</v>
      </c>
      <c r="E725" t="s">
        <v>13269</v>
      </c>
      <c r="F725" s="3">
        <f>+'Ficha Canais'!B28</f>
        <v>5000</v>
      </c>
      <c r="G725" t="s">
        <v>13270</v>
      </c>
      <c r="H725" t="s">
        <v>14586</v>
      </c>
      <c r="I725" s="3">
        <f>+I687</f>
        <v>5</v>
      </c>
    </row>
    <row r="726" spans="1:10" x14ac:dyDescent="0.3">
      <c r="A726" s="51"/>
      <c r="B726" s="52" t="s">
        <v>13328</v>
      </c>
      <c r="C726" s="52" t="s">
        <v>13272</v>
      </c>
      <c r="D726" s="52" t="s">
        <v>13273</v>
      </c>
      <c r="E726" s="52" t="s">
        <v>13274</v>
      </c>
      <c r="F726" s="52" t="s">
        <v>13275</v>
      </c>
      <c r="G726" s="52" t="s">
        <v>13276</v>
      </c>
      <c r="H726" s="52" t="s">
        <v>13277</v>
      </c>
      <c r="I726" s="52" t="s">
        <v>13329</v>
      </c>
      <c r="J726" s="53" t="s">
        <v>13309</v>
      </c>
    </row>
    <row r="727" spans="1:10" x14ac:dyDescent="0.3">
      <c r="A727" t="s">
        <v>13322</v>
      </c>
      <c r="B727" s="3">
        <f>+F725</f>
        <v>5000</v>
      </c>
      <c r="C727" s="3">
        <v>40</v>
      </c>
      <c r="D727" s="3">
        <v>0</v>
      </c>
      <c r="E727" s="3">
        <v>0</v>
      </c>
      <c r="F727" s="3">
        <v>0</v>
      </c>
      <c r="G727" s="49">
        <f>+B727*C727</f>
        <v>200000</v>
      </c>
      <c r="H727" s="47">
        <v>0</v>
      </c>
      <c r="I727" s="47">
        <v>0</v>
      </c>
      <c r="J727" s="54">
        <f>SUM(G727:I727)</f>
        <v>200000</v>
      </c>
    </row>
    <row r="728" spans="1:10" x14ac:dyDescent="0.3">
      <c r="A728" t="s">
        <v>13323</v>
      </c>
      <c r="B728" s="3">
        <v>0</v>
      </c>
      <c r="C728" s="3">
        <v>0</v>
      </c>
      <c r="D728" s="3">
        <v>0</v>
      </c>
      <c r="E728" s="3">
        <v>0</v>
      </c>
      <c r="F728" s="3">
        <v>0</v>
      </c>
      <c r="G728" s="3">
        <v>0</v>
      </c>
      <c r="H728" s="68">
        <v>86098.91</v>
      </c>
      <c r="I728" s="47">
        <v>0</v>
      </c>
      <c r="J728" s="54">
        <f t="shared" ref="J728:J740" si="127">SUM(G728:I728)</f>
        <v>86098.91</v>
      </c>
    </row>
    <row r="729" spans="1:10" x14ac:dyDescent="0.3">
      <c r="A729" t="s">
        <v>13271</v>
      </c>
      <c r="B729" s="3">
        <v>0</v>
      </c>
      <c r="C729" s="3">
        <v>0</v>
      </c>
      <c r="D729" s="3">
        <v>0</v>
      </c>
      <c r="E729" s="3">
        <v>0</v>
      </c>
      <c r="F729" s="3">
        <v>0</v>
      </c>
      <c r="G729" s="3">
        <v>0</v>
      </c>
      <c r="H729" s="68">
        <v>94515.39</v>
      </c>
      <c r="I729" s="47">
        <v>0</v>
      </c>
      <c r="J729" s="54">
        <f t="shared" si="127"/>
        <v>94515.39</v>
      </c>
    </row>
    <row r="730" spans="1:10" x14ac:dyDescent="0.3">
      <c r="A730" t="s">
        <v>13324</v>
      </c>
      <c r="B730" s="3">
        <v>0</v>
      </c>
      <c r="C730" s="3">
        <v>0</v>
      </c>
      <c r="D730" s="3">
        <v>0</v>
      </c>
      <c r="E730" s="3">
        <v>0</v>
      </c>
      <c r="F730" s="3">
        <v>0</v>
      </c>
      <c r="G730" s="3">
        <v>0</v>
      </c>
      <c r="H730" s="68">
        <f>+(H729-H728)*1.4*I725</f>
        <v>58915.359999999964</v>
      </c>
      <c r="I730" s="47">
        <v>0</v>
      </c>
      <c r="J730" s="54">
        <f t="shared" si="127"/>
        <v>58915.359999999964</v>
      </c>
    </row>
    <row r="731" spans="1:10" s="60" customFormat="1" x14ac:dyDescent="0.3">
      <c r="A731" s="60" t="s">
        <v>13335</v>
      </c>
      <c r="B731" s="61">
        <f>+F725</f>
        <v>5000</v>
      </c>
      <c r="C731" s="61">
        <v>0</v>
      </c>
      <c r="D731" s="61">
        <f>+D732</f>
        <v>1.5</v>
      </c>
      <c r="E731" s="61">
        <v>0</v>
      </c>
      <c r="F731" s="61">
        <v>0</v>
      </c>
      <c r="G731" s="194">
        <f>+B731*D731</f>
        <v>7500</v>
      </c>
      <c r="H731" s="62">
        <v>0</v>
      </c>
      <c r="I731" s="62"/>
      <c r="J731" s="195">
        <f t="shared" ref="J731" si="128">SUM(G731:I731)</f>
        <v>7500</v>
      </c>
    </row>
    <row r="732" spans="1:10" x14ac:dyDescent="0.3">
      <c r="A732" t="s">
        <v>13325</v>
      </c>
      <c r="B732" s="3">
        <f>+F725</f>
        <v>5000</v>
      </c>
      <c r="C732" s="3">
        <v>0</v>
      </c>
      <c r="D732" s="3">
        <v>1.5</v>
      </c>
      <c r="E732" s="3">
        <v>1.68</v>
      </c>
      <c r="F732" s="3">
        <f>(E732*1.8*2)+D732+0.8</f>
        <v>8.3480000000000008</v>
      </c>
      <c r="G732" s="69">
        <v>9120.91</v>
      </c>
      <c r="H732" s="68">
        <v>0</v>
      </c>
      <c r="I732" s="47">
        <v>0</v>
      </c>
      <c r="J732" s="54">
        <f t="shared" si="127"/>
        <v>9120.91</v>
      </c>
    </row>
    <row r="733" spans="1:10" s="60" customFormat="1" x14ac:dyDescent="0.3">
      <c r="A733" s="60" t="s">
        <v>14514</v>
      </c>
      <c r="B733" s="61">
        <f>+F725</f>
        <v>5000</v>
      </c>
      <c r="C733" s="61">
        <v>0</v>
      </c>
      <c r="D733" s="61">
        <v>0</v>
      </c>
      <c r="E733" s="61">
        <v>0</v>
      </c>
      <c r="F733" s="61">
        <v>0</v>
      </c>
      <c r="G733" s="62">
        <v>0</v>
      </c>
      <c r="H733" s="194">
        <f>+G734*0.2</f>
        <v>7296.8</v>
      </c>
      <c r="I733" s="62">
        <v>0</v>
      </c>
      <c r="J733" s="195">
        <f t="shared" ref="J733" si="129">SUM(G733:I733)</f>
        <v>7296.8</v>
      </c>
    </row>
    <row r="734" spans="1:10" x14ac:dyDescent="0.3">
      <c r="A734" t="s">
        <v>13326</v>
      </c>
      <c r="B734" s="3">
        <v>0</v>
      </c>
      <c r="C734" s="3">
        <v>0</v>
      </c>
      <c r="D734" s="3">
        <v>0</v>
      </c>
      <c r="E734" s="3">
        <v>0</v>
      </c>
      <c r="F734" s="3">
        <v>0</v>
      </c>
      <c r="G734" s="69">
        <v>36484</v>
      </c>
      <c r="H734" s="68">
        <v>0</v>
      </c>
      <c r="I734" s="47">
        <v>0</v>
      </c>
      <c r="J734" s="54">
        <f t="shared" si="127"/>
        <v>36484</v>
      </c>
    </row>
    <row r="735" spans="1:10" s="60" customFormat="1" x14ac:dyDescent="0.3">
      <c r="A735" s="60" t="s">
        <v>14515</v>
      </c>
      <c r="B735" s="61">
        <f>+F725</f>
        <v>5000</v>
      </c>
      <c r="C735" s="61">
        <v>0</v>
      </c>
      <c r="D735" s="61">
        <v>0</v>
      </c>
      <c r="E735" s="61">
        <v>0</v>
      </c>
      <c r="F735" s="61">
        <v>0</v>
      </c>
      <c r="G735" s="62">
        <v>0</v>
      </c>
      <c r="H735" s="61">
        <v>0</v>
      </c>
      <c r="I735" s="194">
        <f>+B735*2</f>
        <v>10000</v>
      </c>
      <c r="J735" s="195">
        <f>+I735</f>
        <v>10000</v>
      </c>
    </row>
    <row r="736" spans="1:10" x14ac:dyDescent="0.3">
      <c r="A736" t="s">
        <v>3042</v>
      </c>
      <c r="B736" s="3">
        <v>0</v>
      </c>
      <c r="C736" s="3">
        <v>0</v>
      </c>
      <c r="D736" s="3">
        <v>0</v>
      </c>
      <c r="E736" s="3">
        <v>0</v>
      </c>
      <c r="F736" s="3">
        <v>0</v>
      </c>
      <c r="G736" s="68">
        <v>0</v>
      </c>
      <c r="H736" s="68">
        <f>+G734*0.07</f>
        <v>2553.88</v>
      </c>
      <c r="I736" s="47">
        <v>0</v>
      </c>
      <c r="J736" s="54">
        <f t="shared" si="127"/>
        <v>2553.88</v>
      </c>
    </row>
    <row r="737" spans="1:10" x14ac:dyDescent="0.3">
      <c r="A737" t="s">
        <v>13327</v>
      </c>
      <c r="B737" s="3">
        <v>0</v>
      </c>
      <c r="C737" s="3">
        <v>0</v>
      </c>
      <c r="D737" s="3">
        <v>0</v>
      </c>
      <c r="E737" s="3">
        <v>0</v>
      </c>
      <c r="F737" s="3">
        <v>0</v>
      </c>
      <c r="G737" s="68">
        <v>0</v>
      </c>
      <c r="H737" s="68">
        <f>+H736</f>
        <v>2553.88</v>
      </c>
      <c r="I737" s="47">
        <v>0</v>
      </c>
      <c r="J737" s="54">
        <f t="shared" si="127"/>
        <v>2553.88</v>
      </c>
    </row>
    <row r="738" spans="1:10" x14ac:dyDescent="0.3">
      <c r="A738" t="s">
        <v>13278</v>
      </c>
      <c r="B738" s="3">
        <f>+F725</f>
        <v>5000</v>
      </c>
      <c r="C738" s="3">
        <v>0</v>
      </c>
      <c r="D738" s="3">
        <v>0</v>
      </c>
      <c r="E738" s="3">
        <v>0</v>
      </c>
      <c r="F738" s="47">
        <f>+F732</f>
        <v>8.3480000000000008</v>
      </c>
      <c r="G738" s="3">
        <v>0</v>
      </c>
      <c r="H738" s="3">
        <v>0</v>
      </c>
      <c r="I738" s="49">
        <f>+B738/2*F738</f>
        <v>20870.000000000004</v>
      </c>
      <c r="J738" s="54">
        <f t="shared" si="127"/>
        <v>20870.000000000004</v>
      </c>
    </row>
    <row r="739" spans="1:10" x14ac:dyDescent="0.3">
      <c r="A739" t="s">
        <v>13279</v>
      </c>
      <c r="B739" s="3">
        <f>+F725</f>
        <v>5000</v>
      </c>
      <c r="C739" s="3">
        <v>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49">
        <f>+B739*2</f>
        <v>10000</v>
      </c>
      <c r="J739" s="54">
        <f t="shared" si="127"/>
        <v>10000</v>
      </c>
    </row>
    <row r="740" spans="1:10" x14ac:dyDescent="0.3">
      <c r="A740" t="s">
        <v>13282</v>
      </c>
      <c r="B740" s="47">
        <f>+F725</f>
        <v>5000</v>
      </c>
      <c r="C740" s="3">
        <v>12</v>
      </c>
      <c r="D740" s="3">
        <v>0</v>
      </c>
      <c r="E740" s="3">
        <v>0</v>
      </c>
      <c r="F740" s="3">
        <v>0</v>
      </c>
      <c r="G740" s="49">
        <f>+B740*C740</f>
        <v>60000</v>
      </c>
      <c r="H740" s="3">
        <v>0</v>
      </c>
      <c r="I740" s="47">
        <v>0</v>
      </c>
      <c r="J740" s="54">
        <f t="shared" si="127"/>
        <v>60000</v>
      </c>
    </row>
    <row r="741" spans="1:10" x14ac:dyDescent="0.3">
      <c r="A741" s="51"/>
      <c r="B741" s="52" t="s">
        <v>13328</v>
      </c>
      <c r="C741" s="52" t="s">
        <v>13272</v>
      </c>
      <c r="D741" s="52" t="s">
        <v>13273</v>
      </c>
      <c r="E741" s="52" t="s">
        <v>13274</v>
      </c>
      <c r="F741" s="52" t="s">
        <v>13275</v>
      </c>
      <c r="G741" s="52" t="s">
        <v>13276</v>
      </c>
      <c r="H741" s="52" t="s">
        <v>13277</v>
      </c>
      <c r="I741" s="52" t="s">
        <v>13329</v>
      </c>
      <c r="J741" s="56">
        <v>0</v>
      </c>
    </row>
    <row r="742" spans="1:10" x14ac:dyDescent="0.3">
      <c r="A742" t="s">
        <v>13330</v>
      </c>
      <c r="B742" s="3">
        <f>+F725</f>
        <v>5000</v>
      </c>
      <c r="C742" s="3">
        <v>0</v>
      </c>
      <c r="D742" s="3">
        <v>1.2</v>
      </c>
      <c r="E742" s="3">
        <v>0.7</v>
      </c>
      <c r="F742" s="3">
        <v>0</v>
      </c>
      <c r="G742" s="3">
        <v>0</v>
      </c>
      <c r="H742" s="50">
        <f>+B742*D742*E742</f>
        <v>4200</v>
      </c>
      <c r="I742" s="3">
        <v>0</v>
      </c>
      <c r="J742" s="54">
        <f t="shared" ref="J742:J748" si="130">SUM(G742:I742)</f>
        <v>4200</v>
      </c>
    </row>
    <row r="743" spans="1:10" x14ac:dyDescent="0.3">
      <c r="A743" t="s">
        <v>13310</v>
      </c>
      <c r="B743" s="3">
        <f>+F725</f>
        <v>5000</v>
      </c>
      <c r="C743" s="3"/>
      <c r="D743" s="3">
        <v>0.6</v>
      </c>
      <c r="E743" s="3">
        <v>0.6</v>
      </c>
      <c r="F743" s="3"/>
      <c r="G743" s="3"/>
      <c r="H743" s="50">
        <f>+H742-(B743*D743*E743)</f>
        <v>2400</v>
      </c>
      <c r="I743" s="3"/>
      <c r="J743" s="54">
        <f t="shared" si="130"/>
        <v>2400</v>
      </c>
    </row>
    <row r="744" spans="1:10" x14ac:dyDescent="0.3">
      <c r="A744" t="s">
        <v>13324</v>
      </c>
      <c r="B744" s="3">
        <v>0</v>
      </c>
      <c r="C744" s="3">
        <v>0</v>
      </c>
      <c r="D744" s="3">
        <v>0</v>
      </c>
      <c r="E744" s="3">
        <v>0</v>
      </c>
      <c r="F744" s="3">
        <v>0</v>
      </c>
      <c r="G744" s="3">
        <v>0</v>
      </c>
      <c r="H744" s="50">
        <f>(H742-H743)*1.4*5</f>
        <v>12600</v>
      </c>
      <c r="I744" s="3"/>
      <c r="J744" s="54">
        <f t="shared" si="130"/>
        <v>12600</v>
      </c>
    </row>
    <row r="745" spans="1:10" x14ac:dyDescent="0.3">
      <c r="A745" t="s">
        <v>13311</v>
      </c>
      <c r="B745" s="3">
        <f>+F725</f>
        <v>5000</v>
      </c>
      <c r="C745" s="3">
        <v>0</v>
      </c>
      <c r="D745" s="3">
        <v>0.6</v>
      </c>
      <c r="E745" s="3">
        <v>0.6</v>
      </c>
      <c r="F745" s="3">
        <v>0</v>
      </c>
      <c r="G745" s="50">
        <f>B745*D745*4</f>
        <v>12000</v>
      </c>
      <c r="H745" s="3">
        <v>0</v>
      </c>
      <c r="I745" s="3">
        <v>0</v>
      </c>
      <c r="J745" s="54">
        <f t="shared" si="130"/>
        <v>12000</v>
      </c>
    </row>
    <row r="746" spans="1:10" x14ac:dyDescent="0.3">
      <c r="A746" t="s">
        <v>13312</v>
      </c>
      <c r="B746" s="3">
        <f>+F725</f>
        <v>5000</v>
      </c>
      <c r="C746" s="3">
        <v>0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50">
        <f>+B746</f>
        <v>5000</v>
      </c>
      <c r="J746" s="54">
        <f t="shared" si="130"/>
        <v>5000</v>
      </c>
    </row>
    <row r="747" spans="1:10" x14ac:dyDescent="0.3">
      <c r="A747" t="s">
        <v>13313</v>
      </c>
      <c r="B747" s="3">
        <f>+F725</f>
        <v>5000</v>
      </c>
      <c r="C747" s="3">
        <v>0</v>
      </c>
      <c r="D747" s="3">
        <v>0.6</v>
      </c>
      <c r="E747" s="3">
        <v>0.6</v>
      </c>
      <c r="F747" s="3">
        <v>0</v>
      </c>
      <c r="G747" s="3">
        <v>0</v>
      </c>
      <c r="H747" s="50">
        <f>B747*D747*E747-(B747*3.14*0.4*0.4/4)</f>
        <v>1172</v>
      </c>
      <c r="I747" s="3">
        <v>0</v>
      </c>
      <c r="J747" s="54">
        <f t="shared" si="130"/>
        <v>1172</v>
      </c>
    </row>
    <row r="748" spans="1:10" x14ac:dyDescent="0.3">
      <c r="A748" t="s">
        <v>13320</v>
      </c>
      <c r="B748" s="3">
        <f>+F725</f>
        <v>5000</v>
      </c>
      <c r="C748" s="3">
        <v>1.2</v>
      </c>
      <c r="D748" s="3">
        <v>0</v>
      </c>
      <c r="E748" s="3">
        <v>0.1</v>
      </c>
      <c r="F748" s="3">
        <v>0</v>
      </c>
      <c r="G748" s="3">
        <v>0</v>
      </c>
      <c r="H748" s="50">
        <f>+B748*C748*E748</f>
        <v>600</v>
      </c>
      <c r="I748" s="3"/>
      <c r="J748" s="54">
        <f t="shared" si="130"/>
        <v>600</v>
      </c>
    </row>
    <row r="749" spans="1:10" x14ac:dyDescent="0.3">
      <c r="A749" s="51"/>
      <c r="B749" s="52" t="s">
        <v>13328</v>
      </c>
      <c r="C749" s="52" t="s">
        <v>13272</v>
      </c>
      <c r="D749" s="52" t="s">
        <v>13273</v>
      </c>
      <c r="E749" s="52" t="s">
        <v>13274</v>
      </c>
      <c r="F749" s="52" t="s">
        <v>13275</v>
      </c>
      <c r="G749" s="52" t="s">
        <v>13276</v>
      </c>
      <c r="H749" s="52" t="s">
        <v>13277</v>
      </c>
      <c r="I749" s="52" t="s">
        <v>13329</v>
      </c>
      <c r="J749" s="56">
        <v>0</v>
      </c>
    </row>
    <row r="750" spans="1:10" x14ac:dyDescent="0.3">
      <c r="A750" t="s">
        <v>13331</v>
      </c>
      <c r="B750" s="3">
        <f>+F725</f>
        <v>5000</v>
      </c>
      <c r="C750" s="3">
        <v>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f>+B750*2</f>
        <v>10000</v>
      </c>
      <c r="J750" s="54">
        <f t="shared" ref="J750:J753" si="131">SUM(G750:I750)</f>
        <v>10000</v>
      </c>
    </row>
    <row r="751" spans="1:10" x14ac:dyDescent="0.3">
      <c r="A751" t="s">
        <v>13332</v>
      </c>
      <c r="B751" s="3">
        <f>+F725</f>
        <v>5000</v>
      </c>
      <c r="C751" s="3">
        <v>0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f>+B751*2</f>
        <v>10000</v>
      </c>
      <c r="J751" s="54">
        <f t="shared" si="131"/>
        <v>10000</v>
      </c>
    </row>
    <row r="752" spans="1:10" x14ac:dyDescent="0.3">
      <c r="A752" t="s">
        <v>13333</v>
      </c>
      <c r="B752" s="3">
        <v>0</v>
      </c>
      <c r="C752" s="3">
        <v>0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f>27+28.5+28</f>
        <v>83.5</v>
      </c>
      <c r="J752" s="54">
        <f t="shared" si="131"/>
        <v>83.5</v>
      </c>
    </row>
    <row r="753" spans="1:10" x14ac:dyDescent="0.3">
      <c r="A753" t="s">
        <v>13334</v>
      </c>
      <c r="B753" s="3">
        <v>0</v>
      </c>
      <c r="C753" s="3">
        <v>0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6</v>
      </c>
      <c r="J753" s="54">
        <f t="shared" si="131"/>
        <v>6</v>
      </c>
    </row>
    <row r="754" spans="1:10" x14ac:dyDescent="0.3">
      <c r="A754" s="51"/>
      <c r="B754" s="52" t="s">
        <v>13328</v>
      </c>
      <c r="C754" s="52" t="s">
        <v>13272</v>
      </c>
      <c r="D754" s="52" t="s">
        <v>13273</v>
      </c>
      <c r="E754" s="52" t="s">
        <v>13274</v>
      </c>
      <c r="F754" s="52" t="s">
        <v>13275</v>
      </c>
      <c r="G754" s="52" t="s">
        <v>13276</v>
      </c>
      <c r="H754" s="52" t="s">
        <v>13277</v>
      </c>
      <c r="I754" s="52" t="s">
        <v>13329</v>
      </c>
      <c r="J754" s="56">
        <v>0</v>
      </c>
    </row>
    <row r="755" spans="1:10" x14ac:dyDescent="0.3">
      <c r="A755" t="s">
        <v>13330</v>
      </c>
      <c r="B755" s="3">
        <f>+F725</f>
        <v>5000</v>
      </c>
      <c r="C755" s="3">
        <v>0</v>
      </c>
      <c r="D755" s="3">
        <v>3.5</v>
      </c>
      <c r="E755" s="3">
        <v>0.15</v>
      </c>
      <c r="F755" s="3">
        <v>0</v>
      </c>
      <c r="G755" s="3">
        <v>0</v>
      </c>
      <c r="H755" s="3">
        <f>+B755*D755*E755*2</f>
        <v>5250</v>
      </c>
      <c r="I755" s="3">
        <v>0</v>
      </c>
      <c r="J755" s="54">
        <f t="shared" ref="J755:J759" si="132">SUM(G755:I755)</f>
        <v>5250</v>
      </c>
    </row>
    <row r="756" spans="1:10" x14ac:dyDescent="0.3">
      <c r="A756" t="s">
        <v>13271</v>
      </c>
      <c r="B756" s="3">
        <f>+F725</f>
        <v>5000</v>
      </c>
      <c r="C756" s="3">
        <v>0</v>
      </c>
      <c r="D756" s="3">
        <v>3.5</v>
      </c>
      <c r="E756" s="3">
        <v>0.1</v>
      </c>
      <c r="F756" s="3">
        <v>0</v>
      </c>
      <c r="G756" s="3">
        <v>0</v>
      </c>
      <c r="H756" s="3">
        <f>+B756*D756*E756*2</f>
        <v>3500</v>
      </c>
      <c r="I756" s="3">
        <v>0</v>
      </c>
      <c r="J756" s="54">
        <f t="shared" si="132"/>
        <v>3500</v>
      </c>
    </row>
    <row r="757" spans="1:10" x14ac:dyDescent="0.3">
      <c r="A757" t="s">
        <v>13324</v>
      </c>
      <c r="B757" s="3">
        <v>0</v>
      </c>
      <c r="C757" s="3">
        <v>0</v>
      </c>
      <c r="D757" s="3">
        <v>0</v>
      </c>
      <c r="E757" s="3">
        <v>0</v>
      </c>
      <c r="F757" s="3">
        <v>0</v>
      </c>
      <c r="G757" s="3">
        <v>0</v>
      </c>
      <c r="H757" s="3">
        <f>+H755-H756</f>
        <v>1750</v>
      </c>
      <c r="I757" s="3">
        <v>0</v>
      </c>
      <c r="J757" s="54">
        <f t="shared" si="132"/>
        <v>1750</v>
      </c>
    </row>
    <row r="758" spans="1:10" x14ac:dyDescent="0.3">
      <c r="A758" t="s">
        <v>13335</v>
      </c>
      <c r="B758" s="3">
        <f>+F725</f>
        <v>5000</v>
      </c>
      <c r="C758" s="3">
        <v>0</v>
      </c>
      <c r="D758" s="3">
        <v>3.5</v>
      </c>
      <c r="E758" s="3">
        <v>0</v>
      </c>
      <c r="F758" s="3">
        <v>0</v>
      </c>
      <c r="G758" s="3">
        <f>+B758*D758*2</f>
        <v>35000</v>
      </c>
      <c r="H758" s="3">
        <v>0</v>
      </c>
      <c r="I758" s="3">
        <v>0</v>
      </c>
      <c r="J758" s="54">
        <f t="shared" si="132"/>
        <v>35000</v>
      </c>
    </row>
    <row r="759" spans="1:10" x14ac:dyDescent="0.3">
      <c r="A759" t="s">
        <v>13336</v>
      </c>
      <c r="B759" s="3">
        <f>+F725</f>
        <v>5000</v>
      </c>
      <c r="C759" s="3">
        <v>0</v>
      </c>
      <c r="D759" s="3">
        <v>3.5</v>
      </c>
      <c r="E759" s="3">
        <v>0.15</v>
      </c>
      <c r="F759" s="3">
        <v>0</v>
      </c>
      <c r="G759" s="3"/>
      <c r="H759" s="3">
        <f>+B759*D759*E759</f>
        <v>2625</v>
      </c>
      <c r="I759" s="3">
        <v>0</v>
      </c>
      <c r="J759" s="54">
        <f t="shared" si="132"/>
        <v>2625</v>
      </c>
    </row>
    <row r="760" spans="1:10" x14ac:dyDescent="0.3">
      <c r="A760" s="51"/>
      <c r="B760" s="52" t="s">
        <v>13328</v>
      </c>
      <c r="C760" s="52" t="s">
        <v>13272</v>
      </c>
      <c r="D760" s="52" t="s">
        <v>13273</v>
      </c>
      <c r="E760" s="52" t="s">
        <v>13274</v>
      </c>
      <c r="F760" s="52" t="s">
        <v>13275</v>
      </c>
      <c r="G760" s="52" t="s">
        <v>13276</v>
      </c>
      <c r="H760" s="52" t="s">
        <v>13277</v>
      </c>
      <c r="I760" s="52" t="s">
        <v>13329</v>
      </c>
      <c r="J760" s="56">
        <v>0</v>
      </c>
    </row>
    <row r="761" spans="1:10" x14ac:dyDescent="0.3">
      <c r="A761" s="3" t="s">
        <v>13337</v>
      </c>
      <c r="B761" s="3">
        <f>+F725</f>
        <v>5000</v>
      </c>
      <c r="C761" s="3">
        <v>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f>+B761*2</f>
        <v>10000</v>
      </c>
      <c r="J761" s="55">
        <f t="shared" ref="J761" si="133">SUM(G761:I761)</f>
        <v>10000</v>
      </c>
    </row>
    <row r="763" spans="1:10" x14ac:dyDescent="0.3">
      <c r="A763" t="s">
        <v>13135</v>
      </c>
      <c r="B763" t="str">
        <f>+'Ficha Canais'!A29</f>
        <v>Canal: CP3a - Trecho 2</v>
      </c>
      <c r="E763" t="s">
        <v>13269</v>
      </c>
      <c r="F763" s="3">
        <f>+'Ficha Canais'!B29</f>
        <v>2670</v>
      </c>
      <c r="G763" t="s">
        <v>13270</v>
      </c>
      <c r="H763" t="s">
        <v>14586</v>
      </c>
      <c r="I763" s="3">
        <f>+I725</f>
        <v>5</v>
      </c>
    </row>
    <row r="764" spans="1:10" x14ac:dyDescent="0.3">
      <c r="A764" s="51"/>
      <c r="B764" s="52" t="s">
        <v>13328</v>
      </c>
      <c r="C764" s="52" t="s">
        <v>13272</v>
      </c>
      <c r="D764" s="52" t="s">
        <v>13273</v>
      </c>
      <c r="E764" s="52" t="s">
        <v>13274</v>
      </c>
      <c r="F764" s="52" t="s">
        <v>13275</v>
      </c>
      <c r="G764" s="52" t="s">
        <v>13276</v>
      </c>
      <c r="H764" s="52" t="s">
        <v>13277</v>
      </c>
      <c r="I764" s="52" t="s">
        <v>13329</v>
      </c>
      <c r="J764" s="53" t="s">
        <v>13309</v>
      </c>
    </row>
    <row r="765" spans="1:10" x14ac:dyDescent="0.3">
      <c r="A765" t="s">
        <v>13322</v>
      </c>
      <c r="B765" s="3">
        <f>+F763</f>
        <v>2670</v>
      </c>
      <c r="C765" s="3">
        <v>40</v>
      </c>
      <c r="D765" s="3">
        <v>0</v>
      </c>
      <c r="E765" s="3">
        <v>0</v>
      </c>
      <c r="F765" s="3">
        <v>0</v>
      </c>
      <c r="G765" s="49">
        <f>+B765*C765</f>
        <v>106800</v>
      </c>
      <c r="H765" s="47">
        <v>0</v>
      </c>
      <c r="I765" s="47">
        <v>0</v>
      </c>
      <c r="J765" s="54">
        <f>SUM(G765:I765)</f>
        <v>106800</v>
      </c>
    </row>
    <row r="766" spans="1:10" x14ac:dyDescent="0.3">
      <c r="A766" t="s">
        <v>13323</v>
      </c>
      <c r="B766" s="3">
        <v>0</v>
      </c>
      <c r="C766" s="3">
        <v>0</v>
      </c>
      <c r="D766" s="3">
        <v>0</v>
      </c>
      <c r="E766" s="3">
        <v>0</v>
      </c>
      <c r="F766" s="3">
        <v>0</v>
      </c>
      <c r="G766" s="3">
        <v>0</v>
      </c>
      <c r="H766" s="68">
        <v>83046.67</v>
      </c>
      <c r="I766" s="47">
        <v>0</v>
      </c>
      <c r="J766" s="54">
        <f t="shared" ref="J766:J778" si="134">SUM(G766:I766)</f>
        <v>83046.67</v>
      </c>
    </row>
    <row r="767" spans="1:10" x14ac:dyDescent="0.3">
      <c r="A767" t="s">
        <v>13271</v>
      </c>
      <c r="B767" s="3">
        <v>0</v>
      </c>
      <c r="C767" s="3">
        <v>0</v>
      </c>
      <c r="D767" s="3">
        <v>0</v>
      </c>
      <c r="E767" s="3">
        <v>0</v>
      </c>
      <c r="F767" s="3">
        <v>0</v>
      </c>
      <c r="G767" s="3">
        <v>0</v>
      </c>
      <c r="H767" s="68">
        <v>28206.89</v>
      </c>
      <c r="I767" s="47">
        <v>0</v>
      </c>
      <c r="J767" s="54">
        <f t="shared" si="134"/>
        <v>28206.89</v>
      </c>
    </row>
    <row r="768" spans="1:10" x14ac:dyDescent="0.3">
      <c r="A768" t="s">
        <v>13324</v>
      </c>
      <c r="B768" s="3">
        <v>0</v>
      </c>
      <c r="C768" s="3">
        <v>0</v>
      </c>
      <c r="D768" s="3">
        <v>0</v>
      </c>
      <c r="E768" s="3">
        <v>0</v>
      </c>
      <c r="F768" s="3">
        <v>0</v>
      </c>
      <c r="G768" s="3">
        <v>0</v>
      </c>
      <c r="H768" s="68">
        <f>-(H767-H766)*1.4*I763</f>
        <v>383878.45999999996</v>
      </c>
      <c r="I768" s="47">
        <v>0</v>
      </c>
      <c r="J768" s="54">
        <f t="shared" si="134"/>
        <v>383878.45999999996</v>
      </c>
    </row>
    <row r="769" spans="1:10" s="60" customFormat="1" x14ac:dyDescent="0.3">
      <c r="A769" s="60" t="s">
        <v>13335</v>
      </c>
      <c r="B769" s="61">
        <f>+F763</f>
        <v>2670</v>
      </c>
      <c r="C769" s="61">
        <v>0</v>
      </c>
      <c r="D769" s="61">
        <f>+D770</f>
        <v>1.2</v>
      </c>
      <c r="E769" s="61">
        <v>0</v>
      </c>
      <c r="F769" s="61">
        <v>0</v>
      </c>
      <c r="G769" s="194">
        <f>+B769*D769</f>
        <v>3204</v>
      </c>
      <c r="H769" s="62">
        <v>0</v>
      </c>
      <c r="I769" s="62"/>
      <c r="J769" s="195">
        <f t="shared" ref="J769" si="135">SUM(G769:I769)</f>
        <v>3204</v>
      </c>
    </row>
    <row r="770" spans="1:10" x14ac:dyDescent="0.3">
      <c r="A770" t="s">
        <v>13325</v>
      </c>
      <c r="B770" s="3">
        <f>+F763</f>
        <v>2670</v>
      </c>
      <c r="C770" s="3">
        <v>0</v>
      </c>
      <c r="D770" s="3">
        <v>1.2</v>
      </c>
      <c r="E770" s="3">
        <v>1.52</v>
      </c>
      <c r="F770" s="3">
        <f>(E770*1.8*2)+D770+0.8</f>
        <v>7.4720000000000004</v>
      </c>
      <c r="G770" s="69">
        <v>4127.8</v>
      </c>
      <c r="H770" s="68">
        <v>0</v>
      </c>
      <c r="I770" s="47">
        <v>0</v>
      </c>
      <c r="J770" s="54">
        <f t="shared" si="134"/>
        <v>4127.8</v>
      </c>
    </row>
    <row r="771" spans="1:10" s="60" customFormat="1" x14ac:dyDescent="0.3">
      <c r="A771" s="60" t="s">
        <v>14514</v>
      </c>
      <c r="B771" s="61">
        <f>+F763</f>
        <v>2670</v>
      </c>
      <c r="C771" s="61">
        <v>0</v>
      </c>
      <c r="D771" s="61">
        <v>0</v>
      </c>
      <c r="E771" s="61">
        <v>0</v>
      </c>
      <c r="F771" s="61">
        <v>0</v>
      </c>
      <c r="G771" s="62">
        <v>0</v>
      </c>
      <c r="H771" s="194">
        <f>+G772*0.2</f>
        <v>3302.2000000000003</v>
      </c>
      <c r="I771" s="62">
        <v>0</v>
      </c>
      <c r="J771" s="195">
        <f t="shared" ref="J771" si="136">SUM(G771:I771)</f>
        <v>3302.2000000000003</v>
      </c>
    </row>
    <row r="772" spans="1:10" x14ac:dyDescent="0.3">
      <c r="A772" t="s">
        <v>13326</v>
      </c>
      <c r="B772" s="3">
        <v>0</v>
      </c>
      <c r="C772" s="3">
        <v>0</v>
      </c>
      <c r="D772" s="3">
        <v>0</v>
      </c>
      <c r="E772" s="3">
        <v>0</v>
      </c>
      <c r="F772" s="3">
        <v>0</v>
      </c>
      <c r="G772" s="69">
        <v>16511</v>
      </c>
      <c r="H772" s="68">
        <v>0</v>
      </c>
      <c r="I772" s="47">
        <v>0</v>
      </c>
      <c r="J772" s="54">
        <f t="shared" si="134"/>
        <v>16511</v>
      </c>
    </row>
    <row r="773" spans="1:10" s="60" customFormat="1" x14ac:dyDescent="0.3">
      <c r="A773" s="60" t="s">
        <v>14515</v>
      </c>
      <c r="B773" s="61">
        <f>+F763</f>
        <v>2670</v>
      </c>
      <c r="C773" s="61">
        <v>0</v>
      </c>
      <c r="D773" s="61">
        <v>0</v>
      </c>
      <c r="E773" s="61">
        <v>0</v>
      </c>
      <c r="F773" s="61">
        <v>0</v>
      </c>
      <c r="G773" s="62">
        <v>0</v>
      </c>
      <c r="H773" s="61">
        <v>0</v>
      </c>
      <c r="I773" s="194">
        <f>+B773*2</f>
        <v>5340</v>
      </c>
      <c r="J773" s="195">
        <f>+I773</f>
        <v>5340</v>
      </c>
    </row>
    <row r="774" spans="1:10" x14ac:dyDescent="0.3">
      <c r="A774" t="s">
        <v>3042</v>
      </c>
      <c r="B774" s="3">
        <v>0</v>
      </c>
      <c r="C774" s="3">
        <v>0</v>
      </c>
      <c r="D774" s="3">
        <v>0</v>
      </c>
      <c r="E774" s="3">
        <v>0</v>
      </c>
      <c r="F774" s="3">
        <v>0</v>
      </c>
      <c r="G774" s="68">
        <v>0</v>
      </c>
      <c r="H774" s="68">
        <f>+G772*0.07</f>
        <v>1155.7700000000002</v>
      </c>
      <c r="I774" s="47">
        <v>0</v>
      </c>
      <c r="J774" s="54">
        <f t="shared" si="134"/>
        <v>1155.7700000000002</v>
      </c>
    </row>
    <row r="775" spans="1:10" x14ac:dyDescent="0.3">
      <c r="A775" t="s">
        <v>13327</v>
      </c>
      <c r="B775" s="3">
        <v>0</v>
      </c>
      <c r="C775" s="3">
        <v>0</v>
      </c>
      <c r="D775" s="3">
        <v>0</v>
      </c>
      <c r="E775" s="3">
        <v>0</v>
      </c>
      <c r="F775" s="3">
        <v>0</v>
      </c>
      <c r="G775" s="68">
        <v>0</v>
      </c>
      <c r="H775" s="68">
        <f>+H774</f>
        <v>1155.7700000000002</v>
      </c>
      <c r="I775" s="47">
        <v>0</v>
      </c>
      <c r="J775" s="54">
        <f t="shared" si="134"/>
        <v>1155.7700000000002</v>
      </c>
    </row>
    <row r="776" spans="1:10" x14ac:dyDescent="0.3">
      <c r="A776" t="s">
        <v>13278</v>
      </c>
      <c r="B776" s="3">
        <f>+F763</f>
        <v>2670</v>
      </c>
      <c r="C776" s="3">
        <v>0</v>
      </c>
      <c r="D776" s="3">
        <v>0</v>
      </c>
      <c r="E776" s="3">
        <v>0</v>
      </c>
      <c r="F776" s="47">
        <f>+F770</f>
        <v>7.4720000000000004</v>
      </c>
      <c r="G776" s="3">
        <v>0</v>
      </c>
      <c r="H776" s="3">
        <v>0</v>
      </c>
      <c r="I776" s="49">
        <f>+B776/2*F776</f>
        <v>9975.1200000000008</v>
      </c>
      <c r="J776" s="54">
        <f t="shared" si="134"/>
        <v>9975.1200000000008</v>
      </c>
    </row>
    <row r="777" spans="1:10" x14ac:dyDescent="0.3">
      <c r="A777" t="s">
        <v>13279</v>
      </c>
      <c r="B777" s="3">
        <f>+F763</f>
        <v>2670</v>
      </c>
      <c r="C777" s="3">
        <v>0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49">
        <f>+B777*2</f>
        <v>5340</v>
      </c>
      <c r="J777" s="54">
        <f t="shared" si="134"/>
        <v>5340</v>
      </c>
    </row>
    <row r="778" spans="1:10" x14ac:dyDescent="0.3">
      <c r="A778" t="s">
        <v>13282</v>
      </c>
      <c r="B778" s="47">
        <f>+F763</f>
        <v>2670</v>
      </c>
      <c r="C778" s="3">
        <v>12</v>
      </c>
      <c r="D778" s="3">
        <v>0</v>
      </c>
      <c r="E778" s="3">
        <v>0</v>
      </c>
      <c r="F778" s="3">
        <v>0</v>
      </c>
      <c r="G778" s="49">
        <f>+B778*C778</f>
        <v>32040</v>
      </c>
      <c r="H778" s="3">
        <v>0</v>
      </c>
      <c r="I778" s="47">
        <v>0</v>
      </c>
      <c r="J778" s="54">
        <f t="shared" si="134"/>
        <v>32040</v>
      </c>
    </row>
    <row r="779" spans="1:10" x14ac:dyDescent="0.3">
      <c r="A779" s="51"/>
      <c r="B779" s="52" t="s">
        <v>13328</v>
      </c>
      <c r="C779" s="52" t="s">
        <v>13272</v>
      </c>
      <c r="D779" s="52" t="s">
        <v>13273</v>
      </c>
      <c r="E779" s="52" t="s">
        <v>13274</v>
      </c>
      <c r="F779" s="52" t="s">
        <v>13275</v>
      </c>
      <c r="G779" s="52" t="s">
        <v>13276</v>
      </c>
      <c r="H779" s="52" t="s">
        <v>13277</v>
      </c>
      <c r="I779" s="52" t="s">
        <v>13329</v>
      </c>
      <c r="J779" s="56">
        <v>0</v>
      </c>
    </row>
    <row r="780" spans="1:10" x14ac:dyDescent="0.3">
      <c r="A780" t="s">
        <v>13330</v>
      </c>
      <c r="B780" s="3">
        <f>+F763</f>
        <v>2670</v>
      </c>
      <c r="C780" s="3">
        <v>0</v>
      </c>
      <c r="D780" s="3">
        <v>1.2</v>
      </c>
      <c r="E780" s="3">
        <v>0.7</v>
      </c>
      <c r="F780" s="3">
        <v>0</v>
      </c>
      <c r="G780" s="3">
        <v>0</v>
      </c>
      <c r="H780" s="50">
        <f>+B780*D780*E780</f>
        <v>2242.7999999999997</v>
      </c>
      <c r="I780" s="3">
        <v>0</v>
      </c>
      <c r="J780" s="54">
        <f t="shared" ref="J780:J786" si="137">SUM(G780:I780)</f>
        <v>2242.7999999999997</v>
      </c>
    </row>
    <row r="781" spans="1:10" x14ac:dyDescent="0.3">
      <c r="A781" t="s">
        <v>13310</v>
      </c>
      <c r="B781" s="3">
        <f>+F763</f>
        <v>2670</v>
      </c>
      <c r="C781" s="3"/>
      <c r="D781" s="3">
        <v>0.6</v>
      </c>
      <c r="E781" s="3">
        <v>0.6</v>
      </c>
      <c r="F781" s="3"/>
      <c r="G781" s="3"/>
      <c r="H781" s="50">
        <f>+H780-(B781*D781*E781)</f>
        <v>1281.5999999999999</v>
      </c>
      <c r="I781" s="3"/>
      <c r="J781" s="54">
        <f t="shared" si="137"/>
        <v>1281.5999999999999</v>
      </c>
    </row>
    <row r="782" spans="1:10" x14ac:dyDescent="0.3">
      <c r="A782" t="s">
        <v>13324</v>
      </c>
      <c r="B782" s="3">
        <v>0</v>
      </c>
      <c r="C782" s="3">
        <v>0</v>
      </c>
      <c r="D782" s="3">
        <v>0</v>
      </c>
      <c r="E782" s="3">
        <v>0</v>
      </c>
      <c r="F782" s="3">
        <v>0</v>
      </c>
      <c r="G782" s="3">
        <v>0</v>
      </c>
      <c r="H782" s="50">
        <f>(H780-H781)*1.4*5</f>
        <v>6728.3999999999978</v>
      </c>
      <c r="I782" s="3"/>
      <c r="J782" s="54">
        <f t="shared" si="137"/>
        <v>6728.3999999999978</v>
      </c>
    </row>
    <row r="783" spans="1:10" x14ac:dyDescent="0.3">
      <c r="A783" t="s">
        <v>13311</v>
      </c>
      <c r="B783" s="3">
        <f>+F763</f>
        <v>2670</v>
      </c>
      <c r="C783" s="3">
        <v>0</v>
      </c>
      <c r="D783" s="3">
        <v>0.6</v>
      </c>
      <c r="E783" s="3">
        <v>0.6</v>
      </c>
      <c r="F783" s="3">
        <v>0</v>
      </c>
      <c r="G783" s="50">
        <f>B783*D783*4</f>
        <v>6408</v>
      </c>
      <c r="H783" s="3">
        <v>0</v>
      </c>
      <c r="I783" s="3">
        <v>0</v>
      </c>
      <c r="J783" s="54">
        <f t="shared" si="137"/>
        <v>6408</v>
      </c>
    </row>
    <row r="784" spans="1:10" x14ac:dyDescent="0.3">
      <c r="A784" t="s">
        <v>13312</v>
      </c>
      <c r="B784" s="3">
        <f>+F763</f>
        <v>2670</v>
      </c>
      <c r="C784" s="3">
        <v>0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50">
        <f>+B784</f>
        <v>2670</v>
      </c>
      <c r="J784" s="54">
        <f t="shared" si="137"/>
        <v>2670</v>
      </c>
    </row>
    <row r="785" spans="1:10" x14ac:dyDescent="0.3">
      <c r="A785" t="s">
        <v>13313</v>
      </c>
      <c r="B785" s="3">
        <f>+F763</f>
        <v>2670</v>
      </c>
      <c r="C785" s="3">
        <v>0</v>
      </c>
      <c r="D785" s="3">
        <v>0.6</v>
      </c>
      <c r="E785" s="3">
        <v>0.6</v>
      </c>
      <c r="F785" s="3">
        <v>0</v>
      </c>
      <c r="G785" s="3">
        <v>0</v>
      </c>
      <c r="H785" s="50">
        <f>B785*D785*E785-(B785*3.14*0.4*0.4/4)</f>
        <v>625.84799999999984</v>
      </c>
      <c r="I785" s="3">
        <v>0</v>
      </c>
      <c r="J785" s="54">
        <f t="shared" si="137"/>
        <v>625.84799999999984</v>
      </c>
    </row>
    <row r="786" spans="1:10" x14ac:dyDescent="0.3">
      <c r="A786" t="s">
        <v>13320</v>
      </c>
      <c r="B786" s="3">
        <f>+F763</f>
        <v>2670</v>
      </c>
      <c r="C786" s="3">
        <v>1.2</v>
      </c>
      <c r="D786" s="3">
        <v>0</v>
      </c>
      <c r="E786" s="3">
        <v>0.1</v>
      </c>
      <c r="F786" s="3">
        <v>0</v>
      </c>
      <c r="G786" s="3">
        <v>0</v>
      </c>
      <c r="H786" s="50">
        <f>+B786*C786*E786</f>
        <v>320.40000000000003</v>
      </c>
      <c r="I786" s="3"/>
      <c r="J786" s="54">
        <f t="shared" si="137"/>
        <v>320.40000000000003</v>
      </c>
    </row>
    <row r="787" spans="1:10" x14ac:dyDescent="0.3">
      <c r="A787" s="51"/>
      <c r="B787" s="52" t="s">
        <v>13328</v>
      </c>
      <c r="C787" s="52" t="s">
        <v>13272</v>
      </c>
      <c r="D787" s="52" t="s">
        <v>13273</v>
      </c>
      <c r="E787" s="52" t="s">
        <v>13274</v>
      </c>
      <c r="F787" s="52" t="s">
        <v>13275</v>
      </c>
      <c r="G787" s="52" t="s">
        <v>13276</v>
      </c>
      <c r="H787" s="52" t="s">
        <v>13277</v>
      </c>
      <c r="I787" s="52" t="s">
        <v>13329</v>
      </c>
      <c r="J787" s="56">
        <v>0</v>
      </c>
    </row>
    <row r="788" spans="1:10" x14ac:dyDescent="0.3">
      <c r="A788" t="s">
        <v>13331</v>
      </c>
      <c r="B788" s="3">
        <f>+F763</f>
        <v>2670</v>
      </c>
      <c r="C788" s="3">
        <v>0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f>+B788*2</f>
        <v>5340</v>
      </c>
      <c r="J788" s="54">
        <f t="shared" ref="J788:J791" si="138">SUM(G788:I788)</f>
        <v>5340</v>
      </c>
    </row>
    <row r="789" spans="1:10" x14ac:dyDescent="0.3">
      <c r="A789" t="s">
        <v>13332</v>
      </c>
      <c r="B789" s="3">
        <f>+F763</f>
        <v>2670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f>+B789*2</f>
        <v>5340</v>
      </c>
      <c r="J789" s="54">
        <f t="shared" si="138"/>
        <v>5340</v>
      </c>
    </row>
    <row r="790" spans="1:10" x14ac:dyDescent="0.3">
      <c r="A790" t="s">
        <v>13333</v>
      </c>
      <c r="B790" s="3">
        <v>0</v>
      </c>
      <c r="C790" s="3">
        <v>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21</v>
      </c>
      <c r="J790" s="54">
        <f t="shared" si="138"/>
        <v>21</v>
      </c>
    </row>
    <row r="791" spans="1:10" x14ac:dyDescent="0.3">
      <c r="A791" t="s">
        <v>13334</v>
      </c>
      <c r="B791" s="3">
        <v>0</v>
      </c>
      <c r="C791" s="3">
        <v>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2</v>
      </c>
      <c r="J791" s="54">
        <f t="shared" si="138"/>
        <v>2</v>
      </c>
    </row>
    <row r="792" spans="1:10" x14ac:dyDescent="0.3">
      <c r="A792" s="51"/>
      <c r="B792" s="52" t="s">
        <v>13328</v>
      </c>
      <c r="C792" s="52" t="s">
        <v>13272</v>
      </c>
      <c r="D792" s="52" t="s">
        <v>13273</v>
      </c>
      <c r="E792" s="52" t="s">
        <v>13274</v>
      </c>
      <c r="F792" s="52" t="s">
        <v>13275</v>
      </c>
      <c r="G792" s="52" t="s">
        <v>13276</v>
      </c>
      <c r="H792" s="52" t="s">
        <v>13277</v>
      </c>
      <c r="I792" s="52" t="s">
        <v>13329</v>
      </c>
      <c r="J792" s="56">
        <v>0</v>
      </c>
    </row>
    <row r="793" spans="1:10" x14ac:dyDescent="0.3">
      <c r="A793" t="s">
        <v>13330</v>
      </c>
      <c r="B793" s="3">
        <f>+F763</f>
        <v>2670</v>
      </c>
      <c r="C793" s="3">
        <v>0</v>
      </c>
      <c r="D793" s="3">
        <v>3.5</v>
      </c>
      <c r="E793" s="3">
        <v>0.15</v>
      </c>
      <c r="F793" s="3">
        <v>0</v>
      </c>
      <c r="G793" s="3">
        <v>0</v>
      </c>
      <c r="H793" s="3">
        <f>+B793*D793*E793*2</f>
        <v>2803.5</v>
      </c>
      <c r="I793" s="3">
        <v>0</v>
      </c>
      <c r="J793" s="54">
        <f t="shared" ref="J793:J797" si="139">SUM(G793:I793)</f>
        <v>2803.5</v>
      </c>
    </row>
    <row r="794" spans="1:10" x14ac:dyDescent="0.3">
      <c r="A794" t="s">
        <v>13271</v>
      </c>
      <c r="B794" s="3">
        <f>+F763</f>
        <v>2670</v>
      </c>
      <c r="C794" s="3">
        <v>0</v>
      </c>
      <c r="D794" s="3">
        <v>3.5</v>
      </c>
      <c r="E794" s="3">
        <v>0.1</v>
      </c>
      <c r="F794" s="3">
        <v>0</v>
      </c>
      <c r="G794" s="3">
        <v>0</v>
      </c>
      <c r="H794" s="3">
        <f>+B794*D794*E794*2</f>
        <v>1869</v>
      </c>
      <c r="I794" s="3">
        <v>0</v>
      </c>
      <c r="J794" s="54">
        <f t="shared" si="139"/>
        <v>1869</v>
      </c>
    </row>
    <row r="795" spans="1:10" x14ac:dyDescent="0.3">
      <c r="A795" t="s">
        <v>13324</v>
      </c>
      <c r="B795" s="3">
        <v>0</v>
      </c>
      <c r="C795" s="3">
        <v>0</v>
      </c>
      <c r="D795" s="3">
        <v>0</v>
      </c>
      <c r="E795" s="3">
        <v>0</v>
      </c>
      <c r="F795" s="3">
        <v>0</v>
      </c>
      <c r="G795" s="3">
        <v>0</v>
      </c>
      <c r="H795" s="3">
        <f>+H793-H794</f>
        <v>934.5</v>
      </c>
      <c r="I795" s="3">
        <v>0</v>
      </c>
      <c r="J795" s="54">
        <f t="shared" si="139"/>
        <v>934.5</v>
      </c>
    </row>
    <row r="796" spans="1:10" x14ac:dyDescent="0.3">
      <c r="A796" t="s">
        <v>13335</v>
      </c>
      <c r="B796" s="3">
        <f>+F763</f>
        <v>2670</v>
      </c>
      <c r="C796" s="3">
        <v>0</v>
      </c>
      <c r="D796" s="3">
        <v>3.5</v>
      </c>
      <c r="E796" s="3">
        <v>0</v>
      </c>
      <c r="F796" s="3">
        <v>0</v>
      </c>
      <c r="G796" s="3">
        <f>+B796*D796*2</f>
        <v>18690</v>
      </c>
      <c r="H796" s="3">
        <v>0</v>
      </c>
      <c r="I796" s="3">
        <v>0</v>
      </c>
      <c r="J796" s="54">
        <f t="shared" si="139"/>
        <v>18690</v>
      </c>
    </row>
    <row r="797" spans="1:10" x14ac:dyDescent="0.3">
      <c r="A797" t="s">
        <v>13336</v>
      </c>
      <c r="B797" s="3">
        <f>+F763</f>
        <v>2670</v>
      </c>
      <c r="C797" s="3">
        <v>0</v>
      </c>
      <c r="D797" s="3">
        <v>3.5</v>
      </c>
      <c r="E797" s="3">
        <v>0.15</v>
      </c>
      <c r="F797" s="3">
        <v>0</v>
      </c>
      <c r="G797" s="3"/>
      <c r="H797" s="3">
        <f>+B797*D797*E797</f>
        <v>1401.75</v>
      </c>
      <c r="I797" s="3">
        <v>0</v>
      </c>
      <c r="J797" s="54">
        <f t="shared" si="139"/>
        <v>1401.75</v>
      </c>
    </row>
    <row r="798" spans="1:10" x14ac:dyDescent="0.3">
      <c r="A798" s="51"/>
      <c r="B798" s="52" t="s">
        <v>13328</v>
      </c>
      <c r="C798" s="52" t="s">
        <v>13272</v>
      </c>
      <c r="D798" s="52" t="s">
        <v>13273</v>
      </c>
      <c r="E798" s="52" t="s">
        <v>13274</v>
      </c>
      <c r="F798" s="52" t="s">
        <v>13275</v>
      </c>
      <c r="G798" s="52" t="s">
        <v>13276</v>
      </c>
      <c r="H798" s="52" t="s">
        <v>13277</v>
      </c>
      <c r="I798" s="52" t="s">
        <v>13329</v>
      </c>
      <c r="J798" s="56">
        <v>0</v>
      </c>
    </row>
    <row r="799" spans="1:10" x14ac:dyDescent="0.3">
      <c r="A799" s="3" t="s">
        <v>13337</v>
      </c>
      <c r="B799" s="3">
        <f>+F763</f>
        <v>2670</v>
      </c>
      <c r="C799" s="3">
        <v>0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f>+B799*2</f>
        <v>5340</v>
      </c>
      <c r="J799" s="55">
        <f t="shared" ref="J799" si="140">SUM(G799:I799)</f>
        <v>5340</v>
      </c>
    </row>
    <row r="801" spans="1:10" x14ac:dyDescent="0.3">
      <c r="A801" t="s">
        <v>13135</v>
      </c>
      <c r="B801" t="str">
        <f>+'Ficha Canais'!A30</f>
        <v>Canal: CP3b - Trecho 1</v>
      </c>
      <c r="E801" t="s">
        <v>13269</v>
      </c>
      <c r="F801" s="3">
        <f>+'Ficha Canais'!B30</f>
        <v>2100</v>
      </c>
      <c r="G801" t="s">
        <v>13270</v>
      </c>
      <c r="H801" t="s">
        <v>14586</v>
      </c>
      <c r="I801" s="3">
        <f>+I763</f>
        <v>5</v>
      </c>
    </row>
    <row r="802" spans="1:10" x14ac:dyDescent="0.3">
      <c r="A802" s="51"/>
      <c r="B802" s="52" t="s">
        <v>13328</v>
      </c>
      <c r="C802" s="52" t="s">
        <v>13272</v>
      </c>
      <c r="D802" s="52" t="s">
        <v>13273</v>
      </c>
      <c r="E802" s="52" t="s">
        <v>13274</v>
      </c>
      <c r="F802" s="52" t="s">
        <v>13275</v>
      </c>
      <c r="G802" s="52" t="s">
        <v>13276</v>
      </c>
      <c r="H802" s="52" t="s">
        <v>13277</v>
      </c>
      <c r="I802" s="52" t="s">
        <v>13329</v>
      </c>
      <c r="J802" s="53" t="s">
        <v>13309</v>
      </c>
    </row>
    <row r="803" spans="1:10" x14ac:dyDescent="0.3">
      <c r="A803" t="s">
        <v>13322</v>
      </c>
      <c r="B803" s="3">
        <f>+F801</f>
        <v>2100</v>
      </c>
      <c r="C803" s="3">
        <v>40</v>
      </c>
      <c r="D803" s="3">
        <v>0</v>
      </c>
      <c r="E803" s="3">
        <v>0</v>
      </c>
      <c r="F803" s="3">
        <v>0</v>
      </c>
      <c r="G803" s="49">
        <f>+B803*C803</f>
        <v>84000</v>
      </c>
      <c r="H803" s="47">
        <v>0</v>
      </c>
      <c r="I803" s="47">
        <v>0</v>
      </c>
      <c r="J803" s="54">
        <f>SUM(G803:I803)</f>
        <v>84000</v>
      </c>
    </row>
    <row r="804" spans="1:10" x14ac:dyDescent="0.3">
      <c r="A804" t="s">
        <v>13323</v>
      </c>
      <c r="B804" s="3">
        <v>0</v>
      </c>
      <c r="C804" s="3">
        <v>0</v>
      </c>
      <c r="D804" s="3">
        <v>0</v>
      </c>
      <c r="E804" s="3">
        <v>0</v>
      </c>
      <c r="F804" s="3">
        <v>0</v>
      </c>
      <c r="G804" s="3">
        <v>0</v>
      </c>
      <c r="H804" s="68">
        <v>7609.24</v>
      </c>
      <c r="I804" s="47">
        <v>0</v>
      </c>
      <c r="J804" s="54">
        <f t="shared" ref="J804:J816" si="141">SUM(G804:I804)</f>
        <v>7609.24</v>
      </c>
    </row>
    <row r="805" spans="1:10" x14ac:dyDescent="0.3">
      <c r="A805" t="s">
        <v>13271</v>
      </c>
      <c r="B805" s="3">
        <v>0</v>
      </c>
      <c r="C805" s="3">
        <v>0</v>
      </c>
      <c r="D805" s="3">
        <v>0</v>
      </c>
      <c r="E805" s="3">
        <v>0</v>
      </c>
      <c r="F805" s="3">
        <v>0</v>
      </c>
      <c r="G805" s="3">
        <v>0</v>
      </c>
      <c r="H805" s="68">
        <v>24541.360000000001</v>
      </c>
      <c r="I805" s="47">
        <v>0</v>
      </c>
      <c r="J805" s="54">
        <f t="shared" si="141"/>
        <v>24541.360000000001</v>
      </c>
    </row>
    <row r="806" spans="1:10" x14ac:dyDescent="0.3">
      <c r="A806" t="s">
        <v>13324</v>
      </c>
      <c r="B806" s="3">
        <v>0</v>
      </c>
      <c r="C806" s="3">
        <v>0</v>
      </c>
      <c r="D806" s="3">
        <v>0</v>
      </c>
      <c r="E806" s="3">
        <v>0</v>
      </c>
      <c r="F806" s="3">
        <v>0</v>
      </c>
      <c r="G806" s="3">
        <v>0</v>
      </c>
      <c r="H806" s="68">
        <f>+(H805-H804)*1.4*I801</f>
        <v>118524.84</v>
      </c>
      <c r="I806" s="47">
        <v>0</v>
      </c>
      <c r="J806" s="54">
        <f t="shared" si="141"/>
        <v>118524.84</v>
      </c>
    </row>
    <row r="807" spans="1:10" s="60" customFormat="1" x14ac:dyDescent="0.3">
      <c r="A807" s="60" t="s">
        <v>13335</v>
      </c>
      <c r="B807" s="61">
        <f>+F801</f>
        <v>2100</v>
      </c>
      <c r="C807" s="61">
        <v>0</v>
      </c>
      <c r="D807" s="61">
        <f>+D808</f>
        <v>0.8</v>
      </c>
      <c r="E807" s="61">
        <v>0</v>
      </c>
      <c r="F807" s="61">
        <v>0</v>
      </c>
      <c r="G807" s="194">
        <f>+B807*D807</f>
        <v>1680</v>
      </c>
      <c r="H807" s="62">
        <v>0</v>
      </c>
      <c r="I807" s="62"/>
      <c r="J807" s="195">
        <f t="shared" ref="J807" si="142">SUM(G807:I807)</f>
        <v>1680</v>
      </c>
    </row>
    <row r="808" spans="1:10" x14ac:dyDescent="0.3">
      <c r="A808" t="s">
        <v>13325</v>
      </c>
      <c r="B808" s="3">
        <f>+F801</f>
        <v>2100</v>
      </c>
      <c r="C808" s="3">
        <v>0</v>
      </c>
      <c r="D808" s="3">
        <v>0.8</v>
      </c>
      <c r="E808" s="3">
        <v>1.1499999999999999</v>
      </c>
      <c r="F808" s="3">
        <f>(E808*1.8*2)+D808+0.8</f>
        <v>5.7399999999999993</v>
      </c>
      <c r="G808" s="69">
        <v>2822.51</v>
      </c>
      <c r="H808" s="68">
        <v>0</v>
      </c>
      <c r="I808" s="47">
        <v>0</v>
      </c>
      <c r="J808" s="54">
        <f t="shared" si="141"/>
        <v>2822.51</v>
      </c>
    </row>
    <row r="809" spans="1:10" s="60" customFormat="1" x14ac:dyDescent="0.3">
      <c r="A809" s="60" t="s">
        <v>14514</v>
      </c>
      <c r="B809" s="61">
        <f>+F801</f>
        <v>2100</v>
      </c>
      <c r="C809" s="61">
        <v>0</v>
      </c>
      <c r="D809" s="61">
        <v>0</v>
      </c>
      <c r="E809" s="61">
        <v>0</v>
      </c>
      <c r="F809" s="61">
        <v>0</v>
      </c>
      <c r="G809" s="62">
        <v>0</v>
      </c>
      <c r="H809" s="194">
        <f>+G810*0.2</f>
        <v>2258</v>
      </c>
      <c r="I809" s="62">
        <v>0</v>
      </c>
      <c r="J809" s="195">
        <f t="shared" ref="J809" si="143">SUM(G809:I809)</f>
        <v>2258</v>
      </c>
    </row>
    <row r="810" spans="1:10" x14ac:dyDescent="0.3">
      <c r="A810" t="s">
        <v>13326</v>
      </c>
      <c r="B810" s="3">
        <v>0</v>
      </c>
      <c r="C810" s="3">
        <v>0</v>
      </c>
      <c r="D810" s="3">
        <v>0</v>
      </c>
      <c r="E810" s="3">
        <v>0</v>
      </c>
      <c r="F810" s="3">
        <v>0</v>
      </c>
      <c r="G810" s="69">
        <v>11290</v>
      </c>
      <c r="H810" s="68">
        <v>0</v>
      </c>
      <c r="I810" s="47">
        <v>0</v>
      </c>
      <c r="J810" s="54">
        <f t="shared" si="141"/>
        <v>11290</v>
      </c>
    </row>
    <row r="811" spans="1:10" s="60" customFormat="1" x14ac:dyDescent="0.3">
      <c r="A811" s="60" t="s">
        <v>14515</v>
      </c>
      <c r="B811" s="61">
        <f>+F801</f>
        <v>2100</v>
      </c>
      <c r="C811" s="61">
        <v>0</v>
      </c>
      <c r="D811" s="61">
        <v>0</v>
      </c>
      <c r="E811" s="61">
        <v>0</v>
      </c>
      <c r="F811" s="61">
        <v>0</v>
      </c>
      <c r="G811" s="62">
        <v>0</v>
      </c>
      <c r="H811" s="61">
        <v>0</v>
      </c>
      <c r="I811" s="194">
        <f>+B811*2</f>
        <v>4200</v>
      </c>
      <c r="J811" s="195">
        <f>+I811</f>
        <v>4200</v>
      </c>
    </row>
    <row r="812" spans="1:10" x14ac:dyDescent="0.3">
      <c r="A812" t="s">
        <v>3042</v>
      </c>
      <c r="B812" s="3">
        <v>0</v>
      </c>
      <c r="C812" s="3">
        <v>0</v>
      </c>
      <c r="D812" s="3">
        <v>0</v>
      </c>
      <c r="E812" s="3">
        <v>0</v>
      </c>
      <c r="F812" s="3">
        <v>0</v>
      </c>
      <c r="G812" s="68">
        <v>0</v>
      </c>
      <c r="H812" s="68">
        <f>+G810*0.07</f>
        <v>790.30000000000007</v>
      </c>
      <c r="I812" s="47">
        <v>0</v>
      </c>
      <c r="J812" s="54">
        <f t="shared" si="141"/>
        <v>790.30000000000007</v>
      </c>
    </row>
    <row r="813" spans="1:10" x14ac:dyDescent="0.3">
      <c r="A813" t="s">
        <v>13327</v>
      </c>
      <c r="B813" s="3">
        <v>0</v>
      </c>
      <c r="C813" s="3">
        <v>0</v>
      </c>
      <c r="D813" s="3">
        <v>0</v>
      </c>
      <c r="E813" s="3">
        <v>0</v>
      </c>
      <c r="F813" s="3">
        <v>0</v>
      </c>
      <c r="G813" s="68">
        <v>0</v>
      </c>
      <c r="H813" s="68">
        <f>+H812</f>
        <v>790.30000000000007</v>
      </c>
      <c r="I813" s="47">
        <v>0</v>
      </c>
      <c r="J813" s="54">
        <f t="shared" si="141"/>
        <v>790.30000000000007</v>
      </c>
    </row>
    <row r="814" spans="1:10" x14ac:dyDescent="0.3">
      <c r="A814" t="s">
        <v>13278</v>
      </c>
      <c r="B814" s="3">
        <f>+F801</f>
        <v>2100</v>
      </c>
      <c r="C814" s="3">
        <v>0</v>
      </c>
      <c r="D814" s="3">
        <v>0</v>
      </c>
      <c r="E814" s="3">
        <v>0</v>
      </c>
      <c r="F814" s="47">
        <f>+F808</f>
        <v>5.7399999999999993</v>
      </c>
      <c r="G814" s="3">
        <v>0</v>
      </c>
      <c r="H814" s="3">
        <v>0</v>
      </c>
      <c r="I814" s="49">
        <f>+B814/2*F814</f>
        <v>6026.9999999999991</v>
      </c>
      <c r="J814" s="54">
        <f t="shared" si="141"/>
        <v>6026.9999999999991</v>
      </c>
    </row>
    <row r="815" spans="1:10" x14ac:dyDescent="0.3">
      <c r="A815" t="s">
        <v>13279</v>
      </c>
      <c r="B815" s="3">
        <f>+F801</f>
        <v>2100</v>
      </c>
      <c r="C815" s="3">
        <v>0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49">
        <f>+B815*2</f>
        <v>4200</v>
      </c>
      <c r="J815" s="54">
        <f t="shared" si="141"/>
        <v>4200</v>
      </c>
    </row>
    <row r="816" spans="1:10" x14ac:dyDescent="0.3">
      <c r="A816" t="s">
        <v>13282</v>
      </c>
      <c r="B816" s="47">
        <f>+F801</f>
        <v>2100</v>
      </c>
      <c r="C816" s="3">
        <v>12</v>
      </c>
      <c r="D816" s="3">
        <v>0</v>
      </c>
      <c r="E816" s="3">
        <v>0</v>
      </c>
      <c r="F816" s="3">
        <v>0</v>
      </c>
      <c r="G816" s="49">
        <f>+B816*C816</f>
        <v>25200</v>
      </c>
      <c r="H816" s="3">
        <v>0</v>
      </c>
      <c r="I816" s="47">
        <v>0</v>
      </c>
      <c r="J816" s="54">
        <f t="shared" si="141"/>
        <v>25200</v>
      </c>
    </row>
    <row r="817" spans="1:10" x14ac:dyDescent="0.3">
      <c r="A817" s="51"/>
      <c r="B817" s="52" t="s">
        <v>13328</v>
      </c>
      <c r="C817" s="52" t="s">
        <v>13272</v>
      </c>
      <c r="D817" s="52" t="s">
        <v>13273</v>
      </c>
      <c r="E817" s="52" t="s">
        <v>13274</v>
      </c>
      <c r="F817" s="52" t="s">
        <v>13275</v>
      </c>
      <c r="G817" s="52" t="s">
        <v>13276</v>
      </c>
      <c r="H817" s="52" t="s">
        <v>13277</v>
      </c>
      <c r="I817" s="52" t="s">
        <v>13329</v>
      </c>
      <c r="J817" s="56">
        <v>0</v>
      </c>
    </row>
    <row r="818" spans="1:10" x14ac:dyDescent="0.3">
      <c r="A818" t="s">
        <v>13330</v>
      </c>
      <c r="B818" s="3">
        <f>+F801</f>
        <v>2100</v>
      </c>
      <c r="C818" s="3">
        <v>0</v>
      </c>
      <c r="D818" s="3">
        <v>1.2</v>
      </c>
      <c r="E818" s="3">
        <v>0.7</v>
      </c>
      <c r="F818" s="3">
        <v>0</v>
      </c>
      <c r="G818" s="3">
        <v>0</v>
      </c>
      <c r="H818" s="50">
        <f>+B818*D818*E818</f>
        <v>1764</v>
      </c>
      <c r="I818" s="3">
        <v>0</v>
      </c>
      <c r="J818" s="54">
        <f t="shared" ref="J818:J824" si="144">SUM(G818:I818)</f>
        <v>1764</v>
      </c>
    </row>
    <row r="819" spans="1:10" x14ac:dyDescent="0.3">
      <c r="A819" t="s">
        <v>13310</v>
      </c>
      <c r="B819" s="3">
        <f>+F801</f>
        <v>2100</v>
      </c>
      <c r="C819" s="3"/>
      <c r="D819" s="3">
        <v>0.6</v>
      </c>
      <c r="E819" s="3">
        <v>0.6</v>
      </c>
      <c r="F819" s="3"/>
      <c r="G819" s="3"/>
      <c r="H819" s="50">
        <f>+H818-(B819*D819*E819)</f>
        <v>1008</v>
      </c>
      <c r="I819" s="3"/>
      <c r="J819" s="54">
        <f t="shared" si="144"/>
        <v>1008</v>
      </c>
    </row>
    <row r="820" spans="1:10" x14ac:dyDescent="0.3">
      <c r="A820" t="s">
        <v>13324</v>
      </c>
      <c r="B820" s="3">
        <v>0</v>
      </c>
      <c r="C820" s="3">
        <v>0</v>
      </c>
      <c r="D820" s="3">
        <v>0</v>
      </c>
      <c r="E820" s="3">
        <v>0</v>
      </c>
      <c r="F820" s="3">
        <v>0</v>
      </c>
      <c r="G820" s="3">
        <v>0</v>
      </c>
      <c r="H820" s="50">
        <f>(H818-H819)*1.4*5</f>
        <v>5291.9999999999991</v>
      </c>
      <c r="I820" s="3"/>
      <c r="J820" s="54">
        <f t="shared" si="144"/>
        <v>5291.9999999999991</v>
      </c>
    </row>
    <row r="821" spans="1:10" x14ac:dyDescent="0.3">
      <c r="A821" t="s">
        <v>13311</v>
      </c>
      <c r="B821" s="3">
        <f>+F801</f>
        <v>2100</v>
      </c>
      <c r="C821" s="3">
        <v>0</v>
      </c>
      <c r="D821" s="3">
        <v>0.6</v>
      </c>
      <c r="E821" s="3">
        <v>0.6</v>
      </c>
      <c r="F821" s="3">
        <v>0</v>
      </c>
      <c r="G821" s="50">
        <f>B821*D821*4</f>
        <v>5040</v>
      </c>
      <c r="H821" s="3">
        <v>0</v>
      </c>
      <c r="I821" s="3">
        <v>0</v>
      </c>
      <c r="J821" s="54">
        <f t="shared" si="144"/>
        <v>5040</v>
      </c>
    </row>
    <row r="822" spans="1:10" x14ac:dyDescent="0.3">
      <c r="A822" t="s">
        <v>13312</v>
      </c>
      <c r="B822" s="3">
        <f>+F801</f>
        <v>2100</v>
      </c>
      <c r="C822" s="3">
        <v>0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50">
        <f>+B822</f>
        <v>2100</v>
      </c>
      <c r="J822" s="54">
        <f t="shared" si="144"/>
        <v>2100</v>
      </c>
    </row>
    <row r="823" spans="1:10" x14ac:dyDescent="0.3">
      <c r="A823" t="s">
        <v>13313</v>
      </c>
      <c r="B823" s="3">
        <f>+F801</f>
        <v>2100</v>
      </c>
      <c r="C823" s="3">
        <v>0</v>
      </c>
      <c r="D823" s="3">
        <v>0.6</v>
      </c>
      <c r="E823" s="3">
        <v>0.6</v>
      </c>
      <c r="F823" s="3">
        <v>0</v>
      </c>
      <c r="G823" s="3">
        <v>0</v>
      </c>
      <c r="H823" s="50">
        <f>B823*D823*E823-(B823*3.14*0.4*0.4/4)</f>
        <v>492.23999999999995</v>
      </c>
      <c r="I823" s="3">
        <v>0</v>
      </c>
      <c r="J823" s="54">
        <f t="shared" si="144"/>
        <v>492.23999999999995</v>
      </c>
    </row>
    <row r="824" spans="1:10" x14ac:dyDescent="0.3">
      <c r="A824" t="s">
        <v>13320</v>
      </c>
      <c r="B824" s="3">
        <f>+F801</f>
        <v>2100</v>
      </c>
      <c r="C824" s="3">
        <v>1.2</v>
      </c>
      <c r="D824" s="3">
        <v>0</v>
      </c>
      <c r="E824" s="3">
        <v>0.1</v>
      </c>
      <c r="F824" s="3">
        <v>0</v>
      </c>
      <c r="G824" s="3">
        <v>0</v>
      </c>
      <c r="H824" s="50">
        <f>+B824*C824*E824</f>
        <v>252</v>
      </c>
      <c r="I824" s="3"/>
      <c r="J824" s="54">
        <f t="shared" si="144"/>
        <v>252</v>
      </c>
    </row>
    <row r="825" spans="1:10" x14ac:dyDescent="0.3">
      <c r="A825" s="51"/>
      <c r="B825" s="52" t="s">
        <v>13328</v>
      </c>
      <c r="C825" s="52" t="s">
        <v>13272</v>
      </c>
      <c r="D825" s="52" t="s">
        <v>13273</v>
      </c>
      <c r="E825" s="52" t="s">
        <v>13274</v>
      </c>
      <c r="F825" s="52" t="s">
        <v>13275</v>
      </c>
      <c r="G825" s="52" t="s">
        <v>13276</v>
      </c>
      <c r="H825" s="52" t="s">
        <v>13277</v>
      </c>
      <c r="I825" s="52" t="s">
        <v>13329</v>
      </c>
      <c r="J825" s="56">
        <v>0</v>
      </c>
    </row>
    <row r="826" spans="1:10" x14ac:dyDescent="0.3">
      <c r="A826" t="s">
        <v>13331</v>
      </c>
      <c r="B826" s="3">
        <f>+F801</f>
        <v>2100</v>
      </c>
      <c r="C826" s="3">
        <v>0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f>+B826*2</f>
        <v>4200</v>
      </c>
      <c r="J826" s="54">
        <f t="shared" ref="J826:J829" si="145">SUM(G826:I826)</f>
        <v>4200</v>
      </c>
    </row>
    <row r="827" spans="1:10" x14ac:dyDescent="0.3">
      <c r="A827" t="s">
        <v>13332</v>
      </c>
      <c r="B827" s="3">
        <f>+F801</f>
        <v>2100</v>
      </c>
      <c r="C827" s="3">
        <v>0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f>+B827*2</f>
        <v>4200</v>
      </c>
      <c r="J827" s="54">
        <f t="shared" si="145"/>
        <v>4200</v>
      </c>
    </row>
    <row r="828" spans="1:10" x14ac:dyDescent="0.3">
      <c r="A828" t="s">
        <v>13333</v>
      </c>
      <c r="B828" s="3">
        <v>0</v>
      </c>
      <c r="C828" s="3">
        <v>0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54">
        <f t="shared" si="145"/>
        <v>0</v>
      </c>
    </row>
    <row r="829" spans="1:10" x14ac:dyDescent="0.3">
      <c r="A829" t="s">
        <v>13334</v>
      </c>
      <c r="B829" s="3">
        <v>0</v>
      </c>
      <c r="C829" s="3">
        <v>0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 s="54">
        <f t="shared" si="145"/>
        <v>0</v>
      </c>
    </row>
    <row r="830" spans="1:10" x14ac:dyDescent="0.3">
      <c r="A830" s="51"/>
      <c r="B830" s="52" t="s">
        <v>13328</v>
      </c>
      <c r="C830" s="52" t="s">
        <v>13272</v>
      </c>
      <c r="D830" s="52" t="s">
        <v>13273</v>
      </c>
      <c r="E830" s="52" t="s">
        <v>13274</v>
      </c>
      <c r="F830" s="52" t="s">
        <v>13275</v>
      </c>
      <c r="G830" s="52" t="s">
        <v>13276</v>
      </c>
      <c r="H830" s="52" t="s">
        <v>13277</v>
      </c>
      <c r="I830" s="52" t="s">
        <v>13329</v>
      </c>
      <c r="J830" s="56">
        <v>0</v>
      </c>
    </row>
    <row r="831" spans="1:10" x14ac:dyDescent="0.3">
      <c r="A831" t="s">
        <v>13330</v>
      </c>
      <c r="B831" s="3">
        <f>+F801</f>
        <v>2100</v>
      </c>
      <c r="C831" s="3">
        <v>0</v>
      </c>
      <c r="D831" s="3">
        <v>3.5</v>
      </c>
      <c r="E831" s="3">
        <v>0.15</v>
      </c>
      <c r="F831" s="3">
        <v>0</v>
      </c>
      <c r="G831" s="3">
        <v>0</v>
      </c>
      <c r="H831" s="3">
        <f>+B831*D831*E831*2</f>
        <v>2205</v>
      </c>
      <c r="I831" s="3">
        <v>0</v>
      </c>
      <c r="J831" s="54">
        <f t="shared" ref="J831:J835" si="146">SUM(G831:I831)</f>
        <v>2205</v>
      </c>
    </row>
    <row r="832" spans="1:10" x14ac:dyDescent="0.3">
      <c r="A832" t="s">
        <v>13271</v>
      </c>
      <c r="B832" s="3">
        <f>+F801</f>
        <v>2100</v>
      </c>
      <c r="C832" s="3">
        <v>0</v>
      </c>
      <c r="D832" s="3">
        <v>3.5</v>
      </c>
      <c r="E832" s="3">
        <v>0.1</v>
      </c>
      <c r="F832" s="3">
        <v>0</v>
      </c>
      <c r="G832" s="3">
        <v>0</v>
      </c>
      <c r="H832" s="3">
        <f>+B832*D832*E832*2</f>
        <v>1470</v>
      </c>
      <c r="I832" s="3">
        <v>0</v>
      </c>
      <c r="J832" s="54">
        <f t="shared" si="146"/>
        <v>1470</v>
      </c>
    </row>
    <row r="833" spans="1:10" x14ac:dyDescent="0.3">
      <c r="A833" t="s">
        <v>13324</v>
      </c>
      <c r="B833" s="3">
        <v>0</v>
      </c>
      <c r="C833" s="3">
        <v>0</v>
      </c>
      <c r="D833" s="3">
        <v>0</v>
      </c>
      <c r="E833" s="3">
        <v>0</v>
      </c>
      <c r="F833" s="3">
        <v>0</v>
      </c>
      <c r="G833" s="3">
        <v>0</v>
      </c>
      <c r="H833" s="3">
        <f>+H831-H832</f>
        <v>735</v>
      </c>
      <c r="I833" s="3">
        <v>0</v>
      </c>
      <c r="J833" s="54">
        <f t="shared" si="146"/>
        <v>735</v>
      </c>
    </row>
    <row r="834" spans="1:10" x14ac:dyDescent="0.3">
      <c r="A834" t="s">
        <v>13335</v>
      </c>
      <c r="B834" s="3">
        <f>+F801</f>
        <v>2100</v>
      </c>
      <c r="C834" s="3">
        <v>0</v>
      </c>
      <c r="D834" s="3">
        <v>3.5</v>
      </c>
      <c r="E834" s="3">
        <v>0</v>
      </c>
      <c r="F834" s="3">
        <v>0</v>
      </c>
      <c r="G834" s="3">
        <f>+B834*D834*2</f>
        <v>14700</v>
      </c>
      <c r="H834" s="3">
        <v>0</v>
      </c>
      <c r="I834" s="3">
        <v>0</v>
      </c>
      <c r="J834" s="54">
        <f t="shared" si="146"/>
        <v>14700</v>
      </c>
    </row>
    <row r="835" spans="1:10" x14ac:dyDescent="0.3">
      <c r="A835" t="s">
        <v>13336</v>
      </c>
      <c r="B835" s="3">
        <f>+F801</f>
        <v>2100</v>
      </c>
      <c r="C835" s="3">
        <v>0</v>
      </c>
      <c r="D835" s="3">
        <v>3.5</v>
      </c>
      <c r="E835" s="3">
        <v>0.15</v>
      </c>
      <c r="F835" s="3">
        <v>0</v>
      </c>
      <c r="G835" s="3"/>
      <c r="H835" s="3">
        <f>+B835*D835*E835</f>
        <v>1102.5</v>
      </c>
      <c r="I835" s="3">
        <v>0</v>
      </c>
      <c r="J835" s="54">
        <f t="shared" si="146"/>
        <v>1102.5</v>
      </c>
    </row>
    <row r="836" spans="1:10" x14ac:dyDescent="0.3">
      <c r="A836" s="51"/>
      <c r="B836" s="52" t="s">
        <v>13328</v>
      </c>
      <c r="C836" s="52" t="s">
        <v>13272</v>
      </c>
      <c r="D836" s="52" t="s">
        <v>13273</v>
      </c>
      <c r="E836" s="52" t="s">
        <v>13274</v>
      </c>
      <c r="F836" s="52" t="s">
        <v>13275</v>
      </c>
      <c r="G836" s="52" t="s">
        <v>13276</v>
      </c>
      <c r="H836" s="52" t="s">
        <v>13277</v>
      </c>
      <c r="I836" s="52" t="s">
        <v>13329</v>
      </c>
      <c r="J836" s="56">
        <v>0</v>
      </c>
    </row>
    <row r="837" spans="1:10" x14ac:dyDescent="0.3">
      <c r="A837" s="3" t="s">
        <v>13337</v>
      </c>
      <c r="B837" s="3">
        <f>+F801</f>
        <v>2100</v>
      </c>
      <c r="C837" s="3">
        <v>0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f>+B837*2</f>
        <v>4200</v>
      </c>
      <c r="J837" s="55">
        <f t="shared" ref="J837" si="147">SUM(G837:I837)</f>
        <v>4200</v>
      </c>
    </row>
    <row r="839" spans="1:10" x14ac:dyDescent="0.3">
      <c r="A839" t="s">
        <v>13135</v>
      </c>
      <c r="B839" t="str">
        <f>+'Ficha Canais'!A31</f>
        <v>Canal: CP3b - Trecho 2</v>
      </c>
      <c r="E839" t="s">
        <v>13269</v>
      </c>
      <c r="F839" s="3">
        <f>+'Ficha Canais'!B31</f>
        <v>0</v>
      </c>
      <c r="G839" t="s">
        <v>13270</v>
      </c>
      <c r="H839" t="s">
        <v>14586</v>
      </c>
      <c r="I839" s="3">
        <f>+I801</f>
        <v>5</v>
      </c>
    </row>
    <row r="840" spans="1:10" x14ac:dyDescent="0.3">
      <c r="A840" s="51"/>
      <c r="B840" s="52" t="s">
        <v>13328</v>
      </c>
      <c r="C840" s="52" t="s">
        <v>13272</v>
      </c>
      <c r="D840" s="52" t="s">
        <v>13273</v>
      </c>
      <c r="E840" s="52" t="s">
        <v>13274</v>
      </c>
      <c r="F840" s="52" t="s">
        <v>13275</v>
      </c>
      <c r="G840" s="52" t="s">
        <v>13276</v>
      </c>
      <c r="H840" s="52" t="s">
        <v>13277</v>
      </c>
      <c r="I840" s="52" t="s">
        <v>13329</v>
      </c>
      <c r="J840" s="53" t="s">
        <v>13309</v>
      </c>
    </row>
    <row r="841" spans="1:10" x14ac:dyDescent="0.3">
      <c r="A841" t="s">
        <v>13322</v>
      </c>
      <c r="B841" s="3">
        <f>+F839</f>
        <v>0</v>
      </c>
      <c r="C841" s="3">
        <v>0</v>
      </c>
      <c r="D841" s="3">
        <v>0</v>
      </c>
      <c r="E841" s="3">
        <v>0</v>
      </c>
      <c r="F841" s="3">
        <v>0</v>
      </c>
      <c r="G841" s="49">
        <f>+B841*C841</f>
        <v>0</v>
      </c>
      <c r="H841" s="47">
        <v>0</v>
      </c>
      <c r="I841" s="47">
        <v>0</v>
      </c>
      <c r="J841" s="54">
        <f>SUM(G841:I841)</f>
        <v>0</v>
      </c>
    </row>
    <row r="842" spans="1:10" x14ac:dyDescent="0.3">
      <c r="A842" t="s">
        <v>13323</v>
      </c>
      <c r="B842" s="3">
        <v>0</v>
      </c>
      <c r="C842" s="3">
        <v>0</v>
      </c>
      <c r="D842" s="3">
        <v>0</v>
      </c>
      <c r="E842" s="3">
        <v>0</v>
      </c>
      <c r="F842" s="3">
        <v>0</v>
      </c>
      <c r="G842" s="3">
        <v>0</v>
      </c>
      <c r="H842" s="68">
        <v>0</v>
      </c>
      <c r="I842" s="47">
        <v>0</v>
      </c>
      <c r="J842" s="54">
        <f t="shared" ref="J842:J854" si="148">SUM(G842:I842)</f>
        <v>0</v>
      </c>
    </row>
    <row r="843" spans="1:10" x14ac:dyDescent="0.3">
      <c r="A843" t="s">
        <v>13271</v>
      </c>
      <c r="B843" s="3">
        <v>0</v>
      </c>
      <c r="C843" s="3">
        <v>0</v>
      </c>
      <c r="D843" s="3">
        <v>0</v>
      </c>
      <c r="E843" s="3">
        <v>0</v>
      </c>
      <c r="F843" s="3">
        <v>0</v>
      </c>
      <c r="G843" s="3">
        <v>0</v>
      </c>
      <c r="H843" s="68">
        <v>0</v>
      </c>
      <c r="I843" s="47">
        <v>0</v>
      </c>
      <c r="J843" s="54">
        <f t="shared" si="148"/>
        <v>0</v>
      </c>
    </row>
    <row r="844" spans="1:10" x14ac:dyDescent="0.3">
      <c r="A844" t="s">
        <v>13324</v>
      </c>
      <c r="B844" s="3">
        <v>0</v>
      </c>
      <c r="C844" s="3">
        <v>0</v>
      </c>
      <c r="D844" s="3">
        <v>0</v>
      </c>
      <c r="E844" s="3">
        <v>0</v>
      </c>
      <c r="F844" s="3">
        <v>0</v>
      </c>
      <c r="G844" s="3">
        <v>0</v>
      </c>
      <c r="H844" s="68">
        <v>0</v>
      </c>
      <c r="I844" s="47">
        <v>0</v>
      </c>
      <c r="J844" s="54">
        <f t="shared" si="148"/>
        <v>0</v>
      </c>
    </row>
    <row r="845" spans="1:10" s="60" customFormat="1" x14ac:dyDescent="0.3">
      <c r="A845" s="60" t="s">
        <v>13335</v>
      </c>
      <c r="B845" s="61">
        <f>+F839</f>
        <v>0</v>
      </c>
      <c r="C845" s="61">
        <v>0</v>
      </c>
      <c r="D845" s="61">
        <f>+D846</f>
        <v>0</v>
      </c>
      <c r="E845" s="61">
        <v>0</v>
      </c>
      <c r="F845" s="61">
        <v>0</v>
      </c>
      <c r="G845" s="194">
        <f>+B845*D845</f>
        <v>0</v>
      </c>
      <c r="H845" s="62">
        <v>0</v>
      </c>
      <c r="I845" s="62"/>
      <c r="J845" s="195">
        <f t="shared" si="148"/>
        <v>0</v>
      </c>
    </row>
    <row r="846" spans="1:10" x14ac:dyDescent="0.3">
      <c r="A846" t="s">
        <v>13325</v>
      </c>
      <c r="B846" s="3">
        <f>+F839</f>
        <v>0</v>
      </c>
      <c r="C846" s="3">
        <v>0</v>
      </c>
      <c r="D846" s="3">
        <v>0</v>
      </c>
      <c r="E846" s="3">
        <v>0</v>
      </c>
      <c r="F846" s="3">
        <v>0</v>
      </c>
      <c r="G846" s="69">
        <v>0</v>
      </c>
      <c r="H846" s="68">
        <v>0</v>
      </c>
      <c r="I846" s="47">
        <v>0</v>
      </c>
      <c r="J846" s="54">
        <f t="shared" si="148"/>
        <v>0</v>
      </c>
    </row>
    <row r="847" spans="1:10" s="60" customFormat="1" x14ac:dyDescent="0.3">
      <c r="A847" s="60" t="s">
        <v>14514</v>
      </c>
      <c r="B847" s="61">
        <f>+F839</f>
        <v>0</v>
      </c>
      <c r="C847" s="61">
        <v>0</v>
      </c>
      <c r="D847" s="61">
        <v>0</v>
      </c>
      <c r="E847" s="61">
        <v>0</v>
      </c>
      <c r="F847" s="61">
        <v>0</v>
      </c>
      <c r="G847" s="62">
        <v>0</v>
      </c>
      <c r="H847" s="194">
        <f>+G848*0.2</f>
        <v>0</v>
      </c>
      <c r="I847" s="62">
        <v>0</v>
      </c>
      <c r="J847" s="195">
        <f t="shared" si="148"/>
        <v>0</v>
      </c>
    </row>
    <row r="848" spans="1:10" x14ac:dyDescent="0.3">
      <c r="A848" t="s">
        <v>13326</v>
      </c>
      <c r="B848" s="3">
        <v>0</v>
      </c>
      <c r="C848" s="3">
        <v>0</v>
      </c>
      <c r="D848" s="3">
        <v>0</v>
      </c>
      <c r="E848" s="3">
        <v>0</v>
      </c>
      <c r="F848" s="3">
        <v>0</v>
      </c>
      <c r="G848" s="69">
        <v>0</v>
      </c>
      <c r="H848" s="68">
        <v>0</v>
      </c>
      <c r="I848" s="47">
        <v>0</v>
      </c>
      <c r="J848" s="54">
        <f t="shared" si="148"/>
        <v>0</v>
      </c>
    </row>
    <row r="849" spans="1:10" s="60" customFormat="1" x14ac:dyDescent="0.3">
      <c r="A849" s="60" t="s">
        <v>14515</v>
      </c>
      <c r="B849" s="61">
        <f>+F839</f>
        <v>0</v>
      </c>
      <c r="C849" s="61">
        <v>0</v>
      </c>
      <c r="D849" s="61">
        <v>0</v>
      </c>
      <c r="E849" s="61">
        <v>0</v>
      </c>
      <c r="F849" s="61">
        <v>0</v>
      </c>
      <c r="G849" s="62">
        <v>0</v>
      </c>
      <c r="H849" s="61">
        <v>0</v>
      </c>
      <c r="I849" s="194">
        <f>+B849*2</f>
        <v>0</v>
      </c>
      <c r="J849" s="195">
        <f>+I849</f>
        <v>0</v>
      </c>
    </row>
    <row r="850" spans="1:10" x14ac:dyDescent="0.3">
      <c r="A850" t="s">
        <v>3042</v>
      </c>
      <c r="B850" s="3">
        <v>0</v>
      </c>
      <c r="C850" s="3">
        <v>0</v>
      </c>
      <c r="D850" s="3">
        <v>0</v>
      </c>
      <c r="E850" s="3">
        <v>0</v>
      </c>
      <c r="F850" s="3">
        <v>0</v>
      </c>
      <c r="G850" s="68">
        <v>0</v>
      </c>
      <c r="H850" s="68">
        <f>+G848*0.07</f>
        <v>0</v>
      </c>
      <c r="I850" s="47">
        <v>0</v>
      </c>
      <c r="J850" s="54">
        <f t="shared" si="148"/>
        <v>0</v>
      </c>
    </row>
    <row r="851" spans="1:10" x14ac:dyDescent="0.3">
      <c r="A851" t="s">
        <v>13327</v>
      </c>
      <c r="B851" s="3">
        <v>0</v>
      </c>
      <c r="C851" s="3">
        <v>0</v>
      </c>
      <c r="D851" s="3">
        <v>0</v>
      </c>
      <c r="E851" s="3">
        <v>0</v>
      </c>
      <c r="F851" s="3">
        <v>0</v>
      </c>
      <c r="G851" s="68">
        <v>0</v>
      </c>
      <c r="H851" s="68">
        <f>+H850</f>
        <v>0</v>
      </c>
      <c r="I851" s="47">
        <v>0</v>
      </c>
      <c r="J851" s="54">
        <f t="shared" si="148"/>
        <v>0</v>
      </c>
    </row>
    <row r="852" spans="1:10" x14ac:dyDescent="0.3">
      <c r="A852" t="s">
        <v>13278</v>
      </c>
      <c r="B852" s="3">
        <f>+F839</f>
        <v>0</v>
      </c>
      <c r="C852" s="3">
        <v>0</v>
      </c>
      <c r="D852" s="3">
        <v>0</v>
      </c>
      <c r="E852" s="3">
        <v>0</v>
      </c>
      <c r="F852" s="47">
        <f>+F846</f>
        <v>0</v>
      </c>
      <c r="G852" s="3">
        <v>0</v>
      </c>
      <c r="H852" s="3">
        <v>0</v>
      </c>
      <c r="I852" s="49">
        <f>+B852/2*F852</f>
        <v>0</v>
      </c>
      <c r="J852" s="54">
        <f t="shared" si="148"/>
        <v>0</v>
      </c>
    </row>
    <row r="853" spans="1:10" x14ac:dyDescent="0.3">
      <c r="A853" t="s">
        <v>13279</v>
      </c>
      <c r="B853" s="3">
        <f>+F839</f>
        <v>0</v>
      </c>
      <c r="C853" s="3">
        <v>0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49">
        <f>+B853*2</f>
        <v>0</v>
      </c>
      <c r="J853" s="54">
        <f t="shared" si="148"/>
        <v>0</v>
      </c>
    </row>
    <row r="854" spans="1:10" x14ac:dyDescent="0.3">
      <c r="A854" t="s">
        <v>13282</v>
      </c>
      <c r="B854" s="47">
        <f>+F839</f>
        <v>0</v>
      </c>
      <c r="C854" s="3">
        <v>0</v>
      </c>
      <c r="D854" s="3">
        <v>0</v>
      </c>
      <c r="E854" s="3">
        <v>0</v>
      </c>
      <c r="F854" s="3">
        <v>0</v>
      </c>
      <c r="G854" s="49">
        <f>+B854*C854</f>
        <v>0</v>
      </c>
      <c r="H854" s="3">
        <v>0</v>
      </c>
      <c r="I854" s="47">
        <v>0</v>
      </c>
      <c r="J854" s="54">
        <f t="shared" si="148"/>
        <v>0</v>
      </c>
    </row>
    <row r="855" spans="1:10" x14ac:dyDescent="0.3">
      <c r="A855" s="51"/>
      <c r="B855" s="52" t="s">
        <v>13328</v>
      </c>
      <c r="C855" s="52" t="s">
        <v>13272</v>
      </c>
      <c r="D855" s="52" t="s">
        <v>13273</v>
      </c>
      <c r="E855" s="52" t="s">
        <v>13274</v>
      </c>
      <c r="F855" s="52" t="s">
        <v>13275</v>
      </c>
      <c r="G855" s="52" t="s">
        <v>13276</v>
      </c>
      <c r="H855" s="52" t="s">
        <v>13277</v>
      </c>
      <c r="I855" s="52" t="s">
        <v>13329</v>
      </c>
      <c r="J855" s="56">
        <v>0</v>
      </c>
    </row>
    <row r="856" spans="1:10" x14ac:dyDescent="0.3">
      <c r="A856" t="s">
        <v>13330</v>
      </c>
      <c r="B856" s="3">
        <f>+F839</f>
        <v>0</v>
      </c>
      <c r="C856" s="3">
        <v>0</v>
      </c>
      <c r="D856" s="3">
        <v>1.2</v>
      </c>
      <c r="E856" s="3">
        <v>0.7</v>
      </c>
      <c r="F856" s="3">
        <v>0</v>
      </c>
      <c r="G856" s="3">
        <v>0</v>
      </c>
      <c r="H856" s="50">
        <f>+B856*D856*E856</f>
        <v>0</v>
      </c>
      <c r="I856" s="3">
        <v>0</v>
      </c>
      <c r="J856" s="54">
        <f t="shared" ref="J856:J862" si="149">SUM(G856:I856)</f>
        <v>0</v>
      </c>
    </row>
    <row r="857" spans="1:10" x14ac:dyDescent="0.3">
      <c r="A857" t="s">
        <v>13310</v>
      </c>
      <c r="B857" s="3">
        <f>+F839</f>
        <v>0</v>
      </c>
      <c r="C857" s="3"/>
      <c r="D857" s="3">
        <v>0.6</v>
      </c>
      <c r="E857" s="3">
        <v>0.6</v>
      </c>
      <c r="F857" s="3"/>
      <c r="G857" s="3"/>
      <c r="H857" s="50">
        <f>+H856-(B857*D857*E857)</f>
        <v>0</v>
      </c>
      <c r="I857" s="3"/>
      <c r="J857" s="54">
        <f t="shared" si="149"/>
        <v>0</v>
      </c>
    </row>
    <row r="858" spans="1:10" x14ac:dyDescent="0.3">
      <c r="A858" t="s">
        <v>13324</v>
      </c>
      <c r="B858" s="3">
        <v>0</v>
      </c>
      <c r="C858" s="3">
        <v>0</v>
      </c>
      <c r="D858" s="3">
        <v>0</v>
      </c>
      <c r="E858" s="3">
        <v>0</v>
      </c>
      <c r="F858" s="3">
        <v>0</v>
      </c>
      <c r="G858" s="3">
        <v>0</v>
      </c>
      <c r="H858" s="50">
        <f>(H856-H857)*1.4*5</f>
        <v>0</v>
      </c>
      <c r="I858" s="3"/>
      <c r="J858" s="54">
        <f t="shared" si="149"/>
        <v>0</v>
      </c>
    </row>
    <row r="859" spans="1:10" x14ac:dyDescent="0.3">
      <c r="A859" t="s">
        <v>13311</v>
      </c>
      <c r="B859" s="3">
        <f>+F839</f>
        <v>0</v>
      </c>
      <c r="C859" s="3">
        <v>0</v>
      </c>
      <c r="D859" s="3">
        <v>0.6</v>
      </c>
      <c r="E859" s="3">
        <v>0.6</v>
      </c>
      <c r="F859" s="3">
        <v>0</v>
      </c>
      <c r="G859" s="50">
        <f>B859*D859*4</f>
        <v>0</v>
      </c>
      <c r="H859" s="3">
        <v>0</v>
      </c>
      <c r="I859" s="3">
        <v>0</v>
      </c>
      <c r="J859" s="54">
        <f t="shared" si="149"/>
        <v>0</v>
      </c>
    </row>
    <row r="860" spans="1:10" x14ac:dyDescent="0.3">
      <c r="A860" t="s">
        <v>13312</v>
      </c>
      <c r="B860" s="3">
        <f>+F839</f>
        <v>0</v>
      </c>
      <c r="C860" s="3">
        <v>0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50">
        <f>+B860</f>
        <v>0</v>
      </c>
      <c r="J860" s="54">
        <f t="shared" si="149"/>
        <v>0</v>
      </c>
    </row>
    <row r="861" spans="1:10" x14ac:dyDescent="0.3">
      <c r="A861" t="s">
        <v>13313</v>
      </c>
      <c r="B861" s="3">
        <f>+F839</f>
        <v>0</v>
      </c>
      <c r="C861" s="3">
        <v>0</v>
      </c>
      <c r="D861" s="3">
        <v>0.6</v>
      </c>
      <c r="E861" s="3">
        <v>0.6</v>
      </c>
      <c r="F861" s="3">
        <v>0</v>
      </c>
      <c r="G861" s="3">
        <v>0</v>
      </c>
      <c r="H861" s="50">
        <f>B861*D861*E861-(B861*3.14*0.4*0.4/4)</f>
        <v>0</v>
      </c>
      <c r="I861" s="3">
        <v>0</v>
      </c>
      <c r="J861" s="54">
        <f t="shared" si="149"/>
        <v>0</v>
      </c>
    </row>
    <row r="862" spans="1:10" x14ac:dyDescent="0.3">
      <c r="A862" t="s">
        <v>13320</v>
      </c>
      <c r="B862" s="3">
        <f>+F839</f>
        <v>0</v>
      </c>
      <c r="C862" s="3">
        <v>1.2</v>
      </c>
      <c r="D862" s="3">
        <v>0</v>
      </c>
      <c r="E862" s="3">
        <v>0.1</v>
      </c>
      <c r="F862" s="3">
        <v>0</v>
      </c>
      <c r="G862" s="3">
        <v>0</v>
      </c>
      <c r="H862" s="50">
        <f>+B862*C862*E862</f>
        <v>0</v>
      </c>
      <c r="I862" s="3"/>
      <c r="J862" s="54">
        <f t="shared" si="149"/>
        <v>0</v>
      </c>
    </row>
    <row r="863" spans="1:10" x14ac:dyDescent="0.3">
      <c r="A863" s="51"/>
      <c r="B863" s="52" t="s">
        <v>13328</v>
      </c>
      <c r="C863" s="52" t="s">
        <v>13272</v>
      </c>
      <c r="D863" s="52" t="s">
        <v>13273</v>
      </c>
      <c r="E863" s="52" t="s">
        <v>13274</v>
      </c>
      <c r="F863" s="52" t="s">
        <v>13275</v>
      </c>
      <c r="G863" s="52" t="s">
        <v>13276</v>
      </c>
      <c r="H863" s="52" t="s">
        <v>13277</v>
      </c>
      <c r="I863" s="52" t="s">
        <v>13329</v>
      </c>
      <c r="J863" s="56">
        <v>0</v>
      </c>
    </row>
    <row r="864" spans="1:10" x14ac:dyDescent="0.3">
      <c r="A864" t="s">
        <v>13331</v>
      </c>
      <c r="B864" s="3">
        <f>+F839</f>
        <v>0</v>
      </c>
      <c r="C864" s="3">
        <v>0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f>+B864*2</f>
        <v>0</v>
      </c>
      <c r="J864" s="54">
        <f t="shared" ref="J864:J867" si="150">SUM(G864:I864)</f>
        <v>0</v>
      </c>
    </row>
    <row r="865" spans="1:10" x14ac:dyDescent="0.3">
      <c r="A865" t="s">
        <v>13332</v>
      </c>
      <c r="B865" s="3">
        <f>+F839</f>
        <v>0</v>
      </c>
      <c r="C865" s="3">
        <v>0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f>+B865*2</f>
        <v>0</v>
      </c>
      <c r="J865" s="54">
        <f t="shared" si="150"/>
        <v>0</v>
      </c>
    </row>
    <row r="866" spans="1:10" x14ac:dyDescent="0.3">
      <c r="A866" t="s">
        <v>13333</v>
      </c>
      <c r="B866" s="3">
        <v>0</v>
      </c>
      <c r="C866" s="3">
        <v>0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54">
        <f t="shared" si="150"/>
        <v>0</v>
      </c>
    </row>
    <row r="867" spans="1:10" x14ac:dyDescent="0.3">
      <c r="A867" t="s">
        <v>13334</v>
      </c>
      <c r="B867" s="3">
        <v>0</v>
      </c>
      <c r="C867" s="3">
        <v>0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54">
        <f t="shared" si="150"/>
        <v>0</v>
      </c>
    </row>
    <row r="868" spans="1:10" x14ac:dyDescent="0.3">
      <c r="A868" s="51"/>
      <c r="B868" s="52" t="s">
        <v>13328</v>
      </c>
      <c r="C868" s="52" t="s">
        <v>13272</v>
      </c>
      <c r="D868" s="52" t="s">
        <v>13273</v>
      </c>
      <c r="E868" s="52" t="s">
        <v>13274</v>
      </c>
      <c r="F868" s="52" t="s">
        <v>13275</v>
      </c>
      <c r="G868" s="52" t="s">
        <v>13276</v>
      </c>
      <c r="H868" s="52" t="s">
        <v>13277</v>
      </c>
      <c r="I868" s="52" t="s">
        <v>13329</v>
      </c>
      <c r="J868" s="56">
        <v>0</v>
      </c>
    </row>
    <row r="869" spans="1:10" x14ac:dyDescent="0.3">
      <c r="A869" t="s">
        <v>13330</v>
      </c>
      <c r="B869" s="3">
        <f>+F839</f>
        <v>0</v>
      </c>
      <c r="C869" s="3">
        <v>0</v>
      </c>
      <c r="D869" s="3">
        <v>3.5</v>
      </c>
      <c r="E869" s="3">
        <v>0.15</v>
      </c>
      <c r="F869" s="3">
        <v>0</v>
      </c>
      <c r="G869" s="3">
        <v>0</v>
      </c>
      <c r="H869" s="3">
        <f>+B869*D869*E869*2</f>
        <v>0</v>
      </c>
      <c r="I869" s="3">
        <v>0</v>
      </c>
      <c r="J869" s="54">
        <f t="shared" ref="J869:J873" si="151">SUM(G869:I869)</f>
        <v>0</v>
      </c>
    </row>
    <row r="870" spans="1:10" x14ac:dyDescent="0.3">
      <c r="A870" t="s">
        <v>13271</v>
      </c>
      <c r="B870" s="3">
        <f>+F839</f>
        <v>0</v>
      </c>
      <c r="C870" s="3">
        <v>0</v>
      </c>
      <c r="D870" s="3">
        <v>3.5</v>
      </c>
      <c r="E870" s="3">
        <v>0.1</v>
      </c>
      <c r="F870" s="3">
        <v>0</v>
      </c>
      <c r="G870" s="3">
        <v>0</v>
      </c>
      <c r="H870" s="3">
        <f>+B870*D870*E870*2</f>
        <v>0</v>
      </c>
      <c r="I870" s="3">
        <v>0</v>
      </c>
      <c r="J870" s="54">
        <f t="shared" si="151"/>
        <v>0</v>
      </c>
    </row>
    <row r="871" spans="1:10" x14ac:dyDescent="0.3">
      <c r="A871" t="s">
        <v>13324</v>
      </c>
      <c r="B871" s="3">
        <v>0</v>
      </c>
      <c r="C871" s="3">
        <v>0</v>
      </c>
      <c r="D871" s="3">
        <v>0</v>
      </c>
      <c r="E871" s="3">
        <v>0</v>
      </c>
      <c r="F871" s="3">
        <v>0</v>
      </c>
      <c r="G871" s="3">
        <v>0</v>
      </c>
      <c r="H871" s="3">
        <f>+H869-H870</f>
        <v>0</v>
      </c>
      <c r="I871" s="3">
        <v>0</v>
      </c>
      <c r="J871" s="54">
        <f t="shared" si="151"/>
        <v>0</v>
      </c>
    </row>
    <row r="872" spans="1:10" x14ac:dyDescent="0.3">
      <c r="A872" t="s">
        <v>13335</v>
      </c>
      <c r="B872" s="3">
        <f>+F839</f>
        <v>0</v>
      </c>
      <c r="C872" s="3">
        <v>0</v>
      </c>
      <c r="D872" s="3">
        <v>3.5</v>
      </c>
      <c r="E872" s="3">
        <v>0</v>
      </c>
      <c r="F872" s="3">
        <v>0</v>
      </c>
      <c r="G872" s="3">
        <f>+B872*D872*2</f>
        <v>0</v>
      </c>
      <c r="H872" s="3">
        <v>0</v>
      </c>
      <c r="I872" s="3">
        <v>0</v>
      </c>
      <c r="J872" s="54">
        <f t="shared" si="151"/>
        <v>0</v>
      </c>
    </row>
    <row r="873" spans="1:10" x14ac:dyDescent="0.3">
      <c r="A873" t="s">
        <v>13336</v>
      </c>
      <c r="B873" s="3">
        <f>+F839</f>
        <v>0</v>
      </c>
      <c r="C873" s="3">
        <v>0</v>
      </c>
      <c r="D873" s="3">
        <v>3.5</v>
      </c>
      <c r="E873" s="3">
        <v>0.15</v>
      </c>
      <c r="F873" s="3">
        <v>0</v>
      </c>
      <c r="G873" s="3"/>
      <c r="H873" s="3">
        <f>+B873*D873*E873</f>
        <v>0</v>
      </c>
      <c r="I873" s="3">
        <v>0</v>
      </c>
      <c r="J873" s="54">
        <f t="shared" si="151"/>
        <v>0</v>
      </c>
    </row>
    <row r="874" spans="1:10" x14ac:dyDescent="0.3">
      <c r="A874" s="51"/>
      <c r="B874" s="52" t="s">
        <v>13328</v>
      </c>
      <c r="C874" s="52" t="s">
        <v>13272</v>
      </c>
      <c r="D874" s="52" t="s">
        <v>13273</v>
      </c>
      <c r="E874" s="52" t="s">
        <v>13274</v>
      </c>
      <c r="F874" s="52" t="s">
        <v>13275</v>
      </c>
      <c r="G874" s="52" t="s">
        <v>13276</v>
      </c>
      <c r="H874" s="52" t="s">
        <v>13277</v>
      </c>
      <c r="I874" s="52" t="s">
        <v>13329</v>
      </c>
      <c r="J874" s="56">
        <v>0</v>
      </c>
    </row>
    <row r="875" spans="1:10" x14ac:dyDescent="0.3">
      <c r="A875" s="3" t="s">
        <v>13337</v>
      </c>
      <c r="B875" s="3">
        <f>+F839</f>
        <v>0</v>
      </c>
      <c r="C875" s="3">
        <v>0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f>+B875*2</f>
        <v>0</v>
      </c>
      <c r="J875" s="55">
        <f t="shared" ref="J875" si="152">SUM(G875:I875)</f>
        <v>0</v>
      </c>
    </row>
    <row r="877" spans="1:10" x14ac:dyDescent="0.3">
      <c r="A877" t="s">
        <v>13135</v>
      </c>
      <c r="B877" t="str">
        <f>+'Ficha Canais'!A32</f>
        <v>Canal: CS23</v>
      </c>
      <c r="E877" t="s">
        <v>13269</v>
      </c>
      <c r="F877" s="3">
        <f>+'Ficha Canais'!B32</f>
        <v>2591</v>
      </c>
      <c r="G877" t="s">
        <v>13270</v>
      </c>
      <c r="H877" t="s">
        <v>14586</v>
      </c>
      <c r="I877" s="3">
        <f>+I839</f>
        <v>5</v>
      </c>
    </row>
    <row r="878" spans="1:10" x14ac:dyDescent="0.3">
      <c r="A878" s="51"/>
      <c r="B878" s="52" t="s">
        <v>13328</v>
      </c>
      <c r="C878" s="52" t="s">
        <v>13272</v>
      </c>
      <c r="D878" s="52" t="s">
        <v>13273</v>
      </c>
      <c r="E878" s="52" t="s">
        <v>13274</v>
      </c>
      <c r="F878" s="52" t="s">
        <v>13275</v>
      </c>
      <c r="G878" s="52" t="s">
        <v>13276</v>
      </c>
      <c r="H878" s="52" t="s">
        <v>13277</v>
      </c>
      <c r="I878" s="52" t="s">
        <v>13329</v>
      </c>
      <c r="J878" s="53" t="s">
        <v>13309</v>
      </c>
    </row>
    <row r="879" spans="1:10" x14ac:dyDescent="0.3">
      <c r="A879" t="s">
        <v>13322</v>
      </c>
      <c r="B879" s="3">
        <f>+F877</f>
        <v>2591</v>
      </c>
      <c r="C879" s="3">
        <v>40</v>
      </c>
      <c r="D879" s="3">
        <v>0</v>
      </c>
      <c r="E879" s="3">
        <v>0</v>
      </c>
      <c r="F879" s="3">
        <v>0</v>
      </c>
      <c r="G879" s="49">
        <f>+B879*C879</f>
        <v>103640</v>
      </c>
      <c r="H879" s="47">
        <v>0</v>
      </c>
      <c r="I879" s="47">
        <v>0</v>
      </c>
      <c r="J879" s="54">
        <f>SUM(G879:I879)</f>
        <v>103640</v>
      </c>
    </row>
    <row r="880" spans="1:10" x14ac:dyDescent="0.3">
      <c r="A880" t="s">
        <v>13323</v>
      </c>
      <c r="B880" s="3">
        <v>0</v>
      </c>
      <c r="C880" s="3">
        <v>0</v>
      </c>
      <c r="D880" s="3">
        <v>0</v>
      </c>
      <c r="E880" s="3">
        <v>0</v>
      </c>
      <c r="F880" s="3">
        <v>0</v>
      </c>
      <c r="G880" s="3">
        <v>0</v>
      </c>
      <c r="H880" s="68">
        <v>11948.53</v>
      </c>
      <c r="I880" s="47">
        <v>0</v>
      </c>
      <c r="J880" s="54">
        <f t="shared" ref="J880:J892" si="153">SUM(G880:I880)</f>
        <v>11948.53</v>
      </c>
    </row>
    <row r="881" spans="1:10" x14ac:dyDescent="0.3">
      <c r="A881" t="s">
        <v>13271</v>
      </c>
      <c r="B881" s="3">
        <v>0</v>
      </c>
      <c r="C881" s="3">
        <v>0</v>
      </c>
      <c r="D881" s="3">
        <v>0</v>
      </c>
      <c r="E881" s="3">
        <v>0</v>
      </c>
      <c r="F881" s="3">
        <v>0</v>
      </c>
      <c r="G881" s="3">
        <v>0</v>
      </c>
      <c r="H881" s="68">
        <v>5884.78</v>
      </c>
      <c r="I881" s="47">
        <v>0</v>
      </c>
      <c r="J881" s="54">
        <f t="shared" si="153"/>
        <v>5884.78</v>
      </c>
    </row>
    <row r="882" spans="1:10" x14ac:dyDescent="0.3">
      <c r="A882" t="s">
        <v>13324</v>
      </c>
      <c r="B882" s="3">
        <v>0</v>
      </c>
      <c r="C882" s="3">
        <v>0</v>
      </c>
      <c r="D882" s="3">
        <v>0</v>
      </c>
      <c r="E882" s="3">
        <v>0</v>
      </c>
      <c r="F882" s="3">
        <v>0</v>
      </c>
      <c r="G882" s="3">
        <v>0</v>
      </c>
      <c r="H882" s="68">
        <f>-(H881-H880)*1.4*I877</f>
        <v>42446.25</v>
      </c>
      <c r="I882" s="47">
        <v>0</v>
      </c>
      <c r="J882" s="54">
        <f t="shared" si="153"/>
        <v>42446.25</v>
      </c>
    </row>
    <row r="883" spans="1:10" s="60" customFormat="1" x14ac:dyDescent="0.3">
      <c r="A883" s="60" t="s">
        <v>13335</v>
      </c>
      <c r="B883" s="61">
        <f>+F877</f>
        <v>2591</v>
      </c>
      <c r="C883" s="61">
        <v>0</v>
      </c>
      <c r="D883" s="61">
        <f>+D884</f>
        <v>0.4</v>
      </c>
      <c r="E883" s="61">
        <v>0</v>
      </c>
      <c r="F883" s="61">
        <v>0</v>
      </c>
      <c r="G883" s="194">
        <f>+B883*D883</f>
        <v>1036.4000000000001</v>
      </c>
      <c r="H883" s="62">
        <v>0</v>
      </c>
      <c r="I883" s="62"/>
      <c r="J883" s="195">
        <f t="shared" ref="J883" si="154">SUM(G883:I883)</f>
        <v>1036.4000000000001</v>
      </c>
    </row>
    <row r="884" spans="1:10" x14ac:dyDescent="0.3">
      <c r="A884" t="s">
        <v>13325</v>
      </c>
      <c r="B884" s="3">
        <f>+F877</f>
        <v>2591</v>
      </c>
      <c r="C884" s="3">
        <v>0</v>
      </c>
      <c r="D884" s="3">
        <v>0.4</v>
      </c>
      <c r="E884" s="3">
        <v>0.72</v>
      </c>
      <c r="F884" s="3">
        <f>(E884*1.8*2)+D884+0.8</f>
        <v>3.7919999999999998</v>
      </c>
      <c r="G884" s="69">
        <v>1938.77</v>
      </c>
      <c r="H884" s="68">
        <v>0</v>
      </c>
      <c r="I884" s="47">
        <v>0</v>
      </c>
      <c r="J884" s="54">
        <f t="shared" si="153"/>
        <v>1938.77</v>
      </c>
    </row>
    <row r="885" spans="1:10" s="60" customFormat="1" x14ac:dyDescent="0.3">
      <c r="A885" s="60" t="s">
        <v>14514</v>
      </c>
      <c r="B885" s="61">
        <f>+F877</f>
        <v>2591</v>
      </c>
      <c r="C885" s="61">
        <v>0</v>
      </c>
      <c r="D885" s="61">
        <v>0</v>
      </c>
      <c r="E885" s="61">
        <v>0</v>
      </c>
      <c r="F885" s="61">
        <v>0</v>
      </c>
      <c r="G885" s="62">
        <v>0</v>
      </c>
      <c r="H885" s="194">
        <f>+G886*0.2</f>
        <v>1551</v>
      </c>
      <c r="I885" s="62">
        <v>0</v>
      </c>
      <c r="J885" s="195">
        <f t="shared" ref="J885" si="155">SUM(G885:I885)</f>
        <v>1551</v>
      </c>
    </row>
    <row r="886" spans="1:10" x14ac:dyDescent="0.3">
      <c r="A886" t="s">
        <v>13326</v>
      </c>
      <c r="B886" s="3">
        <v>0</v>
      </c>
      <c r="C886" s="3">
        <v>0</v>
      </c>
      <c r="D886" s="3">
        <v>0</v>
      </c>
      <c r="E886" s="3">
        <v>0</v>
      </c>
      <c r="F886" s="3">
        <v>0</v>
      </c>
      <c r="G886" s="69">
        <v>7755</v>
      </c>
      <c r="H886" s="68">
        <v>0</v>
      </c>
      <c r="I886" s="47">
        <v>0</v>
      </c>
      <c r="J886" s="54">
        <f t="shared" si="153"/>
        <v>7755</v>
      </c>
    </row>
    <row r="887" spans="1:10" s="60" customFormat="1" x14ac:dyDescent="0.3">
      <c r="A887" s="60" t="s">
        <v>14515</v>
      </c>
      <c r="B887" s="61">
        <f>+F877</f>
        <v>2591</v>
      </c>
      <c r="C887" s="61">
        <v>0</v>
      </c>
      <c r="D887" s="61">
        <v>0</v>
      </c>
      <c r="E887" s="61">
        <v>0</v>
      </c>
      <c r="F887" s="61">
        <v>0</v>
      </c>
      <c r="G887" s="62">
        <v>0</v>
      </c>
      <c r="H887" s="61">
        <v>0</v>
      </c>
      <c r="I887" s="194">
        <f>+B887*2</f>
        <v>5182</v>
      </c>
      <c r="J887" s="195">
        <f>+I887</f>
        <v>5182</v>
      </c>
    </row>
    <row r="888" spans="1:10" x14ac:dyDescent="0.3">
      <c r="A888" t="s">
        <v>3042</v>
      </c>
      <c r="B888" s="3">
        <v>0</v>
      </c>
      <c r="C888" s="3">
        <v>0</v>
      </c>
      <c r="D888" s="3">
        <v>0</v>
      </c>
      <c r="E888" s="3">
        <v>0</v>
      </c>
      <c r="F888" s="3">
        <v>0</v>
      </c>
      <c r="G888" s="68">
        <v>0</v>
      </c>
      <c r="H888" s="68">
        <f>+G886*0.07</f>
        <v>542.85</v>
      </c>
      <c r="I888" s="47">
        <v>0</v>
      </c>
      <c r="J888" s="54">
        <f t="shared" si="153"/>
        <v>542.85</v>
      </c>
    </row>
    <row r="889" spans="1:10" x14ac:dyDescent="0.3">
      <c r="A889" t="s">
        <v>13327</v>
      </c>
      <c r="B889" s="3">
        <v>0</v>
      </c>
      <c r="C889" s="3">
        <v>0</v>
      </c>
      <c r="D889" s="3">
        <v>0</v>
      </c>
      <c r="E889" s="3">
        <v>0</v>
      </c>
      <c r="F889" s="3">
        <v>0</v>
      </c>
      <c r="G889" s="68">
        <v>0</v>
      </c>
      <c r="H889" s="68">
        <f>+H888</f>
        <v>542.85</v>
      </c>
      <c r="I889" s="47">
        <v>0</v>
      </c>
      <c r="J889" s="54">
        <f t="shared" si="153"/>
        <v>542.85</v>
      </c>
    </row>
    <row r="890" spans="1:10" x14ac:dyDescent="0.3">
      <c r="A890" t="s">
        <v>13278</v>
      </c>
      <c r="B890" s="3">
        <f>+F877</f>
        <v>2591</v>
      </c>
      <c r="C890" s="3">
        <v>0</v>
      </c>
      <c r="D890" s="3">
        <v>0</v>
      </c>
      <c r="E890" s="3">
        <v>0</v>
      </c>
      <c r="F890" s="47">
        <f>+F884</f>
        <v>3.7919999999999998</v>
      </c>
      <c r="G890" s="3">
        <v>0</v>
      </c>
      <c r="H890" s="3">
        <v>0</v>
      </c>
      <c r="I890" s="49">
        <f>+B890/2*F890</f>
        <v>4912.5360000000001</v>
      </c>
      <c r="J890" s="54">
        <f t="shared" si="153"/>
        <v>4912.5360000000001</v>
      </c>
    </row>
    <row r="891" spans="1:10" x14ac:dyDescent="0.3">
      <c r="A891" t="s">
        <v>13279</v>
      </c>
      <c r="B891" s="3">
        <f>+F877</f>
        <v>2591</v>
      </c>
      <c r="C891" s="3">
        <v>0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49">
        <f>+B891*2</f>
        <v>5182</v>
      </c>
      <c r="J891" s="54">
        <f t="shared" si="153"/>
        <v>5182</v>
      </c>
    </row>
    <row r="892" spans="1:10" x14ac:dyDescent="0.3">
      <c r="A892" t="s">
        <v>13282</v>
      </c>
      <c r="B892" s="47">
        <f>+F877</f>
        <v>2591</v>
      </c>
      <c r="C892" s="3">
        <v>12</v>
      </c>
      <c r="D892" s="3">
        <v>0</v>
      </c>
      <c r="E892" s="3">
        <v>0</v>
      </c>
      <c r="F892" s="3">
        <v>0</v>
      </c>
      <c r="G892" s="49">
        <f>+B892*C892</f>
        <v>31092</v>
      </c>
      <c r="H892" s="3">
        <v>0</v>
      </c>
      <c r="I892" s="47">
        <v>0</v>
      </c>
      <c r="J892" s="54">
        <f t="shared" si="153"/>
        <v>31092</v>
      </c>
    </row>
    <row r="893" spans="1:10" x14ac:dyDescent="0.3">
      <c r="A893" s="51"/>
      <c r="B893" s="52" t="s">
        <v>13328</v>
      </c>
      <c r="C893" s="52" t="s">
        <v>13272</v>
      </c>
      <c r="D893" s="52" t="s">
        <v>13273</v>
      </c>
      <c r="E893" s="52" t="s">
        <v>13274</v>
      </c>
      <c r="F893" s="52" t="s">
        <v>13275</v>
      </c>
      <c r="G893" s="52" t="s">
        <v>13276</v>
      </c>
      <c r="H893" s="52" t="s">
        <v>13277</v>
      </c>
      <c r="I893" s="52" t="s">
        <v>13329</v>
      </c>
      <c r="J893" s="56">
        <v>0</v>
      </c>
    </row>
    <row r="894" spans="1:10" x14ac:dyDescent="0.3">
      <c r="A894" t="s">
        <v>13330</v>
      </c>
      <c r="B894" s="3">
        <f>+F877</f>
        <v>2591</v>
      </c>
      <c r="C894" s="3">
        <v>0</v>
      </c>
      <c r="D894" s="3">
        <v>1.2</v>
      </c>
      <c r="E894" s="3">
        <v>0.7</v>
      </c>
      <c r="F894" s="3">
        <v>0</v>
      </c>
      <c r="G894" s="3">
        <v>0</v>
      </c>
      <c r="H894" s="50">
        <f>+B894*D894*E894</f>
        <v>2176.4399999999996</v>
      </c>
      <c r="I894" s="3">
        <v>0</v>
      </c>
      <c r="J894" s="54">
        <f t="shared" ref="J894:J900" si="156">SUM(G894:I894)</f>
        <v>2176.4399999999996</v>
      </c>
    </row>
    <row r="895" spans="1:10" x14ac:dyDescent="0.3">
      <c r="A895" t="s">
        <v>13310</v>
      </c>
      <c r="B895" s="3">
        <f>+F877</f>
        <v>2591</v>
      </c>
      <c r="C895" s="3"/>
      <c r="D895" s="3">
        <v>0.6</v>
      </c>
      <c r="E895" s="3">
        <v>0.6</v>
      </c>
      <c r="F895" s="3"/>
      <c r="G895" s="3"/>
      <c r="H895" s="50">
        <f>+H894-(B895*D895*E895)</f>
        <v>1243.6799999999998</v>
      </c>
      <c r="I895" s="3"/>
      <c r="J895" s="54">
        <f t="shared" si="156"/>
        <v>1243.6799999999998</v>
      </c>
    </row>
    <row r="896" spans="1:10" x14ac:dyDescent="0.3">
      <c r="A896" t="s">
        <v>13324</v>
      </c>
      <c r="B896" s="3">
        <v>0</v>
      </c>
      <c r="C896" s="3">
        <v>0</v>
      </c>
      <c r="D896" s="3">
        <v>0</v>
      </c>
      <c r="E896" s="3">
        <v>0</v>
      </c>
      <c r="F896" s="3">
        <v>0</v>
      </c>
      <c r="G896" s="3">
        <v>0</v>
      </c>
      <c r="H896" s="50">
        <f>(H894-H895)*1.4*5</f>
        <v>6529.3199999999979</v>
      </c>
      <c r="I896" s="3"/>
      <c r="J896" s="54">
        <f t="shared" si="156"/>
        <v>6529.3199999999979</v>
      </c>
    </row>
    <row r="897" spans="1:10" x14ac:dyDescent="0.3">
      <c r="A897" t="s">
        <v>13311</v>
      </c>
      <c r="B897" s="3">
        <f>+F877</f>
        <v>2591</v>
      </c>
      <c r="C897" s="3">
        <v>0</v>
      </c>
      <c r="D897" s="3">
        <v>0.6</v>
      </c>
      <c r="E897" s="3">
        <v>0.6</v>
      </c>
      <c r="F897" s="3">
        <v>0</v>
      </c>
      <c r="G897" s="50">
        <f>B897*D897*4</f>
        <v>6218.4</v>
      </c>
      <c r="H897" s="3">
        <v>0</v>
      </c>
      <c r="I897" s="3">
        <v>0</v>
      </c>
      <c r="J897" s="54">
        <f t="shared" si="156"/>
        <v>6218.4</v>
      </c>
    </row>
    <row r="898" spans="1:10" x14ac:dyDescent="0.3">
      <c r="A898" t="s">
        <v>13312</v>
      </c>
      <c r="B898" s="3">
        <f>+F877</f>
        <v>2591</v>
      </c>
      <c r="C898" s="3">
        <v>0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50">
        <f>+B898</f>
        <v>2591</v>
      </c>
      <c r="J898" s="54">
        <f t="shared" si="156"/>
        <v>2591</v>
      </c>
    </row>
    <row r="899" spans="1:10" x14ac:dyDescent="0.3">
      <c r="A899" t="s">
        <v>13313</v>
      </c>
      <c r="B899" s="3">
        <f>+F877</f>
        <v>2591</v>
      </c>
      <c r="C899" s="3">
        <v>0</v>
      </c>
      <c r="D899" s="3">
        <v>0.6</v>
      </c>
      <c r="E899" s="3">
        <v>0.6</v>
      </c>
      <c r="F899" s="3">
        <v>0</v>
      </c>
      <c r="G899" s="3">
        <v>0</v>
      </c>
      <c r="H899" s="50">
        <f>B899*D899*E899-(B899*3.14*0.4*0.4/4)</f>
        <v>607.33039999999983</v>
      </c>
      <c r="I899" s="3">
        <v>0</v>
      </c>
      <c r="J899" s="54">
        <f t="shared" si="156"/>
        <v>607.33039999999983</v>
      </c>
    </row>
    <row r="900" spans="1:10" x14ac:dyDescent="0.3">
      <c r="A900" t="s">
        <v>13320</v>
      </c>
      <c r="B900" s="3">
        <f>+F877</f>
        <v>2591</v>
      </c>
      <c r="C900" s="3">
        <v>1.2</v>
      </c>
      <c r="D900" s="3">
        <v>0</v>
      </c>
      <c r="E900" s="3">
        <v>0.1</v>
      </c>
      <c r="F900" s="3">
        <v>0</v>
      </c>
      <c r="G900" s="3">
        <v>0</v>
      </c>
      <c r="H900" s="50">
        <f>+B900*C900*E900</f>
        <v>310.92</v>
      </c>
      <c r="I900" s="3"/>
      <c r="J900" s="54">
        <f t="shared" si="156"/>
        <v>310.92</v>
      </c>
    </row>
    <row r="901" spans="1:10" x14ac:dyDescent="0.3">
      <c r="A901" s="51"/>
      <c r="B901" s="52" t="s">
        <v>13328</v>
      </c>
      <c r="C901" s="52" t="s">
        <v>13272</v>
      </c>
      <c r="D901" s="52" t="s">
        <v>13273</v>
      </c>
      <c r="E901" s="52" t="s">
        <v>13274</v>
      </c>
      <c r="F901" s="52" t="s">
        <v>13275</v>
      </c>
      <c r="G901" s="52" t="s">
        <v>13276</v>
      </c>
      <c r="H901" s="52" t="s">
        <v>13277</v>
      </c>
      <c r="I901" s="52" t="s">
        <v>13329</v>
      </c>
      <c r="J901" s="56">
        <v>0</v>
      </c>
    </row>
    <row r="902" spans="1:10" x14ac:dyDescent="0.3">
      <c r="A902" t="s">
        <v>13331</v>
      </c>
      <c r="B902" s="3">
        <f>+F877</f>
        <v>2591</v>
      </c>
      <c r="C902" s="3">
        <v>0</v>
      </c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3">
        <f>+B902*2</f>
        <v>5182</v>
      </c>
      <c r="J902" s="54">
        <f t="shared" ref="J902:J905" si="157">SUM(G902:I902)</f>
        <v>5182</v>
      </c>
    </row>
    <row r="903" spans="1:10" x14ac:dyDescent="0.3">
      <c r="A903" t="s">
        <v>13332</v>
      </c>
      <c r="B903" s="3">
        <f>+F877</f>
        <v>2591</v>
      </c>
      <c r="C903" s="3">
        <v>0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3">
        <f>+B903*2</f>
        <v>5182</v>
      </c>
      <c r="J903" s="54">
        <f t="shared" si="157"/>
        <v>5182</v>
      </c>
    </row>
    <row r="904" spans="1:10" x14ac:dyDescent="0.3">
      <c r="A904" t="s">
        <v>13333</v>
      </c>
      <c r="B904" s="3">
        <v>0</v>
      </c>
      <c r="C904" s="3">
        <v>0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54">
        <f t="shared" si="157"/>
        <v>0</v>
      </c>
    </row>
    <row r="905" spans="1:10" x14ac:dyDescent="0.3">
      <c r="A905" t="s">
        <v>13334</v>
      </c>
      <c r="B905" s="3">
        <v>0</v>
      </c>
      <c r="C905" s="3">
        <v>0</v>
      </c>
      <c r="D905" s="3">
        <v>0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54">
        <f t="shared" si="157"/>
        <v>0</v>
      </c>
    </row>
    <row r="906" spans="1:10" x14ac:dyDescent="0.3">
      <c r="A906" s="51"/>
      <c r="B906" s="52" t="s">
        <v>13328</v>
      </c>
      <c r="C906" s="52" t="s">
        <v>13272</v>
      </c>
      <c r="D906" s="52" t="s">
        <v>13273</v>
      </c>
      <c r="E906" s="52" t="s">
        <v>13274</v>
      </c>
      <c r="F906" s="52" t="s">
        <v>13275</v>
      </c>
      <c r="G906" s="52" t="s">
        <v>13276</v>
      </c>
      <c r="H906" s="52" t="s">
        <v>13277</v>
      </c>
      <c r="I906" s="52" t="s">
        <v>13329</v>
      </c>
      <c r="J906" s="56">
        <v>0</v>
      </c>
    </row>
    <row r="907" spans="1:10" x14ac:dyDescent="0.3">
      <c r="A907" t="s">
        <v>13330</v>
      </c>
      <c r="B907" s="3">
        <f>+F877</f>
        <v>2591</v>
      </c>
      <c r="C907" s="3">
        <v>0</v>
      </c>
      <c r="D907" s="3">
        <v>3.5</v>
      </c>
      <c r="E907" s="3">
        <v>0.15</v>
      </c>
      <c r="F907" s="3">
        <v>0</v>
      </c>
      <c r="G907" s="3">
        <v>0</v>
      </c>
      <c r="H907" s="3">
        <f>+B907*D907*E907*2</f>
        <v>2720.5499999999997</v>
      </c>
      <c r="I907" s="3">
        <v>0</v>
      </c>
      <c r="J907" s="54">
        <f t="shared" ref="J907:J911" si="158">SUM(G907:I907)</f>
        <v>2720.5499999999997</v>
      </c>
    </row>
    <row r="908" spans="1:10" x14ac:dyDescent="0.3">
      <c r="A908" t="s">
        <v>13271</v>
      </c>
      <c r="B908" s="3">
        <f>+F877</f>
        <v>2591</v>
      </c>
      <c r="C908" s="3">
        <v>0</v>
      </c>
      <c r="D908" s="3">
        <v>3.5</v>
      </c>
      <c r="E908" s="3">
        <v>0.1</v>
      </c>
      <c r="F908" s="3">
        <v>0</v>
      </c>
      <c r="G908" s="3">
        <v>0</v>
      </c>
      <c r="H908" s="3">
        <f>+B908*D908*E908*2</f>
        <v>1813.7</v>
      </c>
      <c r="I908" s="3">
        <v>0</v>
      </c>
      <c r="J908" s="54">
        <f t="shared" si="158"/>
        <v>1813.7</v>
      </c>
    </row>
    <row r="909" spans="1:10" x14ac:dyDescent="0.3">
      <c r="A909" t="s">
        <v>13324</v>
      </c>
      <c r="B909" s="3">
        <v>0</v>
      </c>
      <c r="C909" s="3">
        <v>0</v>
      </c>
      <c r="D909" s="3">
        <v>0</v>
      </c>
      <c r="E909" s="3">
        <v>0</v>
      </c>
      <c r="F909" s="3">
        <v>0</v>
      </c>
      <c r="G909" s="3">
        <v>0</v>
      </c>
      <c r="H909" s="3">
        <f>+H907-H908</f>
        <v>906.84999999999968</v>
      </c>
      <c r="I909" s="3">
        <v>0</v>
      </c>
      <c r="J909" s="54">
        <f t="shared" si="158"/>
        <v>906.84999999999968</v>
      </c>
    </row>
    <row r="910" spans="1:10" x14ac:dyDescent="0.3">
      <c r="A910" t="s">
        <v>13335</v>
      </c>
      <c r="B910" s="3">
        <f>+F877</f>
        <v>2591</v>
      </c>
      <c r="C910" s="3">
        <v>0</v>
      </c>
      <c r="D910" s="3">
        <v>3.5</v>
      </c>
      <c r="E910" s="3">
        <v>0</v>
      </c>
      <c r="F910" s="3">
        <v>0</v>
      </c>
      <c r="G910" s="3">
        <f>+B910*D910*2</f>
        <v>18137</v>
      </c>
      <c r="H910" s="3">
        <v>0</v>
      </c>
      <c r="I910" s="3">
        <v>0</v>
      </c>
      <c r="J910" s="54">
        <f t="shared" si="158"/>
        <v>18137</v>
      </c>
    </row>
    <row r="911" spans="1:10" x14ac:dyDescent="0.3">
      <c r="A911" t="s">
        <v>13336</v>
      </c>
      <c r="B911" s="3">
        <f>+F877</f>
        <v>2591</v>
      </c>
      <c r="C911" s="3">
        <v>0</v>
      </c>
      <c r="D911" s="3">
        <v>3.5</v>
      </c>
      <c r="E911" s="3">
        <v>0.15</v>
      </c>
      <c r="F911" s="3">
        <v>0</v>
      </c>
      <c r="G911" s="3"/>
      <c r="H911" s="3">
        <f>+B911*D911*E911</f>
        <v>1360.2749999999999</v>
      </c>
      <c r="I911" s="3">
        <v>0</v>
      </c>
      <c r="J911" s="54">
        <f t="shared" si="158"/>
        <v>1360.2749999999999</v>
      </c>
    </row>
    <row r="912" spans="1:10" x14ac:dyDescent="0.3">
      <c r="A912" s="51"/>
      <c r="B912" s="52" t="s">
        <v>13328</v>
      </c>
      <c r="C912" s="52" t="s">
        <v>13272</v>
      </c>
      <c r="D912" s="52" t="s">
        <v>13273</v>
      </c>
      <c r="E912" s="52" t="s">
        <v>13274</v>
      </c>
      <c r="F912" s="52" t="s">
        <v>13275</v>
      </c>
      <c r="G912" s="52" t="s">
        <v>13276</v>
      </c>
      <c r="H912" s="52" t="s">
        <v>13277</v>
      </c>
      <c r="I912" s="52" t="s">
        <v>13329</v>
      </c>
      <c r="J912" s="56">
        <v>0</v>
      </c>
    </row>
    <row r="913" spans="1:10" x14ac:dyDescent="0.3">
      <c r="A913" s="3" t="s">
        <v>13337</v>
      </c>
      <c r="B913" s="3">
        <f>+F877</f>
        <v>2591</v>
      </c>
      <c r="C913" s="3">
        <v>0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f>+B913*2</f>
        <v>5182</v>
      </c>
      <c r="J913" s="55">
        <f t="shared" ref="J913" si="159">SUM(G913:I913)</f>
        <v>5182</v>
      </c>
    </row>
    <row r="915" spans="1:10" x14ac:dyDescent="0.3">
      <c r="A915" t="s">
        <v>13135</v>
      </c>
      <c r="B915" t="str">
        <f>+'Ficha Canais'!A33</f>
        <v>Canal: CS25 - Trecho 1</v>
      </c>
      <c r="E915" t="s">
        <v>13269</v>
      </c>
      <c r="F915" s="3">
        <f>+'Ficha Canais'!B33</f>
        <v>4000</v>
      </c>
      <c r="G915" t="s">
        <v>13270</v>
      </c>
      <c r="H915" t="s">
        <v>14586</v>
      </c>
      <c r="I915" s="3">
        <f>+I877</f>
        <v>5</v>
      </c>
    </row>
    <row r="916" spans="1:10" x14ac:dyDescent="0.3">
      <c r="A916" s="51"/>
      <c r="B916" s="52" t="s">
        <v>13328</v>
      </c>
      <c r="C916" s="52" t="s">
        <v>13272</v>
      </c>
      <c r="D916" s="52" t="s">
        <v>13273</v>
      </c>
      <c r="E916" s="52" t="s">
        <v>13274</v>
      </c>
      <c r="F916" s="52" t="s">
        <v>13275</v>
      </c>
      <c r="G916" s="52" t="s">
        <v>13276</v>
      </c>
      <c r="H916" s="52" t="s">
        <v>13277</v>
      </c>
      <c r="I916" s="52" t="s">
        <v>13329</v>
      </c>
      <c r="J916" s="53" t="s">
        <v>13309</v>
      </c>
    </row>
    <row r="917" spans="1:10" x14ac:dyDescent="0.3">
      <c r="A917" t="s">
        <v>13322</v>
      </c>
      <c r="B917" s="3">
        <f>+F915</f>
        <v>4000</v>
      </c>
      <c r="C917" s="3">
        <v>40</v>
      </c>
      <c r="D917" s="3">
        <v>0</v>
      </c>
      <c r="E917" s="3">
        <v>0</v>
      </c>
      <c r="F917" s="3">
        <v>0</v>
      </c>
      <c r="G917" s="49">
        <f>+B917*C917</f>
        <v>160000</v>
      </c>
      <c r="H917" s="47">
        <v>0</v>
      </c>
      <c r="I917" s="47">
        <v>0</v>
      </c>
      <c r="J917" s="54">
        <f>SUM(G917:I917)</f>
        <v>160000</v>
      </c>
    </row>
    <row r="918" spans="1:10" x14ac:dyDescent="0.3">
      <c r="A918" t="s">
        <v>13323</v>
      </c>
      <c r="B918" s="3">
        <v>0</v>
      </c>
      <c r="C918" s="3">
        <v>0</v>
      </c>
      <c r="D918" s="3">
        <v>0</v>
      </c>
      <c r="E918" s="3">
        <v>0</v>
      </c>
      <c r="F918" s="3">
        <v>0</v>
      </c>
      <c r="G918" s="3">
        <v>0</v>
      </c>
      <c r="H918" s="68">
        <v>9648.14</v>
      </c>
      <c r="I918" s="47">
        <v>0</v>
      </c>
      <c r="J918" s="54">
        <f t="shared" ref="J918:J930" si="160">SUM(G918:I918)</f>
        <v>9648.14</v>
      </c>
    </row>
    <row r="919" spans="1:10" x14ac:dyDescent="0.3">
      <c r="A919" t="s">
        <v>13271</v>
      </c>
      <c r="B919" s="3">
        <v>0</v>
      </c>
      <c r="C919" s="3">
        <v>0</v>
      </c>
      <c r="D919" s="3">
        <v>0</v>
      </c>
      <c r="E919" s="3">
        <v>0</v>
      </c>
      <c r="F919" s="3">
        <v>0</v>
      </c>
      <c r="G919" s="3">
        <v>0</v>
      </c>
      <c r="H919" s="68">
        <v>147510.51999999999</v>
      </c>
      <c r="I919" s="47">
        <v>0</v>
      </c>
      <c r="J919" s="54">
        <f t="shared" si="160"/>
        <v>147510.51999999999</v>
      </c>
    </row>
    <row r="920" spans="1:10" x14ac:dyDescent="0.3">
      <c r="A920" t="s">
        <v>13324</v>
      </c>
      <c r="B920" s="3">
        <v>0</v>
      </c>
      <c r="C920" s="3">
        <v>0</v>
      </c>
      <c r="D920" s="3">
        <v>0</v>
      </c>
      <c r="E920" s="3">
        <v>0</v>
      </c>
      <c r="F920" s="3">
        <v>0</v>
      </c>
      <c r="G920" s="3">
        <v>0</v>
      </c>
      <c r="H920" s="68">
        <f>+(H919-H918)*1.4*I915</f>
        <v>965036.65999999992</v>
      </c>
      <c r="I920" s="47">
        <v>0</v>
      </c>
      <c r="J920" s="54">
        <f t="shared" si="160"/>
        <v>965036.65999999992</v>
      </c>
    </row>
    <row r="921" spans="1:10" s="60" customFormat="1" x14ac:dyDescent="0.3">
      <c r="A921" s="60" t="s">
        <v>13335</v>
      </c>
      <c r="B921" s="61">
        <f>+F915</f>
        <v>4000</v>
      </c>
      <c r="C921" s="61">
        <v>0</v>
      </c>
      <c r="D921" s="61">
        <f>+D922</f>
        <v>0.8</v>
      </c>
      <c r="E921" s="61">
        <v>0</v>
      </c>
      <c r="F921" s="61">
        <v>0</v>
      </c>
      <c r="G921" s="194">
        <f>+B921*D921</f>
        <v>3200</v>
      </c>
      <c r="H921" s="62">
        <v>0</v>
      </c>
      <c r="I921" s="62"/>
      <c r="J921" s="195">
        <f t="shared" ref="J921" si="161">SUM(G921:I921)</f>
        <v>3200</v>
      </c>
    </row>
    <row r="922" spans="1:10" x14ac:dyDescent="0.3">
      <c r="A922" t="s">
        <v>13325</v>
      </c>
      <c r="B922" s="3">
        <f>+F915</f>
        <v>4000</v>
      </c>
      <c r="C922" s="3">
        <v>0</v>
      </c>
      <c r="D922" s="3">
        <v>0.8</v>
      </c>
      <c r="E922" s="3">
        <v>1.29</v>
      </c>
      <c r="F922" s="3">
        <f>(E922*1.8*2)+D922+0.8</f>
        <v>6.2439999999999998</v>
      </c>
      <c r="G922" s="69">
        <v>2848.17</v>
      </c>
      <c r="H922" s="68">
        <v>0</v>
      </c>
      <c r="I922" s="47">
        <v>0</v>
      </c>
      <c r="J922" s="54">
        <f t="shared" si="160"/>
        <v>2848.17</v>
      </c>
    </row>
    <row r="923" spans="1:10" s="60" customFormat="1" x14ac:dyDescent="0.3">
      <c r="A923" s="60" t="s">
        <v>14514</v>
      </c>
      <c r="B923" s="61">
        <f>+F915</f>
        <v>4000</v>
      </c>
      <c r="C923" s="61">
        <v>0</v>
      </c>
      <c r="D923" s="61">
        <v>0</v>
      </c>
      <c r="E923" s="61">
        <v>0</v>
      </c>
      <c r="F923" s="61">
        <v>0</v>
      </c>
      <c r="G923" s="62">
        <v>0</v>
      </c>
      <c r="H923" s="194">
        <f>+G924*0.2</f>
        <v>2278.6</v>
      </c>
      <c r="I923" s="62">
        <v>0</v>
      </c>
      <c r="J923" s="195">
        <f t="shared" ref="J923" si="162">SUM(G923:I923)</f>
        <v>2278.6</v>
      </c>
    </row>
    <row r="924" spans="1:10" x14ac:dyDescent="0.3">
      <c r="A924" t="s">
        <v>13326</v>
      </c>
      <c r="B924" s="3">
        <v>0</v>
      </c>
      <c r="C924" s="3">
        <v>0</v>
      </c>
      <c r="D924" s="3">
        <v>0</v>
      </c>
      <c r="E924" s="3">
        <v>0</v>
      </c>
      <c r="F924" s="3">
        <v>0</v>
      </c>
      <c r="G924" s="69">
        <v>11393</v>
      </c>
      <c r="H924" s="68">
        <v>0</v>
      </c>
      <c r="I924" s="47">
        <v>0</v>
      </c>
      <c r="J924" s="54">
        <f t="shared" si="160"/>
        <v>11393</v>
      </c>
    </row>
    <row r="925" spans="1:10" s="60" customFormat="1" x14ac:dyDescent="0.3">
      <c r="A925" s="60" t="s">
        <v>14515</v>
      </c>
      <c r="B925" s="61">
        <f>+F915</f>
        <v>4000</v>
      </c>
      <c r="C925" s="61">
        <v>0</v>
      </c>
      <c r="D925" s="61">
        <v>0</v>
      </c>
      <c r="E925" s="61">
        <v>0</v>
      </c>
      <c r="F925" s="61">
        <v>0</v>
      </c>
      <c r="G925" s="62">
        <v>0</v>
      </c>
      <c r="H925" s="61">
        <v>0</v>
      </c>
      <c r="I925" s="194">
        <f>+B925*2</f>
        <v>8000</v>
      </c>
      <c r="J925" s="195">
        <f>+I925</f>
        <v>8000</v>
      </c>
    </row>
    <row r="926" spans="1:10" x14ac:dyDescent="0.3">
      <c r="A926" t="s">
        <v>3042</v>
      </c>
      <c r="B926" s="3">
        <v>0</v>
      </c>
      <c r="C926" s="3">
        <v>0</v>
      </c>
      <c r="D926" s="3">
        <v>0</v>
      </c>
      <c r="E926" s="3">
        <v>0</v>
      </c>
      <c r="F926" s="3">
        <v>0</v>
      </c>
      <c r="G926" s="68">
        <v>0</v>
      </c>
      <c r="H926" s="68">
        <f>+G924*0.07</f>
        <v>797.5100000000001</v>
      </c>
      <c r="I926" s="47">
        <v>0</v>
      </c>
      <c r="J926" s="54">
        <f t="shared" si="160"/>
        <v>797.5100000000001</v>
      </c>
    </row>
    <row r="927" spans="1:10" x14ac:dyDescent="0.3">
      <c r="A927" t="s">
        <v>13327</v>
      </c>
      <c r="B927" s="3">
        <v>0</v>
      </c>
      <c r="C927" s="3">
        <v>0</v>
      </c>
      <c r="D927" s="3">
        <v>0</v>
      </c>
      <c r="E927" s="3">
        <v>0</v>
      </c>
      <c r="F927" s="3">
        <v>0</v>
      </c>
      <c r="G927" s="68">
        <v>0</v>
      </c>
      <c r="H927" s="68">
        <f>+H926</f>
        <v>797.5100000000001</v>
      </c>
      <c r="I927" s="47">
        <v>0</v>
      </c>
      <c r="J927" s="54">
        <f t="shared" si="160"/>
        <v>797.5100000000001</v>
      </c>
    </row>
    <row r="928" spans="1:10" x14ac:dyDescent="0.3">
      <c r="A928" t="s">
        <v>13278</v>
      </c>
      <c r="B928" s="3">
        <f>+F915</f>
        <v>4000</v>
      </c>
      <c r="C928" s="3">
        <v>0</v>
      </c>
      <c r="D928" s="3">
        <v>0</v>
      </c>
      <c r="E928" s="3">
        <v>0</v>
      </c>
      <c r="F928" s="47">
        <f>+F922</f>
        <v>6.2439999999999998</v>
      </c>
      <c r="G928" s="3">
        <v>0</v>
      </c>
      <c r="H928" s="3">
        <v>0</v>
      </c>
      <c r="I928" s="49">
        <f>+B928/2*F928</f>
        <v>12488</v>
      </c>
      <c r="J928" s="54">
        <f t="shared" si="160"/>
        <v>12488</v>
      </c>
    </row>
    <row r="929" spans="1:10" x14ac:dyDescent="0.3">
      <c r="A929" t="s">
        <v>13279</v>
      </c>
      <c r="B929" s="3">
        <f>+F915</f>
        <v>4000</v>
      </c>
      <c r="C929" s="3">
        <v>0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49">
        <f>+B929*2</f>
        <v>8000</v>
      </c>
      <c r="J929" s="54">
        <f t="shared" si="160"/>
        <v>8000</v>
      </c>
    </row>
    <row r="930" spans="1:10" x14ac:dyDescent="0.3">
      <c r="A930" t="s">
        <v>13282</v>
      </c>
      <c r="B930" s="47">
        <f>+F915</f>
        <v>4000</v>
      </c>
      <c r="C930" s="3">
        <v>12</v>
      </c>
      <c r="D930" s="3">
        <v>0</v>
      </c>
      <c r="E930" s="3">
        <v>0</v>
      </c>
      <c r="F930" s="3">
        <v>0</v>
      </c>
      <c r="G930" s="49">
        <f>+B930*C930</f>
        <v>48000</v>
      </c>
      <c r="H930" s="3">
        <v>0</v>
      </c>
      <c r="I930" s="47">
        <v>0</v>
      </c>
      <c r="J930" s="54">
        <f t="shared" si="160"/>
        <v>48000</v>
      </c>
    </row>
    <row r="931" spans="1:10" x14ac:dyDescent="0.3">
      <c r="A931" s="51"/>
      <c r="B931" s="52" t="s">
        <v>13328</v>
      </c>
      <c r="C931" s="52" t="s">
        <v>13272</v>
      </c>
      <c r="D931" s="52" t="s">
        <v>13273</v>
      </c>
      <c r="E931" s="52" t="s">
        <v>13274</v>
      </c>
      <c r="F931" s="52" t="s">
        <v>13275</v>
      </c>
      <c r="G931" s="52" t="s">
        <v>13276</v>
      </c>
      <c r="H931" s="52" t="s">
        <v>13277</v>
      </c>
      <c r="I931" s="52" t="s">
        <v>13329</v>
      </c>
      <c r="J931" s="56">
        <v>0</v>
      </c>
    </row>
    <row r="932" spans="1:10" x14ac:dyDescent="0.3">
      <c r="A932" t="s">
        <v>13330</v>
      </c>
      <c r="B932" s="3">
        <f>+F915</f>
        <v>4000</v>
      </c>
      <c r="C932" s="3">
        <v>0</v>
      </c>
      <c r="D932" s="3">
        <v>1.2</v>
      </c>
      <c r="E932" s="3">
        <v>0.7</v>
      </c>
      <c r="F932" s="3">
        <v>0</v>
      </c>
      <c r="G932" s="3">
        <v>0</v>
      </c>
      <c r="H932" s="50">
        <f>+B932*D932*E932</f>
        <v>3360</v>
      </c>
      <c r="I932" s="3">
        <v>0</v>
      </c>
      <c r="J932" s="54">
        <f t="shared" ref="J932:J938" si="163">SUM(G932:I932)</f>
        <v>3360</v>
      </c>
    </row>
    <row r="933" spans="1:10" x14ac:dyDescent="0.3">
      <c r="A933" t="s">
        <v>13310</v>
      </c>
      <c r="B933" s="3">
        <f>+F915</f>
        <v>4000</v>
      </c>
      <c r="C933" s="3"/>
      <c r="D933" s="3">
        <v>0.6</v>
      </c>
      <c r="E933" s="3">
        <v>0.6</v>
      </c>
      <c r="F933" s="3"/>
      <c r="G933" s="3"/>
      <c r="H933" s="50">
        <f>+H932-(B933*D933*E933)</f>
        <v>1920</v>
      </c>
      <c r="I933" s="3"/>
      <c r="J933" s="54">
        <f t="shared" si="163"/>
        <v>1920</v>
      </c>
    </row>
    <row r="934" spans="1:10" x14ac:dyDescent="0.3">
      <c r="A934" t="s">
        <v>13324</v>
      </c>
      <c r="B934" s="3">
        <v>0</v>
      </c>
      <c r="C934" s="3">
        <v>0</v>
      </c>
      <c r="D934" s="3">
        <v>0</v>
      </c>
      <c r="E934" s="3">
        <v>0</v>
      </c>
      <c r="F934" s="3">
        <v>0</v>
      </c>
      <c r="G934" s="3">
        <v>0</v>
      </c>
      <c r="H934" s="50">
        <f>(H932-H933)*1.4*5</f>
        <v>10079.999999999998</v>
      </c>
      <c r="I934" s="3"/>
      <c r="J934" s="54">
        <f t="shared" si="163"/>
        <v>10079.999999999998</v>
      </c>
    </row>
    <row r="935" spans="1:10" x14ac:dyDescent="0.3">
      <c r="A935" t="s">
        <v>13311</v>
      </c>
      <c r="B935" s="3">
        <f>+F915</f>
        <v>4000</v>
      </c>
      <c r="C935" s="3">
        <v>0</v>
      </c>
      <c r="D935" s="3">
        <v>0.6</v>
      </c>
      <c r="E935" s="3">
        <v>0.6</v>
      </c>
      <c r="F935" s="3">
        <v>0</v>
      </c>
      <c r="G935" s="50">
        <f>B935*D935*4</f>
        <v>9600</v>
      </c>
      <c r="H935" s="3">
        <v>0</v>
      </c>
      <c r="I935" s="3">
        <v>0</v>
      </c>
      <c r="J935" s="54">
        <f t="shared" si="163"/>
        <v>9600</v>
      </c>
    </row>
    <row r="936" spans="1:10" x14ac:dyDescent="0.3">
      <c r="A936" t="s">
        <v>13312</v>
      </c>
      <c r="B936" s="3">
        <f>+F915</f>
        <v>4000</v>
      </c>
      <c r="C936" s="3">
        <v>0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50">
        <f>+B936</f>
        <v>4000</v>
      </c>
      <c r="J936" s="54">
        <f t="shared" si="163"/>
        <v>4000</v>
      </c>
    </row>
    <row r="937" spans="1:10" x14ac:dyDescent="0.3">
      <c r="A937" t="s">
        <v>13313</v>
      </c>
      <c r="B937" s="3">
        <f>+F915</f>
        <v>4000</v>
      </c>
      <c r="C937" s="3">
        <v>0</v>
      </c>
      <c r="D937" s="3">
        <v>0.6</v>
      </c>
      <c r="E937" s="3">
        <v>0.6</v>
      </c>
      <c r="F937" s="3">
        <v>0</v>
      </c>
      <c r="G937" s="3">
        <v>0</v>
      </c>
      <c r="H937" s="50">
        <f>B937*D937*E937-(B937*3.14*0.4*0.4/4)</f>
        <v>937.59999999999991</v>
      </c>
      <c r="I937" s="3">
        <v>0</v>
      </c>
      <c r="J937" s="54">
        <f t="shared" si="163"/>
        <v>937.59999999999991</v>
      </c>
    </row>
    <row r="938" spans="1:10" x14ac:dyDescent="0.3">
      <c r="A938" t="s">
        <v>13320</v>
      </c>
      <c r="B938" s="3">
        <f>+F915</f>
        <v>4000</v>
      </c>
      <c r="C938" s="3">
        <v>1.2</v>
      </c>
      <c r="D938" s="3">
        <v>0</v>
      </c>
      <c r="E938" s="3">
        <v>0.1</v>
      </c>
      <c r="F938" s="3">
        <v>0</v>
      </c>
      <c r="G938" s="3">
        <v>0</v>
      </c>
      <c r="H938" s="50">
        <f>+B938*C938*E938</f>
        <v>480</v>
      </c>
      <c r="I938" s="3"/>
      <c r="J938" s="54">
        <f t="shared" si="163"/>
        <v>480</v>
      </c>
    </row>
    <row r="939" spans="1:10" x14ac:dyDescent="0.3">
      <c r="A939" s="51"/>
      <c r="B939" s="52" t="s">
        <v>13328</v>
      </c>
      <c r="C939" s="52" t="s">
        <v>13272</v>
      </c>
      <c r="D939" s="52" t="s">
        <v>13273</v>
      </c>
      <c r="E939" s="52" t="s">
        <v>13274</v>
      </c>
      <c r="F939" s="52" t="s">
        <v>13275</v>
      </c>
      <c r="G939" s="52" t="s">
        <v>13276</v>
      </c>
      <c r="H939" s="52" t="s">
        <v>13277</v>
      </c>
      <c r="I939" s="52" t="s">
        <v>13329</v>
      </c>
      <c r="J939" s="56">
        <v>0</v>
      </c>
    </row>
    <row r="940" spans="1:10" x14ac:dyDescent="0.3">
      <c r="A940" t="s">
        <v>13331</v>
      </c>
      <c r="B940" s="3">
        <f>+F915</f>
        <v>4000</v>
      </c>
      <c r="C940" s="3">
        <v>0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f>+B940*2</f>
        <v>8000</v>
      </c>
      <c r="J940" s="54">
        <f t="shared" ref="J940:J943" si="164">SUM(G940:I940)</f>
        <v>8000</v>
      </c>
    </row>
    <row r="941" spans="1:10" x14ac:dyDescent="0.3">
      <c r="A941" t="s">
        <v>13332</v>
      </c>
      <c r="B941" s="3">
        <f>+F915</f>
        <v>4000</v>
      </c>
      <c r="C941" s="3">
        <v>0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f>+B941*2</f>
        <v>8000</v>
      </c>
      <c r="J941" s="54">
        <f t="shared" si="164"/>
        <v>8000</v>
      </c>
    </row>
    <row r="942" spans="1:10" x14ac:dyDescent="0.3">
      <c r="A942" t="s">
        <v>13333</v>
      </c>
      <c r="B942" s="3">
        <v>0</v>
      </c>
      <c r="C942" s="3">
        <v>0</v>
      </c>
      <c r="D942" s="3">
        <v>0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54">
        <f t="shared" si="164"/>
        <v>0</v>
      </c>
    </row>
    <row r="943" spans="1:10" x14ac:dyDescent="0.3">
      <c r="A943" t="s">
        <v>13334</v>
      </c>
      <c r="B943" s="3">
        <v>0</v>
      </c>
      <c r="C943" s="3">
        <v>0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54">
        <f t="shared" si="164"/>
        <v>0</v>
      </c>
    </row>
    <row r="944" spans="1:10" x14ac:dyDescent="0.3">
      <c r="A944" s="51"/>
      <c r="B944" s="52" t="s">
        <v>13328</v>
      </c>
      <c r="C944" s="52" t="s">
        <v>13272</v>
      </c>
      <c r="D944" s="52" t="s">
        <v>13273</v>
      </c>
      <c r="E944" s="52" t="s">
        <v>13274</v>
      </c>
      <c r="F944" s="52" t="s">
        <v>13275</v>
      </c>
      <c r="G944" s="52" t="s">
        <v>13276</v>
      </c>
      <c r="H944" s="52" t="s">
        <v>13277</v>
      </c>
      <c r="I944" s="52" t="s">
        <v>13329</v>
      </c>
      <c r="J944" s="56">
        <v>0</v>
      </c>
    </row>
    <row r="945" spans="1:10" x14ac:dyDescent="0.3">
      <c r="A945" t="s">
        <v>13330</v>
      </c>
      <c r="B945" s="3">
        <f>+F915</f>
        <v>4000</v>
      </c>
      <c r="C945" s="3">
        <v>0</v>
      </c>
      <c r="D945" s="3">
        <v>3.5</v>
      </c>
      <c r="E945" s="3">
        <v>0.15</v>
      </c>
      <c r="F945" s="3">
        <v>0</v>
      </c>
      <c r="G945" s="3">
        <v>0</v>
      </c>
      <c r="H945" s="3">
        <f>+B945*D945*E945*2</f>
        <v>4200</v>
      </c>
      <c r="I945" s="3">
        <v>0</v>
      </c>
      <c r="J945" s="54">
        <f t="shared" ref="J945:J949" si="165">SUM(G945:I945)</f>
        <v>4200</v>
      </c>
    </row>
    <row r="946" spans="1:10" x14ac:dyDescent="0.3">
      <c r="A946" t="s">
        <v>13271</v>
      </c>
      <c r="B946" s="3">
        <f>+F915</f>
        <v>4000</v>
      </c>
      <c r="C946" s="3">
        <v>0</v>
      </c>
      <c r="D946" s="3">
        <v>3.5</v>
      </c>
      <c r="E946" s="3">
        <v>0.1</v>
      </c>
      <c r="F946" s="3">
        <v>0</v>
      </c>
      <c r="G946" s="3">
        <v>0</v>
      </c>
      <c r="H946" s="3">
        <f>+B946*D946*E946*2</f>
        <v>2800</v>
      </c>
      <c r="I946" s="3">
        <v>0</v>
      </c>
      <c r="J946" s="54">
        <f t="shared" si="165"/>
        <v>2800</v>
      </c>
    </row>
    <row r="947" spans="1:10" x14ac:dyDescent="0.3">
      <c r="A947" t="s">
        <v>13324</v>
      </c>
      <c r="B947" s="3">
        <v>0</v>
      </c>
      <c r="C947" s="3">
        <v>0</v>
      </c>
      <c r="D947" s="3">
        <v>0</v>
      </c>
      <c r="E947" s="3">
        <v>0</v>
      </c>
      <c r="F947" s="3">
        <v>0</v>
      </c>
      <c r="G947" s="3">
        <v>0</v>
      </c>
      <c r="H947" s="3">
        <f>+H945-H946</f>
        <v>1400</v>
      </c>
      <c r="I947" s="3">
        <v>0</v>
      </c>
      <c r="J947" s="54">
        <f t="shared" si="165"/>
        <v>1400</v>
      </c>
    </row>
    <row r="948" spans="1:10" x14ac:dyDescent="0.3">
      <c r="A948" t="s">
        <v>13335</v>
      </c>
      <c r="B948" s="3">
        <f>+F915</f>
        <v>4000</v>
      </c>
      <c r="C948" s="3">
        <v>0</v>
      </c>
      <c r="D948" s="3">
        <v>3.5</v>
      </c>
      <c r="E948" s="3">
        <v>0</v>
      </c>
      <c r="F948" s="3">
        <v>0</v>
      </c>
      <c r="G948" s="3">
        <f>+B948*D948*2</f>
        <v>28000</v>
      </c>
      <c r="H948" s="3">
        <v>0</v>
      </c>
      <c r="I948" s="3">
        <v>0</v>
      </c>
      <c r="J948" s="54">
        <f t="shared" si="165"/>
        <v>28000</v>
      </c>
    </row>
    <row r="949" spans="1:10" x14ac:dyDescent="0.3">
      <c r="A949" t="s">
        <v>13336</v>
      </c>
      <c r="B949" s="3">
        <f>+F915</f>
        <v>4000</v>
      </c>
      <c r="C949" s="3">
        <v>0</v>
      </c>
      <c r="D949" s="3">
        <v>3.5</v>
      </c>
      <c r="E949" s="3">
        <v>0.15</v>
      </c>
      <c r="F949" s="3">
        <v>0</v>
      </c>
      <c r="G949" s="3"/>
      <c r="H949" s="3">
        <f>+B949*D949*E949</f>
        <v>2100</v>
      </c>
      <c r="I949" s="3">
        <v>0</v>
      </c>
      <c r="J949" s="54">
        <f t="shared" si="165"/>
        <v>2100</v>
      </c>
    </row>
    <row r="950" spans="1:10" x14ac:dyDescent="0.3">
      <c r="A950" s="51"/>
      <c r="B950" s="52" t="s">
        <v>13328</v>
      </c>
      <c r="C950" s="52" t="s">
        <v>13272</v>
      </c>
      <c r="D950" s="52" t="s">
        <v>13273</v>
      </c>
      <c r="E950" s="52" t="s">
        <v>13274</v>
      </c>
      <c r="F950" s="52" t="s">
        <v>13275</v>
      </c>
      <c r="G950" s="52" t="s">
        <v>13276</v>
      </c>
      <c r="H950" s="52" t="s">
        <v>13277</v>
      </c>
      <c r="I950" s="52" t="s">
        <v>13329</v>
      </c>
      <c r="J950" s="56">
        <v>0</v>
      </c>
    </row>
    <row r="951" spans="1:10" x14ac:dyDescent="0.3">
      <c r="A951" s="3" t="s">
        <v>13337</v>
      </c>
      <c r="B951" s="3">
        <f>+F915</f>
        <v>4000</v>
      </c>
      <c r="C951" s="3">
        <v>0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f>+B951*2</f>
        <v>8000</v>
      </c>
      <c r="J951" s="55">
        <f t="shared" ref="J951" si="166">SUM(G951:I951)</f>
        <v>8000</v>
      </c>
    </row>
    <row r="953" spans="1:10" x14ac:dyDescent="0.3">
      <c r="A953" t="s">
        <v>13135</v>
      </c>
      <c r="B953" t="str">
        <f>+'Ficha Canais'!A34</f>
        <v>Canal: CS25 - Trecho 2</v>
      </c>
      <c r="E953" t="s">
        <v>13269</v>
      </c>
      <c r="F953" s="3">
        <f>+'Ficha Canais'!B34</f>
        <v>1392</v>
      </c>
      <c r="G953" t="s">
        <v>13270</v>
      </c>
      <c r="H953" t="s">
        <v>14586</v>
      </c>
      <c r="I953" s="3">
        <f>+I915</f>
        <v>5</v>
      </c>
    </row>
    <row r="954" spans="1:10" x14ac:dyDescent="0.3">
      <c r="A954" s="51"/>
      <c r="B954" s="52" t="s">
        <v>13328</v>
      </c>
      <c r="C954" s="52" t="s">
        <v>13272</v>
      </c>
      <c r="D954" s="52" t="s">
        <v>13273</v>
      </c>
      <c r="E954" s="52" t="s">
        <v>13274</v>
      </c>
      <c r="F954" s="52" t="s">
        <v>13275</v>
      </c>
      <c r="G954" s="52" t="s">
        <v>13276</v>
      </c>
      <c r="H954" s="52" t="s">
        <v>13277</v>
      </c>
      <c r="I954" s="52" t="s">
        <v>13329</v>
      </c>
      <c r="J954" s="53" t="s">
        <v>13309</v>
      </c>
    </row>
    <row r="955" spans="1:10" x14ac:dyDescent="0.3">
      <c r="A955" t="s">
        <v>13322</v>
      </c>
      <c r="B955" s="3">
        <f>+F953</f>
        <v>1392</v>
      </c>
      <c r="C955" s="3">
        <v>40</v>
      </c>
      <c r="D955" s="3">
        <v>0</v>
      </c>
      <c r="E955" s="3">
        <v>0</v>
      </c>
      <c r="F955" s="3">
        <v>0</v>
      </c>
      <c r="G955" s="49">
        <f>+B955*C955</f>
        <v>55680</v>
      </c>
      <c r="H955" s="47">
        <v>0</v>
      </c>
      <c r="I955" s="47">
        <v>0</v>
      </c>
      <c r="J955" s="54">
        <f>SUM(G955:I955)</f>
        <v>55680</v>
      </c>
    </row>
    <row r="956" spans="1:10" x14ac:dyDescent="0.3">
      <c r="A956" t="s">
        <v>13323</v>
      </c>
      <c r="B956" s="3">
        <v>0</v>
      </c>
      <c r="C956" s="3">
        <v>0</v>
      </c>
      <c r="D956" s="3">
        <v>0</v>
      </c>
      <c r="E956" s="3">
        <v>0</v>
      </c>
      <c r="F956" s="3">
        <v>0</v>
      </c>
      <c r="G956" s="3">
        <v>0</v>
      </c>
      <c r="H956" s="68">
        <v>1879.1</v>
      </c>
      <c r="I956" s="47">
        <v>0</v>
      </c>
      <c r="J956" s="54">
        <f t="shared" ref="J956:J968" si="167">SUM(G956:I956)</f>
        <v>1879.1</v>
      </c>
    </row>
    <row r="957" spans="1:10" x14ac:dyDescent="0.3">
      <c r="A957" t="s">
        <v>13271</v>
      </c>
      <c r="B957" s="3">
        <v>0</v>
      </c>
      <c r="C957" s="3">
        <v>0</v>
      </c>
      <c r="D957" s="3">
        <v>0</v>
      </c>
      <c r="E957" s="3">
        <v>0</v>
      </c>
      <c r="F957" s="3">
        <v>0</v>
      </c>
      <c r="G957" s="3">
        <v>0</v>
      </c>
      <c r="H957" s="68">
        <v>128061.35</v>
      </c>
      <c r="I957" s="47">
        <v>0</v>
      </c>
      <c r="J957" s="54">
        <f t="shared" si="167"/>
        <v>128061.35</v>
      </c>
    </row>
    <row r="958" spans="1:10" x14ac:dyDescent="0.3">
      <c r="A958" t="s">
        <v>13324</v>
      </c>
      <c r="B958" s="3">
        <v>0</v>
      </c>
      <c r="C958" s="3">
        <v>0</v>
      </c>
      <c r="D958" s="3">
        <v>0</v>
      </c>
      <c r="E958" s="3">
        <v>0</v>
      </c>
      <c r="F958" s="3">
        <v>0</v>
      </c>
      <c r="G958" s="3">
        <v>0</v>
      </c>
      <c r="H958" s="68">
        <f>+(H957-H956)*1.4*I953</f>
        <v>883275.75</v>
      </c>
      <c r="I958" s="47">
        <v>0</v>
      </c>
      <c r="J958" s="54">
        <f t="shared" si="167"/>
        <v>883275.75</v>
      </c>
    </row>
    <row r="959" spans="1:10" s="60" customFormat="1" x14ac:dyDescent="0.3">
      <c r="A959" s="60" t="s">
        <v>13335</v>
      </c>
      <c r="B959" s="61">
        <f>+F953</f>
        <v>1392</v>
      </c>
      <c r="C959" s="61">
        <v>0</v>
      </c>
      <c r="D959" s="61">
        <f>+D960</f>
        <v>0.6</v>
      </c>
      <c r="E959" s="61">
        <v>0</v>
      </c>
      <c r="F959" s="61">
        <v>0</v>
      </c>
      <c r="G959" s="194">
        <f>+B959*D959</f>
        <v>835.19999999999993</v>
      </c>
      <c r="H959" s="62">
        <v>0</v>
      </c>
      <c r="I959" s="62"/>
      <c r="J959" s="195">
        <f t="shared" ref="J959" si="168">SUM(G959:I959)</f>
        <v>835.19999999999993</v>
      </c>
    </row>
    <row r="960" spans="1:10" x14ac:dyDescent="0.3">
      <c r="A960" t="s">
        <v>13325</v>
      </c>
      <c r="B960" s="3">
        <f>+F953</f>
        <v>1392</v>
      </c>
      <c r="C960" s="3">
        <v>0</v>
      </c>
      <c r="D960" s="3">
        <v>0.6</v>
      </c>
      <c r="E960" s="3">
        <v>0.96</v>
      </c>
      <c r="F960" s="3">
        <f>(E960*1.8*2)+D960+0.8</f>
        <v>4.8559999999999999</v>
      </c>
      <c r="G960" s="69">
        <v>6742.85</v>
      </c>
      <c r="H960" s="68">
        <v>0</v>
      </c>
      <c r="I960" s="47">
        <v>0</v>
      </c>
      <c r="J960" s="54">
        <f t="shared" si="167"/>
        <v>6742.85</v>
      </c>
    </row>
    <row r="961" spans="1:10" s="60" customFormat="1" x14ac:dyDescent="0.3">
      <c r="A961" s="60" t="s">
        <v>14514</v>
      </c>
      <c r="B961" s="61">
        <f>+F953</f>
        <v>1392</v>
      </c>
      <c r="C961" s="61">
        <v>0</v>
      </c>
      <c r="D961" s="61">
        <v>0</v>
      </c>
      <c r="E961" s="61">
        <v>0</v>
      </c>
      <c r="F961" s="61">
        <v>0</v>
      </c>
      <c r="G961" s="62">
        <v>0</v>
      </c>
      <c r="H961" s="194">
        <f>+G962*0.2</f>
        <v>5394.2000000000007</v>
      </c>
      <c r="I961" s="62">
        <v>0</v>
      </c>
      <c r="J961" s="195">
        <f t="shared" ref="J961" si="169">SUM(G961:I961)</f>
        <v>5394.2000000000007</v>
      </c>
    </row>
    <row r="962" spans="1:10" x14ac:dyDescent="0.3">
      <c r="A962" t="s">
        <v>13326</v>
      </c>
      <c r="B962" s="3">
        <v>0</v>
      </c>
      <c r="C962" s="3">
        <v>0</v>
      </c>
      <c r="D962" s="3">
        <v>0</v>
      </c>
      <c r="E962" s="3">
        <v>0</v>
      </c>
      <c r="F962" s="3">
        <v>0</v>
      </c>
      <c r="G962" s="69">
        <v>26971</v>
      </c>
      <c r="H962" s="68">
        <v>0</v>
      </c>
      <c r="I962" s="47">
        <v>0</v>
      </c>
      <c r="J962" s="54">
        <f t="shared" si="167"/>
        <v>26971</v>
      </c>
    </row>
    <row r="963" spans="1:10" s="60" customFormat="1" x14ac:dyDescent="0.3">
      <c r="A963" s="60" t="s">
        <v>14515</v>
      </c>
      <c r="B963" s="61">
        <f>+F953</f>
        <v>1392</v>
      </c>
      <c r="C963" s="61">
        <v>0</v>
      </c>
      <c r="D963" s="61">
        <v>0</v>
      </c>
      <c r="E963" s="61">
        <v>0</v>
      </c>
      <c r="F963" s="61">
        <v>0</v>
      </c>
      <c r="G963" s="62">
        <v>0</v>
      </c>
      <c r="H963" s="61">
        <v>0</v>
      </c>
      <c r="I963" s="194">
        <f>+B963*2</f>
        <v>2784</v>
      </c>
      <c r="J963" s="195">
        <f>+I963</f>
        <v>2784</v>
      </c>
    </row>
    <row r="964" spans="1:10" x14ac:dyDescent="0.3">
      <c r="A964" t="s">
        <v>3042</v>
      </c>
      <c r="B964" s="3">
        <v>0</v>
      </c>
      <c r="C964" s="3">
        <v>0</v>
      </c>
      <c r="D964" s="3">
        <v>0</v>
      </c>
      <c r="E964" s="3">
        <v>0</v>
      </c>
      <c r="F964" s="3">
        <v>0</v>
      </c>
      <c r="G964" s="68">
        <v>0</v>
      </c>
      <c r="H964" s="68">
        <f>+G962*0.07</f>
        <v>1887.9700000000003</v>
      </c>
      <c r="I964" s="47">
        <v>0</v>
      </c>
      <c r="J964" s="54">
        <f t="shared" si="167"/>
        <v>1887.9700000000003</v>
      </c>
    </row>
    <row r="965" spans="1:10" x14ac:dyDescent="0.3">
      <c r="A965" t="s">
        <v>13327</v>
      </c>
      <c r="B965" s="3">
        <v>0</v>
      </c>
      <c r="C965" s="3">
        <v>0</v>
      </c>
      <c r="D965" s="3">
        <v>0</v>
      </c>
      <c r="E965" s="3">
        <v>0</v>
      </c>
      <c r="F965" s="3">
        <v>0</v>
      </c>
      <c r="G965" s="68">
        <v>0</v>
      </c>
      <c r="H965" s="68">
        <f>+H964</f>
        <v>1887.9700000000003</v>
      </c>
      <c r="I965" s="47">
        <v>0</v>
      </c>
      <c r="J965" s="54">
        <f t="shared" si="167"/>
        <v>1887.9700000000003</v>
      </c>
    </row>
    <row r="966" spans="1:10" x14ac:dyDescent="0.3">
      <c r="A966" t="s">
        <v>13278</v>
      </c>
      <c r="B966" s="3">
        <f>+F953</f>
        <v>1392</v>
      </c>
      <c r="C966" s="3">
        <v>0</v>
      </c>
      <c r="D966" s="3">
        <v>0</v>
      </c>
      <c r="E966" s="3">
        <v>0</v>
      </c>
      <c r="F966" s="47">
        <f>+F960</f>
        <v>4.8559999999999999</v>
      </c>
      <c r="G966" s="3">
        <v>0</v>
      </c>
      <c r="H966" s="3">
        <v>0</v>
      </c>
      <c r="I966" s="49">
        <f>+B966/2*F966</f>
        <v>3379.7759999999998</v>
      </c>
      <c r="J966" s="54">
        <f t="shared" si="167"/>
        <v>3379.7759999999998</v>
      </c>
    </row>
    <row r="967" spans="1:10" x14ac:dyDescent="0.3">
      <c r="A967" t="s">
        <v>13279</v>
      </c>
      <c r="B967" s="3">
        <f>+F953</f>
        <v>1392</v>
      </c>
      <c r="C967" s="3">
        <v>0</v>
      </c>
      <c r="D967" s="3">
        <v>0</v>
      </c>
      <c r="E967" s="3">
        <v>0</v>
      </c>
      <c r="F967" s="3">
        <v>0</v>
      </c>
      <c r="G967" s="3">
        <v>0</v>
      </c>
      <c r="H967" s="3">
        <v>0</v>
      </c>
      <c r="I967" s="49">
        <f>+B967*2</f>
        <v>2784</v>
      </c>
      <c r="J967" s="54">
        <f t="shared" si="167"/>
        <v>2784</v>
      </c>
    </row>
    <row r="968" spans="1:10" x14ac:dyDescent="0.3">
      <c r="A968" t="s">
        <v>13282</v>
      </c>
      <c r="B968" s="47">
        <f>+F953</f>
        <v>1392</v>
      </c>
      <c r="C968" s="3">
        <v>12</v>
      </c>
      <c r="D968" s="3">
        <v>0</v>
      </c>
      <c r="E968" s="3">
        <v>0</v>
      </c>
      <c r="F968" s="3">
        <v>0</v>
      </c>
      <c r="G968" s="49">
        <f>+B968*C968</f>
        <v>16704</v>
      </c>
      <c r="H968" s="3">
        <v>0</v>
      </c>
      <c r="I968" s="47">
        <v>0</v>
      </c>
      <c r="J968" s="54">
        <f t="shared" si="167"/>
        <v>16704</v>
      </c>
    </row>
    <row r="969" spans="1:10" x14ac:dyDescent="0.3">
      <c r="A969" s="51"/>
      <c r="B969" s="52" t="s">
        <v>13328</v>
      </c>
      <c r="C969" s="52" t="s">
        <v>13272</v>
      </c>
      <c r="D969" s="52" t="s">
        <v>13273</v>
      </c>
      <c r="E969" s="52" t="s">
        <v>13274</v>
      </c>
      <c r="F969" s="52" t="s">
        <v>13275</v>
      </c>
      <c r="G969" s="52" t="s">
        <v>13276</v>
      </c>
      <c r="H969" s="52" t="s">
        <v>13277</v>
      </c>
      <c r="I969" s="52" t="s">
        <v>13329</v>
      </c>
      <c r="J969" s="56">
        <v>0</v>
      </c>
    </row>
    <row r="970" spans="1:10" x14ac:dyDescent="0.3">
      <c r="A970" t="s">
        <v>13330</v>
      </c>
      <c r="B970" s="3">
        <f>+F953</f>
        <v>1392</v>
      </c>
      <c r="C970" s="3">
        <v>0</v>
      </c>
      <c r="D970" s="3">
        <v>1.2</v>
      </c>
      <c r="E970" s="3">
        <v>0.7</v>
      </c>
      <c r="F970" s="3">
        <v>0</v>
      </c>
      <c r="G970" s="3">
        <v>0</v>
      </c>
      <c r="H970" s="50">
        <f>+B970*D970*E970</f>
        <v>1169.2799999999997</v>
      </c>
      <c r="I970" s="3">
        <v>0</v>
      </c>
      <c r="J970" s="54">
        <f t="shared" ref="J970:J976" si="170">SUM(G970:I970)</f>
        <v>1169.2799999999997</v>
      </c>
    </row>
    <row r="971" spans="1:10" x14ac:dyDescent="0.3">
      <c r="A971" t="s">
        <v>13310</v>
      </c>
      <c r="B971" s="3">
        <f>+F953</f>
        <v>1392</v>
      </c>
      <c r="C971" s="3"/>
      <c r="D971" s="3">
        <v>0.6</v>
      </c>
      <c r="E971" s="3">
        <v>0.6</v>
      </c>
      <c r="F971" s="3"/>
      <c r="G971" s="3"/>
      <c r="H971" s="50">
        <f>+H970-(B971*D971*E971)</f>
        <v>668.15999999999985</v>
      </c>
      <c r="I971" s="3"/>
      <c r="J971" s="54">
        <f t="shared" si="170"/>
        <v>668.15999999999985</v>
      </c>
    </row>
    <row r="972" spans="1:10" x14ac:dyDescent="0.3">
      <c r="A972" t="s">
        <v>13324</v>
      </c>
      <c r="B972" s="3">
        <v>0</v>
      </c>
      <c r="C972" s="3">
        <v>0</v>
      </c>
      <c r="D972" s="3">
        <v>0</v>
      </c>
      <c r="E972" s="3">
        <v>0</v>
      </c>
      <c r="F972" s="3">
        <v>0</v>
      </c>
      <c r="G972" s="3">
        <v>0</v>
      </c>
      <c r="H972" s="50">
        <f>(H970-H971)*1.4*5</f>
        <v>3507.8399999999988</v>
      </c>
      <c r="I972" s="3"/>
      <c r="J972" s="54">
        <f t="shared" si="170"/>
        <v>3507.8399999999988</v>
      </c>
    </row>
    <row r="973" spans="1:10" x14ac:dyDescent="0.3">
      <c r="A973" t="s">
        <v>13311</v>
      </c>
      <c r="B973" s="3">
        <f>+F953</f>
        <v>1392</v>
      </c>
      <c r="C973" s="3">
        <v>0</v>
      </c>
      <c r="D973" s="3">
        <v>0.6</v>
      </c>
      <c r="E973" s="3">
        <v>0.6</v>
      </c>
      <c r="F973" s="3">
        <v>0</v>
      </c>
      <c r="G973" s="50">
        <f>B973*D973*4</f>
        <v>3340.7999999999997</v>
      </c>
      <c r="H973" s="3">
        <v>0</v>
      </c>
      <c r="I973" s="3">
        <v>0</v>
      </c>
      <c r="J973" s="54">
        <f t="shared" si="170"/>
        <v>3340.7999999999997</v>
      </c>
    </row>
    <row r="974" spans="1:10" x14ac:dyDescent="0.3">
      <c r="A974" t="s">
        <v>13312</v>
      </c>
      <c r="B974" s="3">
        <f>+F953</f>
        <v>1392</v>
      </c>
      <c r="C974" s="3">
        <v>0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50">
        <f>+B974</f>
        <v>1392</v>
      </c>
      <c r="J974" s="54">
        <f t="shared" si="170"/>
        <v>1392</v>
      </c>
    </row>
    <row r="975" spans="1:10" x14ac:dyDescent="0.3">
      <c r="A975" t="s">
        <v>13313</v>
      </c>
      <c r="B975" s="3">
        <f>+F953</f>
        <v>1392</v>
      </c>
      <c r="C975" s="3">
        <v>0</v>
      </c>
      <c r="D975" s="3">
        <v>0.6</v>
      </c>
      <c r="E975" s="3">
        <v>0.6</v>
      </c>
      <c r="F975" s="3">
        <v>0</v>
      </c>
      <c r="G975" s="3">
        <v>0</v>
      </c>
      <c r="H975" s="50">
        <f>B975*D975*E975-(B975*3.14*0.4*0.4/4)</f>
        <v>326.2847999999999</v>
      </c>
      <c r="I975" s="3">
        <v>0</v>
      </c>
      <c r="J975" s="54">
        <f t="shared" si="170"/>
        <v>326.2847999999999</v>
      </c>
    </row>
    <row r="976" spans="1:10" x14ac:dyDescent="0.3">
      <c r="A976" t="s">
        <v>13320</v>
      </c>
      <c r="B976" s="3">
        <f>+F953</f>
        <v>1392</v>
      </c>
      <c r="C976" s="3">
        <v>1.2</v>
      </c>
      <c r="D976" s="3">
        <v>0</v>
      </c>
      <c r="E976" s="3">
        <v>0.1</v>
      </c>
      <c r="F976" s="3">
        <v>0</v>
      </c>
      <c r="G976" s="3">
        <v>0</v>
      </c>
      <c r="H976" s="50">
        <f>+B976*C976*E976</f>
        <v>167.04</v>
      </c>
      <c r="I976" s="3"/>
      <c r="J976" s="54">
        <f t="shared" si="170"/>
        <v>167.04</v>
      </c>
    </row>
    <row r="977" spans="1:10" x14ac:dyDescent="0.3">
      <c r="A977" s="51"/>
      <c r="B977" s="52" t="s">
        <v>13328</v>
      </c>
      <c r="C977" s="52" t="s">
        <v>13272</v>
      </c>
      <c r="D977" s="52" t="s">
        <v>13273</v>
      </c>
      <c r="E977" s="52" t="s">
        <v>13274</v>
      </c>
      <c r="F977" s="52" t="s">
        <v>13275</v>
      </c>
      <c r="G977" s="52" t="s">
        <v>13276</v>
      </c>
      <c r="H977" s="52" t="s">
        <v>13277</v>
      </c>
      <c r="I977" s="52" t="s">
        <v>13329</v>
      </c>
      <c r="J977" s="56">
        <v>0</v>
      </c>
    </row>
    <row r="978" spans="1:10" x14ac:dyDescent="0.3">
      <c r="A978" t="s">
        <v>13331</v>
      </c>
      <c r="B978" s="3">
        <f>+F953</f>
        <v>1392</v>
      </c>
      <c r="C978" s="3">
        <v>0</v>
      </c>
      <c r="D978" s="3">
        <v>0</v>
      </c>
      <c r="E978" s="3">
        <v>0</v>
      </c>
      <c r="F978" s="3">
        <v>0</v>
      </c>
      <c r="G978" s="3">
        <v>0</v>
      </c>
      <c r="H978" s="3">
        <v>0</v>
      </c>
      <c r="I978" s="3">
        <f>+B978*2</f>
        <v>2784</v>
      </c>
      <c r="J978" s="54">
        <f t="shared" ref="J978:J981" si="171">SUM(G978:I978)</f>
        <v>2784</v>
      </c>
    </row>
    <row r="979" spans="1:10" x14ac:dyDescent="0.3">
      <c r="A979" t="s">
        <v>13332</v>
      </c>
      <c r="B979" s="3">
        <f>+F953</f>
        <v>1392</v>
      </c>
      <c r="C979" s="3">
        <v>0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3">
        <f>+B979*2</f>
        <v>2784</v>
      </c>
      <c r="J979" s="54">
        <f t="shared" si="171"/>
        <v>2784</v>
      </c>
    </row>
    <row r="980" spans="1:10" x14ac:dyDescent="0.3">
      <c r="A980" t="s">
        <v>13333</v>
      </c>
      <c r="B980" s="3">
        <v>0</v>
      </c>
      <c r="C980" s="3">
        <v>0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54">
        <f t="shared" si="171"/>
        <v>0</v>
      </c>
    </row>
    <row r="981" spans="1:10" x14ac:dyDescent="0.3">
      <c r="A981" t="s">
        <v>13334</v>
      </c>
      <c r="B981" s="3">
        <v>0</v>
      </c>
      <c r="C981" s="3">
        <v>0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54">
        <f t="shared" si="171"/>
        <v>0</v>
      </c>
    </row>
    <row r="982" spans="1:10" x14ac:dyDescent="0.3">
      <c r="A982" s="51"/>
      <c r="B982" s="52" t="s">
        <v>13328</v>
      </c>
      <c r="C982" s="52" t="s">
        <v>13272</v>
      </c>
      <c r="D982" s="52" t="s">
        <v>13273</v>
      </c>
      <c r="E982" s="52" t="s">
        <v>13274</v>
      </c>
      <c r="F982" s="52" t="s">
        <v>13275</v>
      </c>
      <c r="G982" s="52" t="s">
        <v>13276</v>
      </c>
      <c r="H982" s="52" t="s">
        <v>13277</v>
      </c>
      <c r="I982" s="52" t="s">
        <v>13329</v>
      </c>
      <c r="J982" s="56">
        <v>0</v>
      </c>
    </row>
    <row r="983" spans="1:10" x14ac:dyDescent="0.3">
      <c r="A983" t="s">
        <v>13330</v>
      </c>
      <c r="B983" s="3">
        <f>+F953</f>
        <v>1392</v>
      </c>
      <c r="C983" s="3">
        <v>0</v>
      </c>
      <c r="D983" s="3">
        <v>3.5</v>
      </c>
      <c r="E983" s="3">
        <v>0.15</v>
      </c>
      <c r="F983" s="3">
        <v>0</v>
      </c>
      <c r="G983" s="3">
        <v>0</v>
      </c>
      <c r="H983" s="3">
        <f>+B983*D983*E983*2</f>
        <v>1461.6</v>
      </c>
      <c r="I983" s="3">
        <v>0</v>
      </c>
      <c r="J983" s="54">
        <f t="shared" ref="J983:J987" si="172">SUM(G983:I983)</f>
        <v>1461.6</v>
      </c>
    </row>
    <row r="984" spans="1:10" x14ac:dyDescent="0.3">
      <c r="A984" t="s">
        <v>13271</v>
      </c>
      <c r="B984" s="3">
        <f>+F953</f>
        <v>1392</v>
      </c>
      <c r="C984" s="3">
        <v>0</v>
      </c>
      <c r="D984" s="3">
        <v>3.5</v>
      </c>
      <c r="E984" s="3">
        <v>0.1</v>
      </c>
      <c r="F984" s="3">
        <v>0</v>
      </c>
      <c r="G984" s="3">
        <v>0</v>
      </c>
      <c r="H984" s="3">
        <f>+B984*D984*E984*2</f>
        <v>974.40000000000009</v>
      </c>
      <c r="I984" s="3">
        <v>0</v>
      </c>
      <c r="J984" s="54">
        <f t="shared" si="172"/>
        <v>974.40000000000009</v>
      </c>
    </row>
    <row r="985" spans="1:10" x14ac:dyDescent="0.3">
      <c r="A985" t="s">
        <v>13324</v>
      </c>
      <c r="B985" s="3">
        <v>0</v>
      </c>
      <c r="C985" s="3">
        <v>0</v>
      </c>
      <c r="D985" s="3">
        <v>0</v>
      </c>
      <c r="E985" s="3">
        <v>0</v>
      </c>
      <c r="F985" s="3">
        <v>0</v>
      </c>
      <c r="G985" s="3">
        <v>0</v>
      </c>
      <c r="H985" s="3">
        <f>+H983-H984</f>
        <v>487.19999999999982</v>
      </c>
      <c r="I985" s="3">
        <v>0</v>
      </c>
      <c r="J985" s="54">
        <f t="shared" si="172"/>
        <v>487.19999999999982</v>
      </c>
    </row>
    <row r="986" spans="1:10" x14ac:dyDescent="0.3">
      <c r="A986" t="s">
        <v>13335</v>
      </c>
      <c r="B986" s="3">
        <f>+F953</f>
        <v>1392</v>
      </c>
      <c r="C986" s="3">
        <v>0</v>
      </c>
      <c r="D986" s="3">
        <v>3.5</v>
      </c>
      <c r="E986" s="3">
        <v>0</v>
      </c>
      <c r="F986" s="3">
        <v>0</v>
      </c>
      <c r="G986" s="3">
        <f>+B986*D986*2</f>
        <v>9744</v>
      </c>
      <c r="H986" s="3">
        <v>0</v>
      </c>
      <c r="I986" s="3">
        <v>0</v>
      </c>
      <c r="J986" s="54">
        <f t="shared" si="172"/>
        <v>9744</v>
      </c>
    </row>
    <row r="987" spans="1:10" x14ac:dyDescent="0.3">
      <c r="A987" t="s">
        <v>13336</v>
      </c>
      <c r="B987" s="3">
        <f>+F953</f>
        <v>1392</v>
      </c>
      <c r="C987" s="3">
        <v>0</v>
      </c>
      <c r="D987" s="3">
        <v>3.5</v>
      </c>
      <c r="E987" s="3">
        <v>0.15</v>
      </c>
      <c r="F987" s="3">
        <v>0</v>
      </c>
      <c r="G987" s="3"/>
      <c r="H987" s="3">
        <f>+B987*D987*E987</f>
        <v>730.8</v>
      </c>
      <c r="I987" s="3">
        <v>0</v>
      </c>
      <c r="J987" s="54">
        <f t="shared" si="172"/>
        <v>730.8</v>
      </c>
    </row>
    <row r="988" spans="1:10" x14ac:dyDescent="0.3">
      <c r="A988" s="51"/>
      <c r="B988" s="52" t="s">
        <v>13328</v>
      </c>
      <c r="C988" s="52" t="s">
        <v>13272</v>
      </c>
      <c r="D988" s="52" t="s">
        <v>13273</v>
      </c>
      <c r="E988" s="52" t="s">
        <v>13274</v>
      </c>
      <c r="F988" s="52" t="s">
        <v>13275</v>
      </c>
      <c r="G988" s="52" t="s">
        <v>13276</v>
      </c>
      <c r="H988" s="52" t="s">
        <v>13277</v>
      </c>
      <c r="I988" s="52" t="s">
        <v>13329</v>
      </c>
      <c r="J988" s="56">
        <v>0</v>
      </c>
    </row>
    <row r="989" spans="1:10" x14ac:dyDescent="0.3">
      <c r="A989" s="3" t="s">
        <v>13337</v>
      </c>
      <c r="B989" s="3">
        <f>+F953</f>
        <v>1392</v>
      </c>
      <c r="C989" s="3">
        <v>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f>+B989*2</f>
        <v>2784</v>
      </c>
      <c r="J989" s="55">
        <f t="shared" ref="J989" si="173">SUM(G989:I989)</f>
        <v>2784</v>
      </c>
    </row>
    <row r="991" spans="1:10" x14ac:dyDescent="0.3">
      <c r="A991" t="s">
        <v>13135</v>
      </c>
      <c r="B991" t="str">
        <f>+'Ficha Canais'!A35</f>
        <v>Canal: CS27</v>
      </c>
      <c r="E991" t="s">
        <v>13269</v>
      </c>
      <c r="F991" s="3">
        <f>+'Ficha Canais'!B35</f>
        <v>3186</v>
      </c>
      <c r="G991" t="s">
        <v>13270</v>
      </c>
      <c r="H991" t="s">
        <v>14586</v>
      </c>
      <c r="I991" s="3">
        <f>+I953</f>
        <v>5</v>
      </c>
    </row>
    <row r="992" spans="1:10" x14ac:dyDescent="0.3">
      <c r="A992" s="51"/>
      <c r="B992" s="52" t="s">
        <v>13328</v>
      </c>
      <c r="C992" s="52" t="s">
        <v>13272</v>
      </c>
      <c r="D992" s="52" t="s">
        <v>13273</v>
      </c>
      <c r="E992" s="52" t="s">
        <v>13274</v>
      </c>
      <c r="F992" s="52" t="s">
        <v>13275</v>
      </c>
      <c r="G992" s="52" t="s">
        <v>13276</v>
      </c>
      <c r="H992" s="52" t="s">
        <v>13277</v>
      </c>
      <c r="I992" s="52" t="s">
        <v>13329</v>
      </c>
      <c r="J992" s="53" t="s">
        <v>13309</v>
      </c>
    </row>
    <row r="993" spans="1:10" x14ac:dyDescent="0.3">
      <c r="A993" t="s">
        <v>13322</v>
      </c>
      <c r="B993" s="3">
        <f>+F991</f>
        <v>3186</v>
      </c>
      <c r="C993" s="3">
        <v>40</v>
      </c>
      <c r="D993" s="3">
        <v>0</v>
      </c>
      <c r="E993" s="3">
        <v>0</v>
      </c>
      <c r="F993" s="3">
        <v>0</v>
      </c>
      <c r="G993" s="49">
        <f>+B993*C993</f>
        <v>127440</v>
      </c>
      <c r="H993" s="47">
        <v>0</v>
      </c>
      <c r="I993" s="47">
        <v>0</v>
      </c>
      <c r="J993" s="54">
        <f>SUM(G993:I993)</f>
        <v>127440</v>
      </c>
    </row>
    <row r="994" spans="1:10" x14ac:dyDescent="0.3">
      <c r="A994" t="s">
        <v>13323</v>
      </c>
      <c r="B994" s="3">
        <v>0</v>
      </c>
      <c r="C994" s="3">
        <v>0</v>
      </c>
      <c r="D994" s="3">
        <v>0</v>
      </c>
      <c r="E994" s="3">
        <v>0</v>
      </c>
      <c r="F994" s="3">
        <v>0</v>
      </c>
      <c r="G994" s="3">
        <v>0</v>
      </c>
      <c r="H994" s="68">
        <v>42907</v>
      </c>
      <c r="I994" s="47">
        <v>0</v>
      </c>
      <c r="J994" s="54">
        <f t="shared" ref="J994:J1006" si="174">SUM(G994:I994)</f>
        <v>42907</v>
      </c>
    </row>
    <row r="995" spans="1:10" x14ac:dyDescent="0.3">
      <c r="A995" t="s">
        <v>13271</v>
      </c>
      <c r="B995" s="3">
        <v>0</v>
      </c>
      <c r="C995" s="3">
        <v>0</v>
      </c>
      <c r="D995" s="3">
        <v>0</v>
      </c>
      <c r="E995" s="3">
        <v>0</v>
      </c>
      <c r="F995" s="3">
        <v>0</v>
      </c>
      <c r="G995" s="3">
        <v>0</v>
      </c>
      <c r="H995" s="68">
        <v>37839.32</v>
      </c>
      <c r="I995" s="47">
        <v>0</v>
      </c>
      <c r="J995" s="54">
        <f t="shared" si="174"/>
        <v>37839.32</v>
      </c>
    </row>
    <row r="996" spans="1:10" x14ac:dyDescent="0.3">
      <c r="A996" t="s">
        <v>13324</v>
      </c>
      <c r="B996" s="3">
        <v>0</v>
      </c>
      <c r="C996" s="3">
        <v>0</v>
      </c>
      <c r="D996" s="3">
        <v>0</v>
      </c>
      <c r="E996" s="3">
        <v>0</v>
      </c>
      <c r="F996" s="3">
        <v>0</v>
      </c>
      <c r="G996" s="3">
        <v>0</v>
      </c>
      <c r="H996" s="68">
        <f>-(H995-H994)*1.4*I991</f>
        <v>35473.760000000002</v>
      </c>
      <c r="I996" s="47">
        <v>0</v>
      </c>
      <c r="J996" s="54">
        <f t="shared" si="174"/>
        <v>35473.760000000002</v>
      </c>
    </row>
    <row r="997" spans="1:10" s="60" customFormat="1" x14ac:dyDescent="0.3">
      <c r="A997" s="60" t="s">
        <v>13335</v>
      </c>
      <c r="B997" s="61">
        <f>+F991</f>
        <v>3186</v>
      </c>
      <c r="C997" s="61">
        <v>0</v>
      </c>
      <c r="D997" s="61">
        <f>+D998</f>
        <v>0.6</v>
      </c>
      <c r="E997" s="61">
        <v>0</v>
      </c>
      <c r="F997" s="61">
        <v>0</v>
      </c>
      <c r="G997" s="194">
        <f>+B997*D997</f>
        <v>1911.6</v>
      </c>
      <c r="H997" s="62">
        <v>0</v>
      </c>
      <c r="I997" s="62"/>
      <c r="J997" s="195">
        <f t="shared" ref="J997" si="175">SUM(G997:I997)</f>
        <v>1911.6</v>
      </c>
    </row>
    <row r="998" spans="1:10" x14ac:dyDescent="0.3">
      <c r="A998" t="s">
        <v>13325</v>
      </c>
      <c r="B998" s="3">
        <f>+F991</f>
        <v>3186</v>
      </c>
      <c r="C998" s="3">
        <v>0</v>
      </c>
      <c r="D998" s="3">
        <v>0.6</v>
      </c>
      <c r="E998" s="3">
        <v>0.85</v>
      </c>
      <c r="F998" s="3">
        <f>(E998*1.8*2)+D998+0.8</f>
        <v>4.46</v>
      </c>
      <c r="G998" s="69">
        <v>1712.65</v>
      </c>
      <c r="H998" s="68">
        <v>0</v>
      </c>
      <c r="I998" s="47">
        <v>0</v>
      </c>
      <c r="J998" s="54">
        <f t="shared" si="174"/>
        <v>1712.65</v>
      </c>
    </row>
    <row r="999" spans="1:10" s="60" customFormat="1" x14ac:dyDescent="0.3">
      <c r="A999" s="60" t="s">
        <v>14514</v>
      </c>
      <c r="B999" s="61">
        <f>+F991</f>
        <v>3186</v>
      </c>
      <c r="C999" s="61">
        <v>0</v>
      </c>
      <c r="D999" s="61">
        <v>0</v>
      </c>
      <c r="E999" s="61">
        <v>0</v>
      </c>
      <c r="F999" s="61">
        <v>0</v>
      </c>
      <c r="G999" s="62">
        <v>0</v>
      </c>
      <c r="H999" s="194">
        <f>+G1000*0.2</f>
        <v>1370.2</v>
      </c>
      <c r="I999" s="62">
        <v>0</v>
      </c>
      <c r="J999" s="195">
        <f t="shared" ref="J999" si="176">SUM(G999:I999)</f>
        <v>1370.2</v>
      </c>
    </row>
    <row r="1000" spans="1:10" x14ac:dyDescent="0.3">
      <c r="A1000" t="s">
        <v>13326</v>
      </c>
      <c r="B1000" s="3">
        <v>0</v>
      </c>
      <c r="C1000" s="3">
        <v>0</v>
      </c>
      <c r="D1000" s="3">
        <v>0</v>
      </c>
      <c r="E1000" s="3">
        <v>0</v>
      </c>
      <c r="F1000" s="3">
        <v>0</v>
      </c>
      <c r="G1000" s="69">
        <v>6851</v>
      </c>
      <c r="H1000" s="68">
        <v>0</v>
      </c>
      <c r="I1000" s="47">
        <v>0</v>
      </c>
      <c r="J1000" s="54">
        <f t="shared" si="174"/>
        <v>6851</v>
      </c>
    </row>
    <row r="1001" spans="1:10" s="60" customFormat="1" x14ac:dyDescent="0.3">
      <c r="A1001" s="60" t="s">
        <v>14515</v>
      </c>
      <c r="B1001" s="61">
        <f>+F991</f>
        <v>3186</v>
      </c>
      <c r="C1001" s="61">
        <v>0</v>
      </c>
      <c r="D1001" s="61">
        <v>0</v>
      </c>
      <c r="E1001" s="61">
        <v>0</v>
      </c>
      <c r="F1001" s="61">
        <v>0</v>
      </c>
      <c r="G1001" s="62">
        <v>0</v>
      </c>
      <c r="H1001" s="61">
        <v>0</v>
      </c>
      <c r="I1001" s="194">
        <f>+B1001*2</f>
        <v>6372</v>
      </c>
      <c r="J1001" s="195">
        <f>+I1001</f>
        <v>6372</v>
      </c>
    </row>
    <row r="1002" spans="1:10" x14ac:dyDescent="0.3">
      <c r="A1002" t="s">
        <v>3042</v>
      </c>
      <c r="B1002" s="3">
        <v>0</v>
      </c>
      <c r="C1002" s="3">
        <v>0</v>
      </c>
      <c r="D1002" s="3">
        <v>0</v>
      </c>
      <c r="E1002" s="3">
        <v>0</v>
      </c>
      <c r="F1002" s="3">
        <v>0</v>
      </c>
      <c r="G1002" s="68">
        <v>0</v>
      </c>
      <c r="H1002" s="68">
        <f>+G1000*0.07</f>
        <v>479.57000000000005</v>
      </c>
      <c r="I1002" s="47">
        <v>0</v>
      </c>
      <c r="J1002" s="54">
        <f t="shared" si="174"/>
        <v>479.57000000000005</v>
      </c>
    </row>
    <row r="1003" spans="1:10" x14ac:dyDescent="0.3">
      <c r="A1003" t="s">
        <v>13327</v>
      </c>
      <c r="B1003" s="3">
        <v>0</v>
      </c>
      <c r="C1003" s="3">
        <v>0</v>
      </c>
      <c r="D1003" s="3">
        <v>0</v>
      </c>
      <c r="E1003" s="3">
        <v>0</v>
      </c>
      <c r="F1003" s="3">
        <v>0</v>
      </c>
      <c r="G1003" s="68">
        <v>0</v>
      </c>
      <c r="H1003" s="68">
        <f>+H1002</f>
        <v>479.57000000000005</v>
      </c>
      <c r="I1003" s="47">
        <v>0</v>
      </c>
      <c r="J1003" s="54">
        <f t="shared" si="174"/>
        <v>479.57000000000005</v>
      </c>
    </row>
    <row r="1004" spans="1:10" x14ac:dyDescent="0.3">
      <c r="A1004" t="s">
        <v>13278</v>
      </c>
      <c r="B1004" s="3">
        <f>+F991</f>
        <v>3186</v>
      </c>
      <c r="C1004" s="3">
        <v>0</v>
      </c>
      <c r="D1004" s="3">
        <v>0</v>
      </c>
      <c r="E1004" s="3">
        <v>0</v>
      </c>
      <c r="F1004" s="47">
        <f>+F998</f>
        <v>4.46</v>
      </c>
      <c r="G1004" s="3">
        <v>0</v>
      </c>
      <c r="H1004" s="3">
        <v>0</v>
      </c>
      <c r="I1004" s="49">
        <f>+B1004/2*F1004</f>
        <v>7104.78</v>
      </c>
      <c r="J1004" s="54">
        <f t="shared" si="174"/>
        <v>7104.78</v>
      </c>
    </row>
    <row r="1005" spans="1:10" x14ac:dyDescent="0.3">
      <c r="A1005" t="s">
        <v>13279</v>
      </c>
      <c r="B1005" s="3">
        <f>+F991</f>
        <v>3186</v>
      </c>
      <c r="C1005" s="3">
        <v>0</v>
      </c>
      <c r="D1005" s="3">
        <v>0</v>
      </c>
      <c r="E1005" s="3">
        <v>0</v>
      </c>
      <c r="F1005" s="3">
        <v>0</v>
      </c>
      <c r="G1005" s="3">
        <v>0</v>
      </c>
      <c r="H1005" s="3">
        <v>0</v>
      </c>
      <c r="I1005" s="49">
        <f>+B1005*2</f>
        <v>6372</v>
      </c>
      <c r="J1005" s="54">
        <f t="shared" si="174"/>
        <v>6372</v>
      </c>
    </row>
    <row r="1006" spans="1:10" x14ac:dyDescent="0.3">
      <c r="A1006" t="s">
        <v>13282</v>
      </c>
      <c r="B1006" s="47">
        <f>+F991</f>
        <v>3186</v>
      </c>
      <c r="C1006" s="3">
        <v>12</v>
      </c>
      <c r="D1006" s="3">
        <v>0</v>
      </c>
      <c r="E1006" s="3">
        <v>0</v>
      </c>
      <c r="F1006" s="3">
        <v>0</v>
      </c>
      <c r="G1006" s="49">
        <f>+B1006*C1006</f>
        <v>38232</v>
      </c>
      <c r="H1006" s="3">
        <v>0</v>
      </c>
      <c r="I1006" s="47">
        <v>0</v>
      </c>
      <c r="J1006" s="54">
        <f t="shared" si="174"/>
        <v>38232</v>
      </c>
    </row>
    <row r="1007" spans="1:10" x14ac:dyDescent="0.3">
      <c r="A1007" s="51"/>
      <c r="B1007" s="52" t="s">
        <v>13328</v>
      </c>
      <c r="C1007" s="52" t="s">
        <v>13272</v>
      </c>
      <c r="D1007" s="52" t="s">
        <v>13273</v>
      </c>
      <c r="E1007" s="52" t="s">
        <v>13274</v>
      </c>
      <c r="F1007" s="52" t="s">
        <v>13275</v>
      </c>
      <c r="G1007" s="52" t="s">
        <v>13276</v>
      </c>
      <c r="H1007" s="52" t="s">
        <v>13277</v>
      </c>
      <c r="I1007" s="52" t="s">
        <v>13329</v>
      </c>
      <c r="J1007" s="56">
        <v>0</v>
      </c>
    </row>
    <row r="1008" spans="1:10" x14ac:dyDescent="0.3">
      <c r="A1008" t="s">
        <v>13330</v>
      </c>
      <c r="B1008" s="3">
        <f>+F991</f>
        <v>3186</v>
      </c>
      <c r="C1008" s="3">
        <v>0</v>
      </c>
      <c r="D1008" s="3">
        <v>1.2</v>
      </c>
      <c r="E1008" s="3">
        <v>0.7</v>
      </c>
      <c r="F1008" s="3">
        <v>0</v>
      </c>
      <c r="G1008" s="3">
        <v>0</v>
      </c>
      <c r="H1008" s="50">
        <f>+B1008*D1008*E1008</f>
        <v>2676.24</v>
      </c>
      <c r="I1008" s="3">
        <v>0</v>
      </c>
      <c r="J1008" s="54">
        <f t="shared" ref="J1008:J1014" si="177">SUM(G1008:I1008)</f>
        <v>2676.24</v>
      </c>
    </row>
    <row r="1009" spans="1:10" x14ac:dyDescent="0.3">
      <c r="A1009" t="s">
        <v>13310</v>
      </c>
      <c r="B1009" s="3">
        <f>+F991</f>
        <v>3186</v>
      </c>
      <c r="C1009" s="3"/>
      <c r="D1009" s="3">
        <v>0.6</v>
      </c>
      <c r="E1009" s="3">
        <v>0.6</v>
      </c>
      <c r="F1009" s="3"/>
      <c r="G1009" s="3"/>
      <c r="H1009" s="50">
        <f>+H1008-(B1009*D1009*E1009)</f>
        <v>1529.28</v>
      </c>
      <c r="I1009" s="3"/>
      <c r="J1009" s="54">
        <f t="shared" si="177"/>
        <v>1529.28</v>
      </c>
    </row>
    <row r="1010" spans="1:10" x14ac:dyDescent="0.3">
      <c r="A1010" t="s">
        <v>13324</v>
      </c>
      <c r="B1010" s="3">
        <v>0</v>
      </c>
      <c r="C1010" s="3">
        <v>0</v>
      </c>
      <c r="D1010" s="3">
        <v>0</v>
      </c>
      <c r="E1010" s="3">
        <v>0</v>
      </c>
      <c r="F1010" s="3">
        <v>0</v>
      </c>
      <c r="G1010" s="3">
        <v>0</v>
      </c>
      <c r="H1010" s="50">
        <f>(H1008-H1009)*1.4*5</f>
        <v>8028.7199999999984</v>
      </c>
      <c r="I1010" s="3"/>
      <c r="J1010" s="54">
        <f t="shared" si="177"/>
        <v>8028.7199999999984</v>
      </c>
    </row>
    <row r="1011" spans="1:10" x14ac:dyDescent="0.3">
      <c r="A1011" t="s">
        <v>13311</v>
      </c>
      <c r="B1011" s="3">
        <f>+F991</f>
        <v>3186</v>
      </c>
      <c r="C1011" s="3">
        <v>0</v>
      </c>
      <c r="D1011" s="3">
        <v>0.6</v>
      </c>
      <c r="E1011" s="3">
        <v>0.6</v>
      </c>
      <c r="F1011" s="3">
        <v>0</v>
      </c>
      <c r="G1011" s="50">
        <f>B1011*D1011*4</f>
        <v>7646.4</v>
      </c>
      <c r="H1011" s="3">
        <v>0</v>
      </c>
      <c r="I1011" s="3">
        <v>0</v>
      </c>
      <c r="J1011" s="54">
        <f t="shared" si="177"/>
        <v>7646.4</v>
      </c>
    </row>
    <row r="1012" spans="1:10" x14ac:dyDescent="0.3">
      <c r="A1012" t="s">
        <v>13312</v>
      </c>
      <c r="B1012" s="3">
        <f>+F991</f>
        <v>3186</v>
      </c>
      <c r="C1012" s="3">
        <v>0</v>
      </c>
      <c r="D1012" s="3">
        <v>0</v>
      </c>
      <c r="E1012" s="3">
        <v>0</v>
      </c>
      <c r="F1012" s="3">
        <v>0</v>
      </c>
      <c r="G1012" s="3">
        <v>0</v>
      </c>
      <c r="H1012" s="3">
        <v>0</v>
      </c>
      <c r="I1012" s="50">
        <f>+B1012</f>
        <v>3186</v>
      </c>
      <c r="J1012" s="54">
        <f t="shared" si="177"/>
        <v>3186</v>
      </c>
    </row>
    <row r="1013" spans="1:10" x14ac:dyDescent="0.3">
      <c r="A1013" t="s">
        <v>13313</v>
      </c>
      <c r="B1013" s="3">
        <f>+F991</f>
        <v>3186</v>
      </c>
      <c r="C1013" s="3">
        <v>0</v>
      </c>
      <c r="D1013" s="3">
        <v>0.6</v>
      </c>
      <c r="E1013" s="3">
        <v>0.6</v>
      </c>
      <c r="F1013" s="3">
        <v>0</v>
      </c>
      <c r="G1013" s="3">
        <v>0</v>
      </c>
      <c r="H1013" s="50">
        <f>B1013*D1013*E1013-(B1013*3.14*0.4*0.4/4)</f>
        <v>746.79839999999967</v>
      </c>
      <c r="I1013" s="3">
        <v>0</v>
      </c>
      <c r="J1013" s="54">
        <f t="shared" si="177"/>
        <v>746.79839999999967</v>
      </c>
    </row>
    <row r="1014" spans="1:10" x14ac:dyDescent="0.3">
      <c r="A1014" t="s">
        <v>13320</v>
      </c>
      <c r="B1014" s="3">
        <f>+F991</f>
        <v>3186</v>
      </c>
      <c r="C1014" s="3">
        <v>1.2</v>
      </c>
      <c r="D1014" s="3">
        <v>0</v>
      </c>
      <c r="E1014" s="3">
        <v>0.1</v>
      </c>
      <c r="F1014" s="3">
        <v>0</v>
      </c>
      <c r="G1014" s="3">
        <v>0</v>
      </c>
      <c r="H1014" s="50">
        <f>+B1014*C1014*E1014</f>
        <v>382.32</v>
      </c>
      <c r="I1014" s="3"/>
      <c r="J1014" s="54">
        <f t="shared" si="177"/>
        <v>382.32</v>
      </c>
    </row>
    <row r="1015" spans="1:10" x14ac:dyDescent="0.3">
      <c r="A1015" s="51"/>
      <c r="B1015" s="52" t="s">
        <v>13328</v>
      </c>
      <c r="C1015" s="52" t="s">
        <v>13272</v>
      </c>
      <c r="D1015" s="52" t="s">
        <v>13273</v>
      </c>
      <c r="E1015" s="52" t="s">
        <v>13274</v>
      </c>
      <c r="F1015" s="52" t="s">
        <v>13275</v>
      </c>
      <c r="G1015" s="52" t="s">
        <v>13276</v>
      </c>
      <c r="H1015" s="52" t="s">
        <v>13277</v>
      </c>
      <c r="I1015" s="52" t="s">
        <v>13329</v>
      </c>
      <c r="J1015" s="56">
        <v>0</v>
      </c>
    </row>
    <row r="1016" spans="1:10" x14ac:dyDescent="0.3">
      <c r="A1016" t="s">
        <v>13331</v>
      </c>
      <c r="B1016" s="3">
        <f>+F991</f>
        <v>3186</v>
      </c>
      <c r="C1016" s="3">
        <v>0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f>+B1016*2</f>
        <v>6372</v>
      </c>
      <c r="J1016" s="54">
        <f t="shared" ref="J1016:J1019" si="178">SUM(G1016:I1016)</f>
        <v>6372</v>
      </c>
    </row>
    <row r="1017" spans="1:10" x14ac:dyDescent="0.3">
      <c r="A1017" t="s">
        <v>13332</v>
      </c>
      <c r="B1017" s="3">
        <f>+F991</f>
        <v>3186</v>
      </c>
      <c r="C1017" s="3">
        <v>0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f>+B1017*2</f>
        <v>6372</v>
      </c>
      <c r="J1017" s="54">
        <f t="shared" si="178"/>
        <v>6372</v>
      </c>
    </row>
    <row r="1018" spans="1:10" x14ac:dyDescent="0.3">
      <c r="A1018" t="s">
        <v>13333</v>
      </c>
      <c r="B1018" s="3">
        <v>0</v>
      </c>
      <c r="C1018" s="3">
        <v>0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19.5</v>
      </c>
      <c r="J1018" s="54">
        <f t="shared" si="178"/>
        <v>19.5</v>
      </c>
    </row>
    <row r="1019" spans="1:10" x14ac:dyDescent="0.3">
      <c r="A1019" t="s">
        <v>13334</v>
      </c>
      <c r="B1019" s="3">
        <v>0</v>
      </c>
      <c r="C1019" s="3">
        <v>0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2</v>
      </c>
      <c r="J1019" s="54">
        <f t="shared" si="178"/>
        <v>2</v>
      </c>
    </row>
    <row r="1020" spans="1:10" x14ac:dyDescent="0.3">
      <c r="A1020" s="51"/>
      <c r="B1020" s="52" t="s">
        <v>13328</v>
      </c>
      <c r="C1020" s="52" t="s">
        <v>13272</v>
      </c>
      <c r="D1020" s="52" t="s">
        <v>13273</v>
      </c>
      <c r="E1020" s="52" t="s">
        <v>13274</v>
      </c>
      <c r="F1020" s="52" t="s">
        <v>13275</v>
      </c>
      <c r="G1020" s="52" t="s">
        <v>13276</v>
      </c>
      <c r="H1020" s="52" t="s">
        <v>13277</v>
      </c>
      <c r="I1020" s="52" t="s">
        <v>13329</v>
      </c>
      <c r="J1020" s="56">
        <v>0</v>
      </c>
    </row>
    <row r="1021" spans="1:10" x14ac:dyDescent="0.3">
      <c r="A1021" t="s">
        <v>13330</v>
      </c>
      <c r="B1021" s="3">
        <f>+F991</f>
        <v>3186</v>
      </c>
      <c r="C1021" s="3">
        <v>0</v>
      </c>
      <c r="D1021" s="3">
        <v>3.5</v>
      </c>
      <c r="E1021" s="3">
        <v>0.15</v>
      </c>
      <c r="F1021" s="3">
        <v>0</v>
      </c>
      <c r="G1021" s="3">
        <v>0</v>
      </c>
      <c r="H1021" s="3">
        <f>+B1021*D1021*E1021*2</f>
        <v>3345.2999999999997</v>
      </c>
      <c r="I1021" s="3">
        <v>0</v>
      </c>
      <c r="J1021" s="54">
        <f t="shared" ref="J1021:J1025" si="179">SUM(G1021:I1021)</f>
        <v>3345.2999999999997</v>
      </c>
    </row>
    <row r="1022" spans="1:10" x14ac:dyDescent="0.3">
      <c r="A1022" t="s">
        <v>13271</v>
      </c>
      <c r="B1022" s="3">
        <f>+F991</f>
        <v>3186</v>
      </c>
      <c r="C1022" s="3">
        <v>0</v>
      </c>
      <c r="D1022" s="3">
        <v>3.5</v>
      </c>
      <c r="E1022" s="3">
        <v>0.1</v>
      </c>
      <c r="F1022" s="3">
        <v>0</v>
      </c>
      <c r="G1022" s="3">
        <v>0</v>
      </c>
      <c r="H1022" s="3">
        <f>+B1022*D1022*E1022*2</f>
        <v>2230.2000000000003</v>
      </c>
      <c r="I1022" s="3">
        <v>0</v>
      </c>
      <c r="J1022" s="54">
        <f t="shared" si="179"/>
        <v>2230.2000000000003</v>
      </c>
    </row>
    <row r="1023" spans="1:10" x14ac:dyDescent="0.3">
      <c r="A1023" t="s">
        <v>13324</v>
      </c>
      <c r="B1023" s="3">
        <v>0</v>
      </c>
      <c r="C1023" s="3">
        <v>0</v>
      </c>
      <c r="D1023" s="3">
        <v>0</v>
      </c>
      <c r="E1023" s="3">
        <v>0</v>
      </c>
      <c r="F1023" s="3">
        <v>0</v>
      </c>
      <c r="G1023" s="3">
        <v>0</v>
      </c>
      <c r="H1023" s="3">
        <f>+H1021-H1022</f>
        <v>1115.0999999999995</v>
      </c>
      <c r="I1023" s="3">
        <v>0</v>
      </c>
      <c r="J1023" s="54">
        <f t="shared" si="179"/>
        <v>1115.0999999999995</v>
      </c>
    </row>
    <row r="1024" spans="1:10" x14ac:dyDescent="0.3">
      <c r="A1024" t="s">
        <v>13335</v>
      </c>
      <c r="B1024" s="3">
        <f>+F991</f>
        <v>3186</v>
      </c>
      <c r="C1024" s="3">
        <v>0</v>
      </c>
      <c r="D1024" s="3">
        <v>3.5</v>
      </c>
      <c r="E1024" s="3">
        <v>0</v>
      </c>
      <c r="F1024" s="3">
        <v>0</v>
      </c>
      <c r="G1024" s="3">
        <f>+B1024*D1024*2</f>
        <v>22302</v>
      </c>
      <c r="H1024" s="3">
        <v>0</v>
      </c>
      <c r="I1024" s="3">
        <v>0</v>
      </c>
      <c r="J1024" s="54">
        <f t="shared" si="179"/>
        <v>22302</v>
      </c>
    </row>
    <row r="1025" spans="1:10" x14ac:dyDescent="0.3">
      <c r="A1025" t="s">
        <v>13336</v>
      </c>
      <c r="B1025" s="3">
        <f>+F991</f>
        <v>3186</v>
      </c>
      <c r="C1025" s="3">
        <v>0</v>
      </c>
      <c r="D1025" s="3">
        <v>3.5</v>
      </c>
      <c r="E1025" s="3">
        <v>0.15</v>
      </c>
      <c r="F1025" s="3">
        <v>0</v>
      </c>
      <c r="G1025" s="3"/>
      <c r="H1025" s="3">
        <f>+B1025*D1025*E1025</f>
        <v>1672.6499999999999</v>
      </c>
      <c r="I1025" s="3">
        <v>0</v>
      </c>
      <c r="J1025" s="54">
        <f t="shared" si="179"/>
        <v>1672.6499999999999</v>
      </c>
    </row>
    <row r="1026" spans="1:10" x14ac:dyDescent="0.3">
      <c r="A1026" s="51"/>
      <c r="B1026" s="52" t="s">
        <v>13328</v>
      </c>
      <c r="C1026" s="52" t="s">
        <v>13272</v>
      </c>
      <c r="D1026" s="52" t="s">
        <v>13273</v>
      </c>
      <c r="E1026" s="52" t="s">
        <v>13274</v>
      </c>
      <c r="F1026" s="52" t="s">
        <v>13275</v>
      </c>
      <c r="G1026" s="52" t="s">
        <v>13276</v>
      </c>
      <c r="H1026" s="52" t="s">
        <v>13277</v>
      </c>
      <c r="I1026" s="52" t="s">
        <v>13329</v>
      </c>
      <c r="J1026" s="56">
        <v>0</v>
      </c>
    </row>
    <row r="1027" spans="1:10" x14ac:dyDescent="0.3">
      <c r="A1027" s="3" t="s">
        <v>13337</v>
      </c>
      <c r="B1027" s="3">
        <f>+F991</f>
        <v>3186</v>
      </c>
      <c r="C1027" s="3">
        <v>0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f>+B1027*2</f>
        <v>6372</v>
      </c>
      <c r="J1027" s="55">
        <f t="shared" ref="J1027" si="180">SUM(G1027:I1027)</f>
        <v>6372</v>
      </c>
    </row>
    <row r="1029" spans="1:10" x14ac:dyDescent="0.3">
      <c r="A1029" t="s">
        <v>13135</v>
      </c>
      <c r="B1029" t="str">
        <f>+'Ficha Canais'!A36</f>
        <v>Canal: CS29</v>
      </c>
      <c r="E1029" t="s">
        <v>13269</v>
      </c>
      <c r="F1029" s="3">
        <f>+'Ficha Canais'!B36</f>
        <v>0</v>
      </c>
      <c r="G1029" t="s">
        <v>13270</v>
      </c>
      <c r="H1029" t="s">
        <v>14586</v>
      </c>
      <c r="I1029" s="3">
        <f>+I991</f>
        <v>5</v>
      </c>
    </row>
    <row r="1030" spans="1:10" x14ac:dyDescent="0.3">
      <c r="A1030" s="51"/>
      <c r="B1030" s="52" t="s">
        <v>13328</v>
      </c>
      <c r="C1030" s="52" t="s">
        <v>13272</v>
      </c>
      <c r="D1030" s="52" t="s">
        <v>13273</v>
      </c>
      <c r="E1030" s="52" t="s">
        <v>13274</v>
      </c>
      <c r="F1030" s="52" t="s">
        <v>13275</v>
      </c>
      <c r="G1030" s="52" t="s">
        <v>13276</v>
      </c>
      <c r="H1030" s="52" t="s">
        <v>13277</v>
      </c>
      <c r="I1030" s="52" t="s">
        <v>13329</v>
      </c>
      <c r="J1030" s="53" t="s">
        <v>13309</v>
      </c>
    </row>
    <row r="1031" spans="1:10" x14ac:dyDescent="0.3">
      <c r="A1031" t="s">
        <v>13322</v>
      </c>
      <c r="B1031" s="3">
        <f>+F1029</f>
        <v>0</v>
      </c>
      <c r="C1031" s="3">
        <v>0</v>
      </c>
      <c r="D1031" s="3">
        <v>0</v>
      </c>
      <c r="E1031" s="3">
        <v>0</v>
      </c>
      <c r="F1031" s="3">
        <v>0</v>
      </c>
      <c r="G1031" s="49">
        <f>+B1031*C1031</f>
        <v>0</v>
      </c>
      <c r="H1031" s="47">
        <v>0</v>
      </c>
      <c r="I1031" s="47">
        <v>0</v>
      </c>
      <c r="J1031" s="54">
        <f>SUM(G1031:I1031)</f>
        <v>0</v>
      </c>
    </row>
    <row r="1032" spans="1:10" x14ac:dyDescent="0.3">
      <c r="A1032" t="s">
        <v>13323</v>
      </c>
      <c r="B1032" s="3">
        <v>0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68">
        <v>0</v>
      </c>
      <c r="I1032" s="47">
        <v>0</v>
      </c>
      <c r="J1032" s="54">
        <f t="shared" ref="J1032:J1044" si="181">SUM(G1032:I1032)</f>
        <v>0</v>
      </c>
    </row>
    <row r="1033" spans="1:10" x14ac:dyDescent="0.3">
      <c r="A1033" t="s">
        <v>13271</v>
      </c>
      <c r="B1033" s="3">
        <v>0</v>
      </c>
      <c r="C1033" s="3">
        <v>0</v>
      </c>
      <c r="D1033" s="3">
        <v>0</v>
      </c>
      <c r="E1033" s="3">
        <v>0</v>
      </c>
      <c r="F1033" s="3">
        <v>0</v>
      </c>
      <c r="G1033" s="3">
        <v>0</v>
      </c>
      <c r="H1033" s="68">
        <v>0</v>
      </c>
      <c r="I1033" s="47">
        <v>0</v>
      </c>
      <c r="J1033" s="54">
        <f t="shared" si="181"/>
        <v>0</v>
      </c>
    </row>
    <row r="1034" spans="1:10" x14ac:dyDescent="0.3">
      <c r="A1034" t="s">
        <v>13324</v>
      </c>
      <c r="B1034" s="3">
        <v>0</v>
      </c>
      <c r="C1034" s="3">
        <v>0</v>
      </c>
      <c r="D1034" s="3">
        <v>0</v>
      </c>
      <c r="E1034" s="3">
        <v>0</v>
      </c>
      <c r="F1034" s="3">
        <v>0</v>
      </c>
      <c r="G1034" s="3">
        <v>0</v>
      </c>
      <c r="H1034" s="68">
        <v>0</v>
      </c>
      <c r="I1034" s="47">
        <v>0</v>
      </c>
      <c r="J1034" s="54">
        <f t="shared" si="181"/>
        <v>0</v>
      </c>
    </row>
    <row r="1035" spans="1:10" s="60" customFormat="1" x14ac:dyDescent="0.3">
      <c r="A1035" s="60" t="s">
        <v>13335</v>
      </c>
      <c r="B1035" s="61">
        <f>+F1029</f>
        <v>0</v>
      </c>
      <c r="C1035" s="61">
        <v>0</v>
      </c>
      <c r="D1035" s="61">
        <v>0</v>
      </c>
      <c r="E1035" s="61">
        <v>0</v>
      </c>
      <c r="F1035" s="61">
        <v>0</v>
      </c>
      <c r="G1035" s="194">
        <f>+B1035*D1035</f>
        <v>0</v>
      </c>
      <c r="H1035" s="62">
        <v>0</v>
      </c>
      <c r="I1035" s="62"/>
      <c r="J1035" s="195">
        <f t="shared" ref="J1035" si="182">SUM(G1035:I1035)</f>
        <v>0</v>
      </c>
    </row>
    <row r="1036" spans="1:10" x14ac:dyDescent="0.3">
      <c r="A1036" t="s">
        <v>13325</v>
      </c>
      <c r="B1036" s="3">
        <f>+F1029</f>
        <v>0</v>
      </c>
      <c r="C1036" s="3">
        <v>0</v>
      </c>
      <c r="D1036" s="3">
        <v>0</v>
      </c>
      <c r="E1036" s="3">
        <v>0</v>
      </c>
      <c r="F1036" s="3">
        <v>0</v>
      </c>
      <c r="G1036" s="69">
        <f>+F1036*B1036</f>
        <v>0</v>
      </c>
      <c r="H1036" s="68">
        <v>0</v>
      </c>
      <c r="I1036" s="47">
        <v>0</v>
      </c>
      <c r="J1036" s="54">
        <f t="shared" si="181"/>
        <v>0</v>
      </c>
    </row>
    <row r="1037" spans="1:10" s="60" customFormat="1" x14ac:dyDescent="0.3">
      <c r="A1037" s="60" t="s">
        <v>14514</v>
      </c>
      <c r="B1037" s="61">
        <f>+F1029</f>
        <v>0</v>
      </c>
      <c r="C1037" s="61">
        <v>0</v>
      </c>
      <c r="D1037" s="61">
        <v>0</v>
      </c>
      <c r="E1037" s="61">
        <v>0</v>
      </c>
      <c r="F1037" s="61">
        <v>0</v>
      </c>
      <c r="G1037" s="62">
        <v>0</v>
      </c>
      <c r="H1037" s="194">
        <f>+G1038*0.2</f>
        <v>0</v>
      </c>
      <c r="I1037" s="62">
        <v>0</v>
      </c>
      <c r="J1037" s="195">
        <f t="shared" ref="J1037" si="183">SUM(G1037:I1037)</f>
        <v>0</v>
      </c>
    </row>
    <row r="1038" spans="1:10" x14ac:dyDescent="0.3">
      <c r="A1038" t="s">
        <v>13326</v>
      </c>
      <c r="B1038" s="3">
        <v>0</v>
      </c>
      <c r="C1038" s="3">
        <v>0</v>
      </c>
      <c r="D1038" s="3">
        <v>0</v>
      </c>
      <c r="E1038" s="3">
        <v>0</v>
      </c>
      <c r="F1038" s="3">
        <v>0</v>
      </c>
      <c r="G1038" s="69">
        <v>0</v>
      </c>
      <c r="H1038" s="68">
        <v>0</v>
      </c>
      <c r="I1038" s="47">
        <v>0</v>
      </c>
      <c r="J1038" s="54">
        <f t="shared" si="181"/>
        <v>0</v>
      </c>
    </row>
    <row r="1039" spans="1:10" s="60" customFormat="1" x14ac:dyDescent="0.3">
      <c r="A1039" s="60" t="s">
        <v>14515</v>
      </c>
      <c r="B1039" s="61">
        <f>+F1029</f>
        <v>0</v>
      </c>
      <c r="C1039" s="61">
        <v>0</v>
      </c>
      <c r="D1039" s="61">
        <v>0</v>
      </c>
      <c r="E1039" s="61">
        <v>0</v>
      </c>
      <c r="F1039" s="61">
        <v>0</v>
      </c>
      <c r="G1039" s="62">
        <v>0</v>
      </c>
      <c r="H1039" s="61">
        <v>0</v>
      </c>
      <c r="I1039" s="194">
        <f>+B1039*2</f>
        <v>0</v>
      </c>
      <c r="J1039" s="195">
        <f>+I1039</f>
        <v>0</v>
      </c>
    </row>
    <row r="1040" spans="1:10" x14ac:dyDescent="0.3">
      <c r="A1040" t="s">
        <v>3042</v>
      </c>
      <c r="B1040" s="3">
        <v>0</v>
      </c>
      <c r="C1040" s="3">
        <v>0</v>
      </c>
      <c r="D1040" s="3">
        <v>0</v>
      </c>
      <c r="E1040" s="3">
        <v>0</v>
      </c>
      <c r="F1040" s="3">
        <v>0</v>
      </c>
      <c r="G1040" s="68">
        <v>0</v>
      </c>
      <c r="H1040" s="68">
        <f>+G1038*0.07</f>
        <v>0</v>
      </c>
      <c r="I1040" s="47">
        <v>0</v>
      </c>
      <c r="J1040" s="54">
        <f t="shared" si="181"/>
        <v>0</v>
      </c>
    </row>
    <row r="1041" spans="1:10" x14ac:dyDescent="0.3">
      <c r="A1041" t="s">
        <v>13327</v>
      </c>
      <c r="B1041" s="3">
        <v>0</v>
      </c>
      <c r="C1041" s="3">
        <v>0</v>
      </c>
      <c r="D1041" s="3">
        <v>0</v>
      </c>
      <c r="E1041" s="3">
        <v>0</v>
      </c>
      <c r="F1041" s="3">
        <v>0</v>
      </c>
      <c r="G1041" s="68">
        <v>0</v>
      </c>
      <c r="H1041" s="68">
        <f>+H1040</f>
        <v>0</v>
      </c>
      <c r="I1041" s="47">
        <v>0</v>
      </c>
      <c r="J1041" s="54">
        <f t="shared" si="181"/>
        <v>0</v>
      </c>
    </row>
    <row r="1042" spans="1:10" x14ac:dyDescent="0.3">
      <c r="A1042" t="s">
        <v>13278</v>
      </c>
      <c r="B1042" s="3">
        <f>+F1029</f>
        <v>0</v>
      </c>
      <c r="C1042" s="3">
        <v>0</v>
      </c>
      <c r="D1042" s="3">
        <v>0</v>
      </c>
      <c r="E1042" s="3">
        <v>0</v>
      </c>
      <c r="F1042" s="47">
        <f>+F1036</f>
        <v>0</v>
      </c>
      <c r="G1042" s="3">
        <v>0</v>
      </c>
      <c r="H1042" s="3">
        <v>0</v>
      </c>
      <c r="I1042" s="49">
        <f>+B1042/2*F1042</f>
        <v>0</v>
      </c>
      <c r="J1042" s="54">
        <f t="shared" si="181"/>
        <v>0</v>
      </c>
    </row>
    <row r="1043" spans="1:10" x14ac:dyDescent="0.3">
      <c r="A1043" t="s">
        <v>13279</v>
      </c>
      <c r="B1043" s="3">
        <f>+F1029</f>
        <v>0</v>
      </c>
      <c r="C1043" s="3">
        <v>0</v>
      </c>
      <c r="D1043" s="3">
        <v>0</v>
      </c>
      <c r="E1043" s="3">
        <v>0</v>
      </c>
      <c r="F1043" s="3">
        <v>0</v>
      </c>
      <c r="G1043" s="3">
        <v>0</v>
      </c>
      <c r="H1043" s="3">
        <v>0</v>
      </c>
      <c r="I1043" s="49">
        <f>+B1043*2</f>
        <v>0</v>
      </c>
      <c r="J1043" s="54">
        <f t="shared" si="181"/>
        <v>0</v>
      </c>
    </row>
    <row r="1044" spans="1:10" x14ac:dyDescent="0.3">
      <c r="A1044" t="s">
        <v>13282</v>
      </c>
      <c r="B1044" s="47">
        <f>+F1029</f>
        <v>0</v>
      </c>
      <c r="C1044" s="3">
        <v>0</v>
      </c>
      <c r="D1044" s="3">
        <v>0</v>
      </c>
      <c r="E1044" s="3">
        <v>0</v>
      </c>
      <c r="F1044" s="3">
        <v>0</v>
      </c>
      <c r="G1044" s="49">
        <f>+B1044*C1044</f>
        <v>0</v>
      </c>
      <c r="H1044" s="3">
        <v>0</v>
      </c>
      <c r="I1044" s="47">
        <v>0</v>
      </c>
      <c r="J1044" s="54">
        <f t="shared" si="181"/>
        <v>0</v>
      </c>
    </row>
    <row r="1045" spans="1:10" x14ac:dyDescent="0.3">
      <c r="A1045" s="51"/>
      <c r="B1045" s="52" t="s">
        <v>13328</v>
      </c>
      <c r="C1045" s="52" t="s">
        <v>13272</v>
      </c>
      <c r="D1045" s="52" t="s">
        <v>13273</v>
      </c>
      <c r="E1045" s="52" t="s">
        <v>13274</v>
      </c>
      <c r="F1045" s="52" t="s">
        <v>13275</v>
      </c>
      <c r="G1045" s="52" t="s">
        <v>13276</v>
      </c>
      <c r="H1045" s="52" t="s">
        <v>13277</v>
      </c>
      <c r="I1045" s="52" t="s">
        <v>13329</v>
      </c>
      <c r="J1045" s="56">
        <v>0</v>
      </c>
    </row>
    <row r="1046" spans="1:10" x14ac:dyDescent="0.3">
      <c r="A1046" t="s">
        <v>13330</v>
      </c>
      <c r="B1046" s="3">
        <f>+F1029</f>
        <v>0</v>
      </c>
      <c r="C1046" s="3">
        <v>0</v>
      </c>
      <c r="D1046" s="3">
        <v>1.2</v>
      </c>
      <c r="E1046" s="3">
        <v>0.7</v>
      </c>
      <c r="F1046" s="3">
        <v>0</v>
      </c>
      <c r="G1046" s="3">
        <v>0</v>
      </c>
      <c r="H1046" s="50">
        <f>+B1046*D1046*E1046</f>
        <v>0</v>
      </c>
      <c r="I1046" s="3">
        <v>0</v>
      </c>
      <c r="J1046" s="54">
        <f t="shared" ref="J1046:J1052" si="184">SUM(G1046:I1046)</f>
        <v>0</v>
      </c>
    </row>
    <row r="1047" spans="1:10" x14ac:dyDescent="0.3">
      <c r="A1047" t="s">
        <v>13310</v>
      </c>
      <c r="B1047" s="3">
        <f>+F1029</f>
        <v>0</v>
      </c>
      <c r="C1047" s="3"/>
      <c r="D1047" s="3">
        <v>0.6</v>
      </c>
      <c r="E1047" s="3">
        <v>0.6</v>
      </c>
      <c r="F1047" s="3"/>
      <c r="G1047" s="3"/>
      <c r="H1047" s="50">
        <f>+H1046-(B1047*D1047*E1047)</f>
        <v>0</v>
      </c>
      <c r="I1047" s="3"/>
      <c r="J1047" s="54">
        <f t="shared" si="184"/>
        <v>0</v>
      </c>
    </row>
    <row r="1048" spans="1:10" x14ac:dyDescent="0.3">
      <c r="A1048" t="s">
        <v>13324</v>
      </c>
      <c r="B1048" s="3">
        <v>0</v>
      </c>
      <c r="C1048" s="3">
        <v>0</v>
      </c>
      <c r="D1048" s="3">
        <v>0</v>
      </c>
      <c r="E1048" s="3">
        <v>0</v>
      </c>
      <c r="F1048" s="3">
        <v>0</v>
      </c>
      <c r="G1048" s="3">
        <v>0</v>
      </c>
      <c r="H1048" s="50">
        <f>(H1046-H1047)*1.4*5</f>
        <v>0</v>
      </c>
      <c r="I1048" s="3"/>
      <c r="J1048" s="54">
        <f t="shared" si="184"/>
        <v>0</v>
      </c>
    </row>
    <row r="1049" spans="1:10" x14ac:dyDescent="0.3">
      <c r="A1049" t="s">
        <v>13311</v>
      </c>
      <c r="B1049" s="3">
        <f>+F1029</f>
        <v>0</v>
      </c>
      <c r="C1049" s="3">
        <v>0</v>
      </c>
      <c r="D1049" s="3">
        <v>0.6</v>
      </c>
      <c r="E1049" s="3">
        <v>0.6</v>
      </c>
      <c r="F1049" s="3">
        <v>0</v>
      </c>
      <c r="G1049" s="50">
        <f>B1049*D1049*4</f>
        <v>0</v>
      </c>
      <c r="H1049" s="3">
        <v>0</v>
      </c>
      <c r="I1049" s="3">
        <v>0</v>
      </c>
      <c r="J1049" s="54">
        <f t="shared" si="184"/>
        <v>0</v>
      </c>
    </row>
    <row r="1050" spans="1:10" x14ac:dyDescent="0.3">
      <c r="A1050" t="s">
        <v>13312</v>
      </c>
      <c r="B1050" s="3">
        <f>+F1029</f>
        <v>0</v>
      </c>
      <c r="C1050" s="3">
        <v>0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50">
        <f>+B1050</f>
        <v>0</v>
      </c>
      <c r="J1050" s="54">
        <f t="shared" si="184"/>
        <v>0</v>
      </c>
    </row>
    <row r="1051" spans="1:10" x14ac:dyDescent="0.3">
      <c r="A1051" t="s">
        <v>13313</v>
      </c>
      <c r="B1051" s="3">
        <f>+F1029</f>
        <v>0</v>
      </c>
      <c r="C1051" s="3">
        <v>0</v>
      </c>
      <c r="D1051" s="3">
        <v>0.6</v>
      </c>
      <c r="E1051" s="3">
        <v>0.6</v>
      </c>
      <c r="F1051" s="3">
        <v>0</v>
      </c>
      <c r="G1051" s="3">
        <v>0</v>
      </c>
      <c r="H1051" s="50">
        <f>B1051*D1051*E1051-(B1051*3.14*0.4*0.4/4)</f>
        <v>0</v>
      </c>
      <c r="I1051" s="3">
        <v>0</v>
      </c>
      <c r="J1051" s="54">
        <f t="shared" si="184"/>
        <v>0</v>
      </c>
    </row>
    <row r="1052" spans="1:10" x14ac:dyDescent="0.3">
      <c r="A1052" t="s">
        <v>13320</v>
      </c>
      <c r="B1052" s="3">
        <f>+F1029</f>
        <v>0</v>
      </c>
      <c r="C1052" s="3">
        <v>1.2</v>
      </c>
      <c r="D1052" s="3">
        <v>0</v>
      </c>
      <c r="E1052" s="3">
        <v>0.1</v>
      </c>
      <c r="F1052" s="3">
        <v>0</v>
      </c>
      <c r="G1052" s="3">
        <v>0</v>
      </c>
      <c r="H1052" s="50">
        <f>+B1052*C1052*E1052</f>
        <v>0</v>
      </c>
      <c r="I1052" s="3"/>
      <c r="J1052" s="54">
        <f t="shared" si="184"/>
        <v>0</v>
      </c>
    </row>
    <row r="1053" spans="1:10" x14ac:dyDescent="0.3">
      <c r="A1053" s="51"/>
      <c r="B1053" s="52" t="s">
        <v>13328</v>
      </c>
      <c r="C1053" s="52" t="s">
        <v>13272</v>
      </c>
      <c r="D1053" s="52" t="s">
        <v>13273</v>
      </c>
      <c r="E1053" s="52" t="s">
        <v>13274</v>
      </c>
      <c r="F1053" s="52" t="s">
        <v>13275</v>
      </c>
      <c r="G1053" s="52" t="s">
        <v>13276</v>
      </c>
      <c r="H1053" s="52" t="s">
        <v>13277</v>
      </c>
      <c r="I1053" s="52" t="s">
        <v>13329</v>
      </c>
      <c r="J1053" s="56">
        <v>0</v>
      </c>
    </row>
    <row r="1054" spans="1:10" x14ac:dyDescent="0.3">
      <c r="A1054" t="s">
        <v>13331</v>
      </c>
      <c r="B1054" s="3">
        <f>+F1029</f>
        <v>0</v>
      </c>
      <c r="C1054" s="3">
        <v>0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f>+B1054*2</f>
        <v>0</v>
      </c>
      <c r="J1054" s="54">
        <f t="shared" ref="J1054:J1057" si="185">SUM(G1054:I1054)</f>
        <v>0</v>
      </c>
    </row>
    <row r="1055" spans="1:10" x14ac:dyDescent="0.3">
      <c r="A1055" t="s">
        <v>13332</v>
      </c>
      <c r="B1055" s="3">
        <f>+F1029</f>
        <v>0</v>
      </c>
      <c r="C1055" s="3">
        <v>0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f>+B1055*2</f>
        <v>0</v>
      </c>
      <c r="J1055" s="54">
        <f t="shared" si="185"/>
        <v>0</v>
      </c>
    </row>
    <row r="1056" spans="1:10" x14ac:dyDescent="0.3">
      <c r="A1056" t="s">
        <v>13333</v>
      </c>
      <c r="B1056" s="3">
        <v>0</v>
      </c>
      <c r="C1056" s="3">
        <v>0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54">
        <f t="shared" si="185"/>
        <v>0</v>
      </c>
    </row>
    <row r="1057" spans="1:10" x14ac:dyDescent="0.3">
      <c r="A1057" t="s">
        <v>13334</v>
      </c>
      <c r="B1057" s="3">
        <v>0</v>
      </c>
      <c r="C1057" s="3">
        <v>0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54">
        <f t="shared" si="185"/>
        <v>0</v>
      </c>
    </row>
    <row r="1058" spans="1:10" x14ac:dyDescent="0.3">
      <c r="A1058" s="51"/>
      <c r="B1058" s="52" t="s">
        <v>13328</v>
      </c>
      <c r="C1058" s="52" t="s">
        <v>13272</v>
      </c>
      <c r="D1058" s="52" t="s">
        <v>13273</v>
      </c>
      <c r="E1058" s="52" t="s">
        <v>13274</v>
      </c>
      <c r="F1058" s="52" t="s">
        <v>13275</v>
      </c>
      <c r="G1058" s="52" t="s">
        <v>13276</v>
      </c>
      <c r="H1058" s="52" t="s">
        <v>13277</v>
      </c>
      <c r="I1058" s="52" t="s">
        <v>13329</v>
      </c>
      <c r="J1058" s="56">
        <v>0</v>
      </c>
    </row>
    <row r="1059" spans="1:10" x14ac:dyDescent="0.3">
      <c r="A1059" t="s">
        <v>13330</v>
      </c>
      <c r="B1059" s="3">
        <f>+F1029</f>
        <v>0</v>
      </c>
      <c r="C1059" s="3">
        <v>0</v>
      </c>
      <c r="D1059" s="3">
        <v>3.5</v>
      </c>
      <c r="E1059" s="3">
        <v>0.15</v>
      </c>
      <c r="F1059" s="3">
        <v>0</v>
      </c>
      <c r="G1059" s="3">
        <v>0</v>
      </c>
      <c r="H1059" s="3">
        <f>+B1059*D1059*E1059*2</f>
        <v>0</v>
      </c>
      <c r="I1059" s="3">
        <v>0</v>
      </c>
      <c r="J1059" s="54">
        <f t="shared" ref="J1059:J1063" si="186">SUM(G1059:I1059)</f>
        <v>0</v>
      </c>
    </row>
    <row r="1060" spans="1:10" x14ac:dyDescent="0.3">
      <c r="A1060" t="s">
        <v>13271</v>
      </c>
      <c r="B1060" s="3">
        <f>+F1029</f>
        <v>0</v>
      </c>
      <c r="C1060" s="3">
        <v>0</v>
      </c>
      <c r="D1060" s="3">
        <v>3.5</v>
      </c>
      <c r="E1060" s="3">
        <v>0.1</v>
      </c>
      <c r="F1060" s="3">
        <v>0</v>
      </c>
      <c r="G1060" s="3">
        <v>0</v>
      </c>
      <c r="H1060" s="3">
        <f>+B1060*D1060*E1060*2</f>
        <v>0</v>
      </c>
      <c r="I1060" s="3">
        <v>0</v>
      </c>
      <c r="J1060" s="54">
        <f t="shared" si="186"/>
        <v>0</v>
      </c>
    </row>
    <row r="1061" spans="1:10" x14ac:dyDescent="0.3">
      <c r="A1061" t="s">
        <v>13324</v>
      </c>
      <c r="B1061" s="3">
        <v>0</v>
      </c>
      <c r="C1061" s="3">
        <v>0</v>
      </c>
      <c r="D1061" s="3">
        <v>0</v>
      </c>
      <c r="E1061" s="3">
        <v>0</v>
      </c>
      <c r="F1061" s="3">
        <v>0</v>
      </c>
      <c r="G1061" s="3">
        <v>0</v>
      </c>
      <c r="H1061" s="3">
        <f>+H1059-H1060</f>
        <v>0</v>
      </c>
      <c r="I1061" s="3">
        <v>0</v>
      </c>
      <c r="J1061" s="54">
        <f t="shared" si="186"/>
        <v>0</v>
      </c>
    </row>
    <row r="1062" spans="1:10" x14ac:dyDescent="0.3">
      <c r="A1062" t="s">
        <v>13335</v>
      </c>
      <c r="B1062" s="3">
        <f>+F1029</f>
        <v>0</v>
      </c>
      <c r="C1062" s="3">
        <v>0</v>
      </c>
      <c r="D1062" s="3">
        <v>3.5</v>
      </c>
      <c r="E1062" s="3">
        <v>0</v>
      </c>
      <c r="F1062" s="3">
        <v>0</v>
      </c>
      <c r="G1062" s="3">
        <f>+B1062*D1062*2</f>
        <v>0</v>
      </c>
      <c r="H1062" s="3">
        <v>0</v>
      </c>
      <c r="I1062" s="3">
        <v>0</v>
      </c>
      <c r="J1062" s="54">
        <f t="shared" si="186"/>
        <v>0</v>
      </c>
    </row>
    <row r="1063" spans="1:10" x14ac:dyDescent="0.3">
      <c r="A1063" t="s">
        <v>13336</v>
      </c>
      <c r="B1063" s="3">
        <f>+F1029</f>
        <v>0</v>
      </c>
      <c r="C1063" s="3">
        <v>0</v>
      </c>
      <c r="D1063" s="3">
        <v>3.5</v>
      </c>
      <c r="E1063" s="3">
        <v>0.15</v>
      </c>
      <c r="F1063" s="3">
        <v>0</v>
      </c>
      <c r="G1063" s="3"/>
      <c r="H1063" s="3">
        <f>+B1063*D1063*E1063</f>
        <v>0</v>
      </c>
      <c r="I1063" s="3">
        <v>0</v>
      </c>
      <c r="J1063" s="54">
        <f t="shared" si="186"/>
        <v>0</v>
      </c>
    </row>
    <row r="1064" spans="1:10" x14ac:dyDescent="0.3">
      <c r="A1064" s="51"/>
      <c r="B1064" s="52" t="s">
        <v>13328</v>
      </c>
      <c r="C1064" s="52" t="s">
        <v>13272</v>
      </c>
      <c r="D1064" s="52" t="s">
        <v>13273</v>
      </c>
      <c r="E1064" s="52" t="s">
        <v>13274</v>
      </c>
      <c r="F1064" s="52" t="s">
        <v>13275</v>
      </c>
      <c r="G1064" s="52" t="s">
        <v>13276</v>
      </c>
      <c r="H1064" s="52" t="s">
        <v>13277</v>
      </c>
      <c r="I1064" s="52" t="s">
        <v>13329</v>
      </c>
      <c r="J1064" s="56">
        <v>0</v>
      </c>
    </row>
    <row r="1065" spans="1:10" x14ac:dyDescent="0.3">
      <c r="A1065" s="3" t="s">
        <v>13337</v>
      </c>
      <c r="B1065" s="3">
        <f>+F1029</f>
        <v>0</v>
      </c>
      <c r="C1065" s="3">
        <v>0</v>
      </c>
      <c r="D1065" s="3">
        <v>0</v>
      </c>
      <c r="E1065" s="3">
        <v>0</v>
      </c>
      <c r="F1065" s="3">
        <v>0</v>
      </c>
      <c r="G1065" s="3">
        <v>0</v>
      </c>
      <c r="H1065" s="3">
        <v>0</v>
      </c>
      <c r="I1065" s="3">
        <f>+B1065*2</f>
        <v>0</v>
      </c>
      <c r="J1065" s="55">
        <f t="shared" ref="J1065" si="187">SUM(G1065:I1065)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85FC7-DEF3-4B08-9060-B17BEF026B31}">
  <dimension ref="A1:K169"/>
  <sheetViews>
    <sheetView workbookViewId="0"/>
  </sheetViews>
  <sheetFormatPr defaultRowHeight="14.4" x14ac:dyDescent="0.3"/>
  <cols>
    <col min="1" max="1" width="15.33203125" customWidth="1"/>
    <col min="6" max="6" width="10.6640625" bestFit="1" customWidth="1"/>
    <col min="7" max="7" width="9.5546875" bestFit="1" customWidth="1"/>
    <col min="8" max="8" width="13.33203125" bestFit="1" customWidth="1"/>
    <col min="9" max="9" width="11.88671875" bestFit="1" customWidth="1"/>
  </cols>
  <sheetData>
    <row r="1" spans="1:11" x14ac:dyDescent="0.3">
      <c r="A1" t="s">
        <v>13370</v>
      </c>
    </row>
    <row r="3" spans="1:11" x14ac:dyDescent="0.3">
      <c r="A3" t="s">
        <v>21</v>
      </c>
      <c r="B3" t="str">
        <f>+'Ficha EC'!A5</f>
        <v>EC2 - CS19</v>
      </c>
      <c r="D3" t="s">
        <v>13269</v>
      </c>
      <c r="E3" s="3">
        <f>+'Ficha EC'!B5</f>
        <v>8</v>
      </c>
      <c r="F3" t="s">
        <v>13270</v>
      </c>
    </row>
    <row r="4" spans="1:11" x14ac:dyDescent="0.3">
      <c r="A4" s="51"/>
      <c r="B4" s="52" t="s">
        <v>13328</v>
      </c>
      <c r="C4" s="52" t="s">
        <v>13273</v>
      </c>
      <c r="D4" s="52" t="s">
        <v>13274</v>
      </c>
      <c r="E4" s="52" t="s">
        <v>13276</v>
      </c>
      <c r="F4" s="52" t="s">
        <v>13277</v>
      </c>
      <c r="G4" s="52" t="s">
        <v>13376</v>
      </c>
      <c r="H4" s="52" t="s">
        <v>13329</v>
      </c>
      <c r="I4" s="53" t="s">
        <v>13309</v>
      </c>
    </row>
    <row r="5" spans="1:11" x14ac:dyDescent="0.3">
      <c r="A5" t="s">
        <v>13322</v>
      </c>
      <c r="B5" s="3">
        <f>+E3</f>
        <v>8</v>
      </c>
      <c r="C5" s="3">
        <f>+'Ficha EC'!C5</f>
        <v>3.2</v>
      </c>
      <c r="D5" s="3">
        <f>+'Ficha EC'!F5</f>
        <v>1.5600000000000023</v>
      </c>
      <c r="E5" s="3">
        <f>+B5*(C5+20)</f>
        <v>185.6</v>
      </c>
      <c r="F5" s="3">
        <v>0</v>
      </c>
      <c r="G5" s="3">
        <v>0</v>
      </c>
      <c r="H5" s="3">
        <v>0</v>
      </c>
      <c r="I5" s="54">
        <f>SUM(E5:H5)</f>
        <v>185.6</v>
      </c>
      <c r="K5" t="str">
        <f>+Planilha!E516</f>
        <v>Desmatamento, destocamento e limpeza de área com árvores de diâmetro até 0,15 m</v>
      </c>
    </row>
    <row r="6" spans="1:11" x14ac:dyDescent="0.3">
      <c r="A6" t="s">
        <v>13323</v>
      </c>
      <c r="B6" s="3">
        <f>+E3</f>
        <v>8</v>
      </c>
      <c r="C6" s="3">
        <f>+C5</f>
        <v>3.2</v>
      </c>
      <c r="D6" s="3">
        <f>+D5</f>
        <v>1.5600000000000023</v>
      </c>
      <c r="E6" s="3">
        <v>0</v>
      </c>
      <c r="F6" s="3">
        <f>+B6*(C6+5)*D6</f>
        <v>102.33600000000014</v>
      </c>
      <c r="G6" s="3">
        <v>0</v>
      </c>
      <c r="H6" s="3">
        <v>0</v>
      </c>
      <c r="I6" s="54">
        <f t="shared" ref="I6:I15" si="0">SUM(E6:H6)</f>
        <v>102.33600000000014</v>
      </c>
      <c r="K6" t="str">
        <f>+Planilha!E517</f>
        <v>Escavação, carga e transporte de material de 1ª categoria - DMT de 1.000 a 1.200 m - caminho de serviço em leito natural - com escavadeira e caminhão basculante de 14 m³</v>
      </c>
    </row>
    <row r="7" spans="1:11" x14ac:dyDescent="0.3">
      <c r="A7" t="s">
        <v>13271</v>
      </c>
      <c r="B7" s="3">
        <f>+E3</f>
        <v>8</v>
      </c>
      <c r="C7" s="3">
        <f>+C6</f>
        <v>3.2</v>
      </c>
      <c r="D7" s="3">
        <f>+D6</f>
        <v>1.5600000000000023</v>
      </c>
      <c r="E7" s="3">
        <v>0</v>
      </c>
      <c r="F7" s="3">
        <f>+B7*C7*D7</f>
        <v>39.936000000000064</v>
      </c>
      <c r="G7" s="3">
        <v>0</v>
      </c>
      <c r="H7" s="3">
        <v>0</v>
      </c>
      <c r="I7" s="54">
        <f t="shared" si="0"/>
        <v>39.936000000000064</v>
      </c>
      <c r="K7" t="str">
        <f>+Planilha!E518</f>
        <v>Compactação de aterros a 100% do Proctor normal</v>
      </c>
    </row>
    <row r="8" spans="1:11" x14ac:dyDescent="0.3">
      <c r="A8" t="s">
        <v>13324</v>
      </c>
      <c r="B8" s="3">
        <v>0</v>
      </c>
      <c r="C8" s="3">
        <v>0</v>
      </c>
      <c r="D8" s="3">
        <v>0</v>
      </c>
      <c r="E8" s="3">
        <v>0</v>
      </c>
      <c r="F8" s="3">
        <f>(F6-F7)*1.4*5</f>
        <v>436.80000000000052</v>
      </c>
      <c r="G8" s="3">
        <v>0</v>
      </c>
      <c r="H8" s="3">
        <v>0</v>
      </c>
      <c r="I8" s="54">
        <f t="shared" si="0"/>
        <v>436.80000000000052</v>
      </c>
      <c r="K8" t="str">
        <f>+Planilha!E519</f>
        <v>Transporte com caminhão basculante de 14 m³ - rodovia em leito natural</v>
      </c>
    </row>
    <row r="9" spans="1:11" s="60" customFormat="1" x14ac:dyDescent="0.3">
      <c r="A9" s="60" t="s">
        <v>14545</v>
      </c>
      <c r="B9" s="61">
        <f>+E3</f>
        <v>8</v>
      </c>
      <c r="C9" s="61">
        <f>+C6</f>
        <v>3.2</v>
      </c>
      <c r="D9" s="61">
        <v>0.1</v>
      </c>
      <c r="E9" s="61">
        <v>0</v>
      </c>
      <c r="F9" s="61">
        <f>B9*(3*D9+C9)*0.3</f>
        <v>8.4</v>
      </c>
      <c r="G9" s="61">
        <v>0</v>
      </c>
      <c r="H9" s="61">
        <v>0</v>
      </c>
      <c r="I9" s="195">
        <f t="shared" ref="I9" si="1">SUM(E9:H9)</f>
        <v>8.4</v>
      </c>
      <c r="K9" s="60" t="s">
        <v>3138</v>
      </c>
    </row>
    <row r="10" spans="1:11" x14ac:dyDescent="0.3">
      <c r="A10" t="s">
        <v>3042</v>
      </c>
      <c r="B10" s="3">
        <f>+E3</f>
        <v>8</v>
      </c>
      <c r="C10" s="3">
        <f>+C7</f>
        <v>3.2</v>
      </c>
      <c r="D10" s="3">
        <f>+D7</f>
        <v>1.5600000000000023</v>
      </c>
      <c r="E10" s="3">
        <v>0</v>
      </c>
      <c r="F10" s="3">
        <f>B10*(3*D10+C10)*0.3</f>
        <v>18.912000000000017</v>
      </c>
      <c r="G10" s="3">
        <v>0</v>
      </c>
      <c r="H10" s="3">
        <v>0</v>
      </c>
      <c r="I10" s="54">
        <f t="shared" si="0"/>
        <v>18.912000000000017</v>
      </c>
      <c r="K10" t="str">
        <f>+Planilha!E521</f>
        <v>Concreto para bombeamento fck = 30 MPa - confecção em central dosadora de 30 m³/h - areia e brita comerciais</v>
      </c>
    </row>
    <row r="11" spans="1:11" x14ac:dyDescent="0.3">
      <c r="A11" t="s">
        <v>13327</v>
      </c>
      <c r="B11" s="3">
        <v>0</v>
      </c>
      <c r="C11" s="3">
        <v>0</v>
      </c>
      <c r="D11" s="3">
        <v>0</v>
      </c>
      <c r="E11" s="3">
        <v>0</v>
      </c>
      <c r="F11" s="3">
        <f>+F10</f>
        <v>18.912000000000017</v>
      </c>
      <c r="G11" s="3">
        <v>0</v>
      </c>
      <c r="H11" s="3">
        <v>0</v>
      </c>
      <c r="I11" s="54">
        <f t="shared" si="0"/>
        <v>18.912000000000017</v>
      </c>
      <c r="K11" t="str">
        <f>+Planilha!E522</f>
        <v>Lançamento mecânico de concreto com bomba rebocável com capacidade de 30 m³/h - confecção em central dosadora de 30 m³/h</v>
      </c>
    </row>
    <row r="12" spans="1:11" x14ac:dyDescent="0.3">
      <c r="A12" t="s">
        <v>13372</v>
      </c>
      <c r="B12" s="3">
        <f>+E3</f>
        <v>8</v>
      </c>
      <c r="C12" s="3">
        <f>+C10</f>
        <v>3.2</v>
      </c>
      <c r="D12" s="3">
        <f>+D10</f>
        <v>1.5600000000000023</v>
      </c>
      <c r="E12" s="3">
        <f>B12*(3*D12+C12)*2</f>
        <v>126.08000000000011</v>
      </c>
      <c r="F12" s="3">
        <v>0</v>
      </c>
      <c r="G12" s="3">
        <v>0</v>
      </c>
      <c r="H12" s="3">
        <v>0</v>
      </c>
      <c r="I12" s="54">
        <f>SUM(E12:H12)</f>
        <v>126.08000000000011</v>
      </c>
      <c r="K12" t="str">
        <f>+Planilha!E523</f>
        <v>Fôrmas de compensado plastificado 12 mm - uso geral - utilização de 1 vez - confecção, instalação e retirada</v>
      </c>
    </row>
    <row r="13" spans="1:11" x14ac:dyDescent="0.3">
      <c r="A13" t="s">
        <v>13373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f>+F10*120</f>
        <v>2269.4400000000019</v>
      </c>
      <c r="H13" s="3">
        <v>0</v>
      </c>
      <c r="I13" s="54">
        <f t="shared" si="0"/>
        <v>2269.4400000000019</v>
      </c>
      <c r="K13" t="str">
        <f>+Planilha!E524</f>
        <v>Armação em aço CA-50 - fornecimento, preparo e colocação</v>
      </c>
    </row>
    <row r="14" spans="1:11" x14ac:dyDescent="0.3">
      <c r="A14" t="s">
        <v>13374</v>
      </c>
      <c r="B14" s="3">
        <v>0</v>
      </c>
      <c r="C14" s="3">
        <f>+C12</f>
        <v>3.2</v>
      </c>
      <c r="D14" s="3">
        <v>0</v>
      </c>
      <c r="E14" s="3">
        <v>0</v>
      </c>
      <c r="F14" s="3">
        <v>0</v>
      </c>
      <c r="G14" s="3">
        <v>0</v>
      </c>
      <c r="H14" s="3">
        <f>+C14*4</f>
        <v>12.8</v>
      </c>
      <c r="I14" s="54">
        <f t="shared" si="0"/>
        <v>12.8</v>
      </c>
      <c r="K14" t="str">
        <f>+Planilha!E525</f>
        <v>Guarda-corpo e corrimão metálico para passarelas para pedestres - fornecimento e instalação</v>
      </c>
    </row>
    <row r="15" spans="1:11" x14ac:dyDescent="0.3">
      <c r="A15" t="s">
        <v>13375</v>
      </c>
      <c r="B15" s="3">
        <f>+E3</f>
        <v>8</v>
      </c>
      <c r="C15" s="3">
        <v>0</v>
      </c>
      <c r="D15" s="3">
        <v>0</v>
      </c>
      <c r="E15" s="3">
        <f>+B15*2*2.2</f>
        <v>35.200000000000003</v>
      </c>
      <c r="F15" s="3">
        <v>0</v>
      </c>
      <c r="G15" s="3">
        <v>0</v>
      </c>
      <c r="H15" s="3">
        <v>0</v>
      </c>
      <c r="I15" s="54">
        <f t="shared" si="0"/>
        <v>35.200000000000003</v>
      </c>
      <c r="K15" t="str">
        <f>+Planilha!E526</f>
        <v>Alambrados</v>
      </c>
    </row>
    <row r="17" spans="1:9" x14ac:dyDescent="0.3">
      <c r="A17" t="s">
        <v>21</v>
      </c>
      <c r="B17" t="str">
        <f>+'Ficha EC'!A6</f>
        <v>EC3 - CS19</v>
      </c>
      <c r="D17" t="s">
        <v>13269</v>
      </c>
      <c r="E17" s="3">
        <f>+'Ficha EC'!B6</f>
        <v>8</v>
      </c>
      <c r="F17" t="s">
        <v>13270</v>
      </c>
    </row>
    <row r="18" spans="1:9" x14ac:dyDescent="0.3">
      <c r="A18" s="51"/>
      <c r="B18" s="52" t="s">
        <v>13328</v>
      </c>
      <c r="C18" s="52" t="s">
        <v>13273</v>
      </c>
      <c r="D18" s="52" t="s">
        <v>13274</v>
      </c>
      <c r="E18" s="52" t="s">
        <v>13276</v>
      </c>
      <c r="F18" s="52" t="s">
        <v>13277</v>
      </c>
      <c r="G18" s="52" t="s">
        <v>13376</v>
      </c>
      <c r="H18" s="52" t="s">
        <v>13329</v>
      </c>
      <c r="I18" s="53" t="s">
        <v>13309</v>
      </c>
    </row>
    <row r="19" spans="1:9" x14ac:dyDescent="0.3">
      <c r="A19" t="s">
        <v>13322</v>
      </c>
      <c r="B19" s="3">
        <f>+E17</f>
        <v>8</v>
      </c>
      <c r="C19" s="3">
        <f>+'Ficha EC'!C6</f>
        <v>2.6</v>
      </c>
      <c r="D19" s="3">
        <f>+'Ficha EC'!F6</f>
        <v>1.3899999999999864</v>
      </c>
      <c r="E19" s="3">
        <f>+B19*(C19+20)</f>
        <v>180.8</v>
      </c>
      <c r="F19" s="3">
        <v>0</v>
      </c>
      <c r="G19" s="3">
        <v>0</v>
      </c>
      <c r="H19" s="3">
        <v>0</v>
      </c>
      <c r="I19" s="54">
        <f>SUM(E19:H19)</f>
        <v>180.8</v>
      </c>
    </row>
    <row r="20" spans="1:9" x14ac:dyDescent="0.3">
      <c r="A20" t="s">
        <v>13323</v>
      </c>
      <c r="B20" s="3">
        <f>+E17</f>
        <v>8</v>
      </c>
      <c r="C20" s="3">
        <f>+C19</f>
        <v>2.6</v>
      </c>
      <c r="D20" s="3">
        <f>+D19</f>
        <v>1.3899999999999864</v>
      </c>
      <c r="E20" s="3">
        <v>0</v>
      </c>
      <c r="F20" s="3">
        <f>+B20*(C20+5)*D20</f>
        <v>84.511999999999162</v>
      </c>
      <c r="G20" s="3">
        <v>0</v>
      </c>
      <c r="H20" s="3">
        <v>0</v>
      </c>
      <c r="I20" s="54">
        <f t="shared" ref="I20:I25" si="2">SUM(E20:H20)</f>
        <v>84.511999999999162</v>
      </c>
    </row>
    <row r="21" spans="1:9" x14ac:dyDescent="0.3">
      <c r="A21" t="s">
        <v>13271</v>
      </c>
      <c r="B21" s="3">
        <f>+E17</f>
        <v>8</v>
      </c>
      <c r="C21" s="3">
        <f>+C20</f>
        <v>2.6</v>
      </c>
      <c r="D21" s="3">
        <f>+D20</f>
        <v>1.3899999999999864</v>
      </c>
      <c r="E21" s="3">
        <v>0</v>
      </c>
      <c r="F21" s="3">
        <f>+B21*C21*D21</f>
        <v>28.911999999999718</v>
      </c>
      <c r="G21" s="3">
        <v>0</v>
      </c>
      <c r="H21" s="3">
        <v>0</v>
      </c>
      <c r="I21" s="54">
        <f t="shared" si="2"/>
        <v>28.911999999999718</v>
      </c>
    </row>
    <row r="22" spans="1:9" x14ac:dyDescent="0.3">
      <c r="A22" t="s">
        <v>13324</v>
      </c>
      <c r="B22" s="3">
        <v>0</v>
      </c>
      <c r="C22" s="3">
        <v>0</v>
      </c>
      <c r="D22" s="3">
        <v>0</v>
      </c>
      <c r="E22" s="3">
        <v>0</v>
      </c>
      <c r="F22" s="3">
        <f>(F20-F21)*1.4*5</f>
        <v>389.19999999999607</v>
      </c>
      <c r="G22" s="3">
        <v>0</v>
      </c>
      <c r="H22" s="3">
        <v>0</v>
      </c>
      <c r="I22" s="54">
        <f t="shared" si="2"/>
        <v>389.19999999999607</v>
      </c>
    </row>
    <row r="23" spans="1:9" s="60" customFormat="1" x14ac:dyDescent="0.3">
      <c r="A23" s="60" t="s">
        <v>14545</v>
      </c>
      <c r="B23" s="61">
        <f>+E17</f>
        <v>8</v>
      </c>
      <c r="C23" s="61">
        <f>+C20</f>
        <v>2.6</v>
      </c>
      <c r="D23" s="61">
        <v>0.1</v>
      </c>
      <c r="E23" s="61">
        <v>0</v>
      </c>
      <c r="F23" s="61">
        <f>B23*(3*D23+C23)*0.3</f>
        <v>6.9600000000000009</v>
      </c>
      <c r="G23" s="61">
        <v>0</v>
      </c>
      <c r="H23" s="61">
        <v>0</v>
      </c>
      <c r="I23" s="195">
        <f t="shared" si="2"/>
        <v>6.9600000000000009</v>
      </c>
    </row>
    <row r="24" spans="1:9" x14ac:dyDescent="0.3">
      <c r="A24" t="s">
        <v>3042</v>
      </c>
      <c r="B24" s="3">
        <f>+E17</f>
        <v>8</v>
      </c>
      <c r="C24" s="3">
        <f>+C21</f>
        <v>2.6</v>
      </c>
      <c r="D24" s="3">
        <f>+D21</f>
        <v>1.3899999999999864</v>
      </c>
      <c r="E24" s="3">
        <v>0</v>
      </c>
      <c r="F24" s="3">
        <f>B24*(3*D24+C24)*0.3</f>
        <v>16.247999999999902</v>
      </c>
      <c r="G24" s="3">
        <v>0</v>
      </c>
      <c r="H24" s="3">
        <v>0</v>
      </c>
      <c r="I24" s="54">
        <f t="shared" si="2"/>
        <v>16.247999999999902</v>
      </c>
    </row>
    <row r="25" spans="1:9" x14ac:dyDescent="0.3">
      <c r="A25" t="s">
        <v>13327</v>
      </c>
      <c r="B25" s="3">
        <v>0</v>
      </c>
      <c r="C25" s="3">
        <v>0</v>
      </c>
      <c r="D25" s="3">
        <v>0</v>
      </c>
      <c r="E25" s="3">
        <v>0</v>
      </c>
      <c r="F25" s="3">
        <f>+F24</f>
        <v>16.247999999999902</v>
      </c>
      <c r="G25" s="3">
        <v>0</v>
      </c>
      <c r="H25" s="3">
        <v>0</v>
      </c>
      <c r="I25" s="54">
        <f t="shared" si="2"/>
        <v>16.247999999999902</v>
      </c>
    </row>
    <row r="26" spans="1:9" x14ac:dyDescent="0.3">
      <c r="A26" t="s">
        <v>13372</v>
      </c>
      <c r="B26" s="3">
        <f>+E17</f>
        <v>8</v>
      </c>
      <c r="C26" s="3">
        <f>+C24</f>
        <v>2.6</v>
      </c>
      <c r="D26" s="3">
        <f>+D24</f>
        <v>1.3899999999999864</v>
      </c>
      <c r="E26" s="3">
        <f>B26*(3*D26+C26)*2</f>
        <v>108.31999999999934</v>
      </c>
      <c r="F26" s="3">
        <v>0</v>
      </c>
      <c r="G26" s="3">
        <v>0</v>
      </c>
      <c r="H26" s="3">
        <v>0</v>
      </c>
      <c r="I26" s="54">
        <f>SUM(E26:H26)</f>
        <v>108.31999999999934</v>
      </c>
    </row>
    <row r="27" spans="1:9" x14ac:dyDescent="0.3">
      <c r="A27" t="s">
        <v>13373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f>+F24*120</f>
        <v>1949.7599999999882</v>
      </c>
      <c r="H27" s="3">
        <v>0</v>
      </c>
      <c r="I27" s="54">
        <f t="shared" ref="I27:I29" si="3">SUM(E27:H27)</f>
        <v>1949.7599999999882</v>
      </c>
    </row>
    <row r="28" spans="1:9" x14ac:dyDescent="0.3">
      <c r="A28" t="s">
        <v>13374</v>
      </c>
      <c r="B28" s="3">
        <v>0</v>
      </c>
      <c r="C28" s="3">
        <f>+C26</f>
        <v>2.6</v>
      </c>
      <c r="D28" s="3">
        <v>0</v>
      </c>
      <c r="E28" s="3">
        <v>0</v>
      </c>
      <c r="F28" s="3">
        <v>0</v>
      </c>
      <c r="G28" s="3">
        <v>0</v>
      </c>
      <c r="H28" s="3">
        <f>+C28*4</f>
        <v>10.4</v>
      </c>
      <c r="I28" s="54">
        <f t="shared" si="3"/>
        <v>10.4</v>
      </c>
    </row>
    <row r="29" spans="1:9" x14ac:dyDescent="0.3">
      <c r="A29" t="s">
        <v>13375</v>
      </c>
      <c r="B29" s="3">
        <f>+E17</f>
        <v>8</v>
      </c>
      <c r="C29" s="3">
        <v>0</v>
      </c>
      <c r="D29" s="3">
        <v>0</v>
      </c>
      <c r="E29" s="3">
        <f>+B29*2*2.2</f>
        <v>35.200000000000003</v>
      </c>
      <c r="F29" s="3">
        <v>0</v>
      </c>
      <c r="G29" s="3">
        <v>0</v>
      </c>
      <c r="H29" s="3">
        <v>0</v>
      </c>
      <c r="I29" s="54">
        <f t="shared" si="3"/>
        <v>35.200000000000003</v>
      </c>
    </row>
    <row r="31" spans="1:9" x14ac:dyDescent="0.3">
      <c r="A31" t="s">
        <v>21</v>
      </c>
      <c r="B31" t="str">
        <f>+'Ficha EC'!A7</f>
        <v>EC4 - CS19</v>
      </c>
      <c r="D31" t="s">
        <v>13269</v>
      </c>
      <c r="E31" s="3">
        <f>+'Ficha EC'!B7</f>
        <v>8</v>
      </c>
      <c r="F31" t="s">
        <v>13270</v>
      </c>
    </row>
    <row r="32" spans="1:9" x14ac:dyDescent="0.3">
      <c r="A32" s="51"/>
      <c r="B32" s="52" t="s">
        <v>13328</v>
      </c>
      <c r="C32" s="52" t="s">
        <v>13273</v>
      </c>
      <c r="D32" s="52" t="s">
        <v>13274</v>
      </c>
      <c r="E32" s="52" t="s">
        <v>13276</v>
      </c>
      <c r="F32" s="52" t="s">
        <v>13277</v>
      </c>
      <c r="G32" s="52" t="s">
        <v>13376</v>
      </c>
      <c r="H32" s="52" t="s">
        <v>13329</v>
      </c>
      <c r="I32" s="53" t="s">
        <v>13309</v>
      </c>
    </row>
    <row r="33" spans="1:9" x14ac:dyDescent="0.3">
      <c r="A33" t="s">
        <v>13322</v>
      </c>
      <c r="B33" s="3">
        <f>+E31</f>
        <v>8</v>
      </c>
      <c r="C33" s="3">
        <f>+'Ficha EC'!C7</f>
        <v>2.6</v>
      </c>
      <c r="D33" s="3">
        <f>+'Ficha EC'!F7</f>
        <v>1.3899999999999864</v>
      </c>
      <c r="E33" s="3">
        <f>+B33*(C33+20)</f>
        <v>180.8</v>
      </c>
      <c r="F33" s="3">
        <v>0</v>
      </c>
      <c r="G33" s="3">
        <v>0</v>
      </c>
      <c r="H33" s="3">
        <v>0</v>
      </c>
      <c r="I33" s="54">
        <f>SUM(E33:H33)</f>
        <v>180.8</v>
      </c>
    </row>
    <row r="34" spans="1:9" x14ac:dyDescent="0.3">
      <c r="A34" t="s">
        <v>13323</v>
      </c>
      <c r="B34" s="3">
        <f>+E31</f>
        <v>8</v>
      </c>
      <c r="C34" s="3">
        <f>+C33</f>
        <v>2.6</v>
      </c>
      <c r="D34" s="3">
        <f>+D33</f>
        <v>1.3899999999999864</v>
      </c>
      <c r="E34" s="3">
        <v>0</v>
      </c>
      <c r="F34" s="3">
        <f>+B34*(C34+5)*D34</f>
        <v>84.511999999999162</v>
      </c>
      <c r="G34" s="3">
        <v>0</v>
      </c>
      <c r="H34" s="3">
        <v>0</v>
      </c>
      <c r="I34" s="54">
        <f t="shared" ref="I34:I39" si="4">SUM(E34:H34)</f>
        <v>84.511999999999162</v>
      </c>
    </row>
    <row r="35" spans="1:9" x14ac:dyDescent="0.3">
      <c r="A35" t="s">
        <v>13271</v>
      </c>
      <c r="B35" s="3">
        <f>+E31</f>
        <v>8</v>
      </c>
      <c r="C35" s="3">
        <f>+C34</f>
        <v>2.6</v>
      </c>
      <c r="D35" s="3">
        <f>+D34</f>
        <v>1.3899999999999864</v>
      </c>
      <c r="E35" s="3">
        <v>0</v>
      </c>
      <c r="F35" s="3">
        <f>+B35*C35*D35</f>
        <v>28.911999999999718</v>
      </c>
      <c r="G35" s="3">
        <v>0</v>
      </c>
      <c r="H35" s="3">
        <v>0</v>
      </c>
      <c r="I35" s="54">
        <f t="shared" si="4"/>
        <v>28.911999999999718</v>
      </c>
    </row>
    <row r="36" spans="1:9" x14ac:dyDescent="0.3">
      <c r="A36" t="s">
        <v>13324</v>
      </c>
      <c r="B36" s="3">
        <v>0</v>
      </c>
      <c r="C36" s="3">
        <v>0</v>
      </c>
      <c r="D36" s="3">
        <v>0</v>
      </c>
      <c r="E36" s="3">
        <v>0</v>
      </c>
      <c r="F36" s="3">
        <f>(F34-F35)*1.4*5</f>
        <v>389.19999999999607</v>
      </c>
      <c r="G36" s="3">
        <v>0</v>
      </c>
      <c r="H36" s="3">
        <v>0</v>
      </c>
      <c r="I36" s="54">
        <f t="shared" si="4"/>
        <v>389.19999999999607</v>
      </c>
    </row>
    <row r="37" spans="1:9" s="60" customFormat="1" x14ac:dyDescent="0.3">
      <c r="A37" s="60" t="s">
        <v>14545</v>
      </c>
      <c r="B37" s="61">
        <f>+E31</f>
        <v>8</v>
      </c>
      <c r="C37" s="61">
        <f>+C34</f>
        <v>2.6</v>
      </c>
      <c r="D37" s="61">
        <v>0.1</v>
      </c>
      <c r="E37" s="61">
        <v>0</v>
      </c>
      <c r="F37" s="61">
        <f>B37*(3*D37+C37)*0.3</f>
        <v>6.9600000000000009</v>
      </c>
      <c r="G37" s="61">
        <v>0</v>
      </c>
      <c r="H37" s="61">
        <v>0</v>
      </c>
      <c r="I37" s="195">
        <f t="shared" si="4"/>
        <v>6.9600000000000009</v>
      </c>
    </row>
    <row r="38" spans="1:9" x14ac:dyDescent="0.3">
      <c r="A38" t="s">
        <v>3042</v>
      </c>
      <c r="B38" s="3">
        <f>+E31</f>
        <v>8</v>
      </c>
      <c r="C38" s="3">
        <f>+C35</f>
        <v>2.6</v>
      </c>
      <c r="D38" s="3">
        <f>+D35</f>
        <v>1.3899999999999864</v>
      </c>
      <c r="E38" s="3">
        <v>0</v>
      </c>
      <c r="F38" s="3">
        <f>B38*(3*D38+C38)*0.3</f>
        <v>16.247999999999902</v>
      </c>
      <c r="G38" s="3">
        <v>0</v>
      </c>
      <c r="H38" s="3">
        <v>0</v>
      </c>
      <c r="I38" s="54">
        <f t="shared" si="4"/>
        <v>16.247999999999902</v>
      </c>
    </row>
    <row r="39" spans="1:9" x14ac:dyDescent="0.3">
      <c r="A39" t="s">
        <v>13327</v>
      </c>
      <c r="B39" s="3">
        <v>0</v>
      </c>
      <c r="C39" s="3">
        <v>0</v>
      </c>
      <c r="D39" s="3">
        <v>0</v>
      </c>
      <c r="E39" s="3">
        <v>0</v>
      </c>
      <c r="F39" s="3">
        <f>+F38</f>
        <v>16.247999999999902</v>
      </c>
      <c r="G39" s="3">
        <v>0</v>
      </c>
      <c r="H39" s="3">
        <v>0</v>
      </c>
      <c r="I39" s="54">
        <f t="shared" si="4"/>
        <v>16.247999999999902</v>
      </c>
    </row>
    <row r="40" spans="1:9" x14ac:dyDescent="0.3">
      <c r="A40" t="s">
        <v>13372</v>
      </c>
      <c r="B40" s="3">
        <f>+E31</f>
        <v>8</v>
      </c>
      <c r="C40" s="3">
        <f>+C38</f>
        <v>2.6</v>
      </c>
      <c r="D40" s="3">
        <f>+D38</f>
        <v>1.3899999999999864</v>
      </c>
      <c r="E40" s="3">
        <f>B40*(3*D40+C40)*2</f>
        <v>108.31999999999934</v>
      </c>
      <c r="F40" s="3">
        <v>0</v>
      </c>
      <c r="G40" s="3">
        <v>0</v>
      </c>
      <c r="H40" s="3">
        <v>0</v>
      </c>
      <c r="I40" s="54">
        <f>SUM(E40:H40)</f>
        <v>108.31999999999934</v>
      </c>
    </row>
    <row r="41" spans="1:9" x14ac:dyDescent="0.3">
      <c r="A41" t="s">
        <v>13373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f>+F38*120</f>
        <v>1949.7599999999882</v>
      </c>
      <c r="H41" s="3">
        <v>0</v>
      </c>
      <c r="I41" s="54">
        <f t="shared" ref="I41:I43" si="5">SUM(E41:H41)</f>
        <v>1949.7599999999882</v>
      </c>
    </row>
    <row r="42" spans="1:9" x14ac:dyDescent="0.3">
      <c r="A42" t="s">
        <v>13374</v>
      </c>
      <c r="B42" s="3">
        <v>0</v>
      </c>
      <c r="C42" s="3">
        <f>+C40</f>
        <v>2.6</v>
      </c>
      <c r="D42" s="3">
        <v>0</v>
      </c>
      <c r="E42" s="3">
        <v>0</v>
      </c>
      <c r="F42" s="3">
        <v>0</v>
      </c>
      <c r="G42" s="3">
        <v>0</v>
      </c>
      <c r="H42" s="3">
        <f>+C42*4</f>
        <v>10.4</v>
      </c>
      <c r="I42" s="54">
        <f t="shared" si="5"/>
        <v>10.4</v>
      </c>
    </row>
    <row r="43" spans="1:9" x14ac:dyDescent="0.3">
      <c r="A43" t="s">
        <v>13375</v>
      </c>
      <c r="B43" s="3">
        <f>+E31</f>
        <v>8</v>
      </c>
      <c r="C43" s="3">
        <v>0</v>
      </c>
      <c r="D43" s="3">
        <v>0</v>
      </c>
      <c r="E43" s="3">
        <f>+B43*2*2.2</f>
        <v>35.200000000000003</v>
      </c>
      <c r="F43" s="3">
        <v>0</v>
      </c>
      <c r="G43" s="3">
        <v>0</v>
      </c>
      <c r="H43" s="3">
        <v>0</v>
      </c>
      <c r="I43" s="54">
        <f t="shared" si="5"/>
        <v>35.200000000000003</v>
      </c>
    </row>
    <row r="45" spans="1:9" x14ac:dyDescent="0.3">
      <c r="A45" t="s">
        <v>21</v>
      </c>
      <c r="B45" t="str">
        <f>+'Ficha EC'!A8</f>
        <v>EC5 - CS19</v>
      </c>
      <c r="D45" t="s">
        <v>13269</v>
      </c>
      <c r="E45" s="3">
        <f>+'Ficha EC'!B8</f>
        <v>8</v>
      </c>
      <c r="F45" t="s">
        <v>13270</v>
      </c>
    </row>
    <row r="46" spans="1:9" x14ac:dyDescent="0.3">
      <c r="A46" s="51"/>
      <c r="B46" s="52" t="s">
        <v>13328</v>
      </c>
      <c r="C46" s="52" t="s">
        <v>13273</v>
      </c>
      <c r="D46" s="52" t="s">
        <v>13274</v>
      </c>
      <c r="E46" s="52" t="s">
        <v>13276</v>
      </c>
      <c r="F46" s="52" t="s">
        <v>13277</v>
      </c>
      <c r="G46" s="52" t="s">
        <v>13376</v>
      </c>
      <c r="H46" s="52" t="s">
        <v>13329</v>
      </c>
      <c r="I46" s="53" t="s">
        <v>13309</v>
      </c>
    </row>
    <row r="47" spans="1:9" x14ac:dyDescent="0.3">
      <c r="A47" t="s">
        <v>13322</v>
      </c>
      <c r="B47" s="3">
        <f>+E45</f>
        <v>8</v>
      </c>
      <c r="C47" s="3">
        <f>+'Ficha EC'!C8</f>
        <v>1.3</v>
      </c>
      <c r="D47" s="3">
        <f>+'Ficha EC'!F8</f>
        <v>1.1899999999999977</v>
      </c>
      <c r="E47" s="3">
        <f>+B47*(C47+20)</f>
        <v>170.4</v>
      </c>
      <c r="F47" s="3">
        <v>0</v>
      </c>
      <c r="G47" s="3">
        <v>0</v>
      </c>
      <c r="H47" s="3">
        <v>0</v>
      </c>
      <c r="I47" s="54">
        <f>SUM(E47:H47)</f>
        <v>170.4</v>
      </c>
    </row>
    <row r="48" spans="1:9" x14ac:dyDescent="0.3">
      <c r="A48" t="s">
        <v>13323</v>
      </c>
      <c r="B48" s="3">
        <f>+E45</f>
        <v>8</v>
      </c>
      <c r="C48" s="3">
        <f>+C47</f>
        <v>1.3</v>
      </c>
      <c r="D48" s="3">
        <f>+D47</f>
        <v>1.1899999999999977</v>
      </c>
      <c r="E48" s="3">
        <v>0</v>
      </c>
      <c r="F48" s="3">
        <f>+B48*(C48+5)*D48</f>
        <v>59.975999999999885</v>
      </c>
      <c r="G48" s="3">
        <v>0</v>
      </c>
      <c r="H48" s="3">
        <v>0</v>
      </c>
      <c r="I48" s="54">
        <f t="shared" ref="I48:I53" si="6">SUM(E48:H48)</f>
        <v>59.975999999999885</v>
      </c>
    </row>
    <row r="49" spans="1:9" x14ac:dyDescent="0.3">
      <c r="A49" t="s">
        <v>13271</v>
      </c>
      <c r="B49" s="3">
        <f>+E45</f>
        <v>8</v>
      </c>
      <c r="C49" s="3">
        <f>+C48</f>
        <v>1.3</v>
      </c>
      <c r="D49" s="3">
        <f>+D48</f>
        <v>1.1899999999999977</v>
      </c>
      <c r="E49" s="3">
        <v>0</v>
      </c>
      <c r="F49" s="3">
        <f>+B49*C49*D49</f>
        <v>12.375999999999976</v>
      </c>
      <c r="G49" s="3">
        <v>0</v>
      </c>
      <c r="H49" s="3">
        <v>0</v>
      </c>
      <c r="I49" s="54">
        <f t="shared" si="6"/>
        <v>12.375999999999976</v>
      </c>
    </row>
    <row r="50" spans="1:9" x14ac:dyDescent="0.3">
      <c r="A50" t="s">
        <v>13324</v>
      </c>
      <c r="B50" s="3">
        <v>0</v>
      </c>
      <c r="C50" s="3">
        <v>0</v>
      </c>
      <c r="D50" s="3">
        <v>0</v>
      </c>
      <c r="E50" s="3">
        <v>0</v>
      </c>
      <c r="F50" s="3">
        <f>(F48-F49)*1.4*5</f>
        <v>333.19999999999936</v>
      </c>
      <c r="G50" s="3">
        <v>0</v>
      </c>
      <c r="H50" s="3">
        <v>0</v>
      </c>
      <c r="I50" s="54">
        <f t="shared" si="6"/>
        <v>333.19999999999936</v>
      </c>
    </row>
    <row r="51" spans="1:9" s="60" customFormat="1" x14ac:dyDescent="0.3">
      <c r="A51" s="60" t="s">
        <v>14545</v>
      </c>
      <c r="B51" s="61">
        <f>+E45</f>
        <v>8</v>
      </c>
      <c r="C51" s="61">
        <f>+C48</f>
        <v>1.3</v>
      </c>
      <c r="D51" s="61">
        <v>0.1</v>
      </c>
      <c r="E51" s="61">
        <v>0</v>
      </c>
      <c r="F51" s="61">
        <f>B51*(3*D51+C51)*0.3</f>
        <v>3.84</v>
      </c>
      <c r="G51" s="61">
        <v>0</v>
      </c>
      <c r="H51" s="61">
        <v>0</v>
      </c>
      <c r="I51" s="195">
        <f t="shared" si="6"/>
        <v>3.84</v>
      </c>
    </row>
    <row r="52" spans="1:9" x14ac:dyDescent="0.3">
      <c r="A52" t="s">
        <v>3042</v>
      </c>
      <c r="B52" s="3">
        <f>+E45</f>
        <v>8</v>
      </c>
      <c r="C52" s="3">
        <f>+C49</f>
        <v>1.3</v>
      </c>
      <c r="D52" s="3">
        <f>+D49</f>
        <v>1.1899999999999977</v>
      </c>
      <c r="E52" s="3">
        <v>0</v>
      </c>
      <c r="F52" s="3">
        <f>B52*(3*D52+C52)*0.3</f>
        <v>11.687999999999983</v>
      </c>
      <c r="G52" s="3">
        <v>0</v>
      </c>
      <c r="H52" s="3">
        <v>0</v>
      </c>
      <c r="I52" s="54">
        <f t="shared" si="6"/>
        <v>11.687999999999983</v>
      </c>
    </row>
    <row r="53" spans="1:9" x14ac:dyDescent="0.3">
      <c r="A53" t="s">
        <v>13327</v>
      </c>
      <c r="B53" s="3">
        <v>0</v>
      </c>
      <c r="C53" s="3">
        <v>0</v>
      </c>
      <c r="D53" s="3">
        <v>0</v>
      </c>
      <c r="E53" s="3">
        <v>0</v>
      </c>
      <c r="F53" s="3">
        <f>+F52</f>
        <v>11.687999999999983</v>
      </c>
      <c r="G53" s="3">
        <v>0</v>
      </c>
      <c r="H53" s="3">
        <v>0</v>
      </c>
      <c r="I53" s="54">
        <f t="shared" si="6"/>
        <v>11.687999999999983</v>
      </c>
    </row>
    <row r="54" spans="1:9" x14ac:dyDescent="0.3">
      <c r="A54" t="s">
        <v>13372</v>
      </c>
      <c r="B54" s="3">
        <f>+E45</f>
        <v>8</v>
      </c>
      <c r="C54" s="3">
        <f>+C52</f>
        <v>1.3</v>
      </c>
      <c r="D54" s="3">
        <f>+D52</f>
        <v>1.1899999999999977</v>
      </c>
      <c r="E54" s="3">
        <f>B54*(3*D54+C54)*2</f>
        <v>77.919999999999888</v>
      </c>
      <c r="F54" s="3">
        <v>0</v>
      </c>
      <c r="G54" s="3">
        <v>0</v>
      </c>
      <c r="H54" s="3">
        <v>0</v>
      </c>
      <c r="I54" s="54">
        <f>SUM(E54:H54)</f>
        <v>77.919999999999888</v>
      </c>
    </row>
    <row r="55" spans="1:9" x14ac:dyDescent="0.3">
      <c r="A55" t="s">
        <v>13373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f>+F52*120</f>
        <v>1402.5599999999979</v>
      </c>
      <c r="H55" s="3">
        <v>0</v>
      </c>
      <c r="I55" s="54">
        <f t="shared" ref="I55:I57" si="7">SUM(E55:H55)</f>
        <v>1402.5599999999979</v>
      </c>
    </row>
    <row r="56" spans="1:9" x14ac:dyDescent="0.3">
      <c r="A56" t="s">
        <v>13374</v>
      </c>
      <c r="B56" s="3">
        <v>0</v>
      </c>
      <c r="C56" s="3">
        <f>+C54</f>
        <v>1.3</v>
      </c>
      <c r="D56" s="3">
        <v>0</v>
      </c>
      <c r="E56" s="3">
        <v>0</v>
      </c>
      <c r="F56" s="3">
        <v>0</v>
      </c>
      <c r="G56" s="3">
        <v>0</v>
      </c>
      <c r="H56" s="3">
        <f>+C56*4</f>
        <v>5.2</v>
      </c>
      <c r="I56" s="54">
        <f t="shared" si="7"/>
        <v>5.2</v>
      </c>
    </row>
    <row r="57" spans="1:9" x14ac:dyDescent="0.3">
      <c r="A57" t="s">
        <v>13375</v>
      </c>
      <c r="B57" s="3">
        <f>+E45</f>
        <v>8</v>
      </c>
      <c r="C57" s="3">
        <v>0</v>
      </c>
      <c r="D57" s="3">
        <v>0</v>
      </c>
      <c r="E57" s="3">
        <f>+B57*2*2.2</f>
        <v>35.200000000000003</v>
      </c>
      <c r="F57" s="3">
        <v>0</v>
      </c>
      <c r="G57" s="3">
        <v>0</v>
      </c>
      <c r="H57" s="3">
        <v>0</v>
      </c>
      <c r="I57" s="54">
        <f t="shared" si="7"/>
        <v>35.200000000000003</v>
      </c>
    </row>
    <row r="59" spans="1:9" x14ac:dyDescent="0.3">
      <c r="A59" t="s">
        <v>21</v>
      </c>
      <c r="B59" t="str">
        <f>+'Ficha EC'!A9</f>
        <v>EC6 - CT1-S19</v>
      </c>
      <c r="D59" t="s">
        <v>13269</v>
      </c>
      <c r="E59" s="3">
        <v>0</v>
      </c>
      <c r="F59" t="s">
        <v>13270</v>
      </c>
    </row>
    <row r="60" spans="1:9" x14ac:dyDescent="0.3">
      <c r="A60" s="51"/>
      <c r="B60" s="52" t="s">
        <v>13328</v>
      </c>
      <c r="C60" s="52" t="s">
        <v>13273</v>
      </c>
      <c r="D60" s="52" t="s">
        <v>13274</v>
      </c>
      <c r="E60" s="52" t="s">
        <v>13276</v>
      </c>
      <c r="F60" s="52" t="s">
        <v>13277</v>
      </c>
      <c r="G60" s="52" t="s">
        <v>13376</v>
      </c>
      <c r="H60" s="52" t="s">
        <v>13329</v>
      </c>
      <c r="I60" s="53" t="s">
        <v>13309</v>
      </c>
    </row>
    <row r="61" spans="1:9" x14ac:dyDescent="0.3">
      <c r="A61" t="s">
        <v>13322</v>
      </c>
      <c r="B61" s="3">
        <f>+E59</f>
        <v>0</v>
      </c>
      <c r="C61" s="3">
        <f>+'Ficha EC'!C9</f>
        <v>0</v>
      </c>
      <c r="D61" s="3">
        <f>+'Ficha EC'!F9</f>
        <v>0</v>
      </c>
      <c r="E61" s="3">
        <f>+B61*(C61+20)</f>
        <v>0</v>
      </c>
      <c r="F61" s="3">
        <v>0</v>
      </c>
      <c r="G61" s="3">
        <v>0</v>
      </c>
      <c r="H61" s="3">
        <v>0</v>
      </c>
      <c r="I61" s="54">
        <f>SUM(E61:H61)</f>
        <v>0</v>
      </c>
    </row>
    <row r="62" spans="1:9" x14ac:dyDescent="0.3">
      <c r="A62" t="s">
        <v>13323</v>
      </c>
      <c r="B62" s="3">
        <f>+E59</f>
        <v>0</v>
      </c>
      <c r="C62" s="3">
        <f>+C61</f>
        <v>0</v>
      </c>
      <c r="D62" s="3">
        <f>+D61</f>
        <v>0</v>
      </c>
      <c r="E62" s="3">
        <v>0</v>
      </c>
      <c r="F62" s="3">
        <f>+B62*(C62+5)*D62</f>
        <v>0</v>
      </c>
      <c r="G62" s="3">
        <v>0</v>
      </c>
      <c r="H62" s="3">
        <v>0</v>
      </c>
      <c r="I62" s="54">
        <f t="shared" ref="I62:I67" si="8">SUM(E62:H62)</f>
        <v>0</v>
      </c>
    </row>
    <row r="63" spans="1:9" x14ac:dyDescent="0.3">
      <c r="A63" t="s">
        <v>13271</v>
      </c>
      <c r="B63" s="3">
        <f>+E59</f>
        <v>0</v>
      </c>
      <c r="C63" s="3">
        <f>+C62</f>
        <v>0</v>
      </c>
      <c r="D63" s="3">
        <f>+D62</f>
        <v>0</v>
      </c>
      <c r="E63" s="3">
        <v>0</v>
      </c>
      <c r="F63" s="3">
        <f>+B63*C63*D63</f>
        <v>0</v>
      </c>
      <c r="G63" s="3">
        <v>0</v>
      </c>
      <c r="H63" s="3">
        <v>0</v>
      </c>
      <c r="I63" s="54">
        <f t="shared" si="8"/>
        <v>0</v>
      </c>
    </row>
    <row r="64" spans="1:9" x14ac:dyDescent="0.3">
      <c r="A64" t="s">
        <v>13324</v>
      </c>
      <c r="B64" s="3">
        <v>0</v>
      </c>
      <c r="C64" s="3">
        <v>0</v>
      </c>
      <c r="D64" s="3">
        <v>0</v>
      </c>
      <c r="E64" s="3">
        <v>0</v>
      </c>
      <c r="F64" s="3">
        <f>(F62-F63)*1.4*5</f>
        <v>0</v>
      </c>
      <c r="G64" s="3">
        <v>0</v>
      </c>
      <c r="H64" s="3">
        <v>0</v>
      </c>
      <c r="I64" s="54">
        <f t="shared" si="8"/>
        <v>0</v>
      </c>
    </row>
    <row r="65" spans="1:9" s="60" customFormat="1" x14ac:dyDescent="0.3">
      <c r="A65" s="60" t="s">
        <v>14545</v>
      </c>
      <c r="B65" s="61">
        <f>+E59</f>
        <v>0</v>
      </c>
      <c r="C65" s="61">
        <f>+C62</f>
        <v>0</v>
      </c>
      <c r="D65" s="61">
        <v>0</v>
      </c>
      <c r="E65" s="61">
        <v>0</v>
      </c>
      <c r="F65" s="61">
        <f>B65*(3*D65+C65)*0.3</f>
        <v>0</v>
      </c>
      <c r="G65" s="61">
        <v>0</v>
      </c>
      <c r="H65" s="61">
        <v>0</v>
      </c>
      <c r="I65" s="195">
        <f t="shared" si="8"/>
        <v>0</v>
      </c>
    </row>
    <row r="66" spans="1:9" x14ac:dyDescent="0.3">
      <c r="A66" t="s">
        <v>3042</v>
      </c>
      <c r="B66" s="3">
        <f>+E59</f>
        <v>0</v>
      </c>
      <c r="C66" s="3">
        <f>+C63</f>
        <v>0</v>
      </c>
      <c r="D66" s="3">
        <f>+D63</f>
        <v>0</v>
      </c>
      <c r="E66" s="3">
        <v>0</v>
      </c>
      <c r="F66" s="3">
        <f>B66*(3*D66+C66)*0.3</f>
        <v>0</v>
      </c>
      <c r="G66" s="3">
        <v>0</v>
      </c>
      <c r="H66" s="3">
        <v>0</v>
      </c>
      <c r="I66" s="54">
        <f t="shared" si="8"/>
        <v>0</v>
      </c>
    </row>
    <row r="67" spans="1:9" x14ac:dyDescent="0.3">
      <c r="A67" t="s">
        <v>13327</v>
      </c>
      <c r="B67" s="3">
        <v>0</v>
      </c>
      <c r="C67" s="3">
        <v>0</v>
      </c>
      <c r="D67" s="3">
        <v>0</v>
      </c>
      <c r="E67" s="3">
        <v>0</v>
      </c>
      <c r="F67" s="3">
        <f>+F66</f>
        <v>0</v>
      </c>
      <c r="G67" s="3">
        <v>0</v>
      </c>
      <c r="H67" s="3">
        <v>0</v>
      </c>
      <c r="I67" s="54">
        <f t="shared" si="8"/>
        <v>0</v>
      </c>
    </row>
    <row r="68" spans="1:9" x14ac:dyDescent="0.3">
      <c r="A68" t="s">
        <v>13372</v>
      </c>
      <c r="B68" s="3">
        <f>+E59</f>
        <v>0</v>
      </c>
      <c r="C68" s="3">
        <f>+C66</f>
        <v>0</v>
      </c>
      <c r="D68" s="3">
        <f>+D66</f>
        <v>0</v>
      </c>
      <c r="E68" s="3">
        <f>B68*(3*D68+C68)*2</f>
        <v>0</v>
      </c>
      <c r="F68" s="3">
        <v>0</v>
      </c>
      <c r="G68" s="3">
        <v>0</v>
      </c>
      <c r="H68" s="3">
        <v>0</v>
      </c>
      <c r="I68" s="54">
        <f>SUM(E68:H68)</f>
        <v>0</v>
      </c>
    </row>
    <row r="69" spans="1:9" x14ac:dyDescent="0.3">
      <c r="A69" t="s">
        <v>13373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f>+F66*120</f>
        <v>0</v>
      </c>
      <c r="H69" s="3">
        <v>0</v>
      </c>
      <c r="I69" s="54">
        <f t="shared" ref="I69:I71" si="9">SUM(E69:H69)</f>
        <v>0</v>
      </c>
    </row>
    <row r="70" spans="1:9" x14ac:dyDescent="0.3">
      <c r="A70" t="s">
        <v>13374</v>
      </c>
      <c r="B70" s="3">
        <v>0</v>
      </c>
      <c r="C70" s="3">
        <f>+C68</f>
        <v>0</v>
      </c>
      <c r="D70" s="3">
        <v>0</v>
      </c>
      <c r="E70" s="3">
        <v>0</v>
      </c>
      <c r="F70" s="3">
        <v>0</v>
      </c>
      <c r="G70" s="3">
        <v>0</v>
      </c>
      <c r="H70" s="3">
        <f>+C70*4</f>
        <v>0</v>
      </c>
      <c r="I70" s="54">
        <f t="shared" si="9"/>
        <v>0</v>
      </c>
    </row>
    <row r="71" spans="1:9" x14ac:dyDescent="0.3">
      <c r="A71" t="s">
        <v>13375</v>
      </c>
      <c r="B71" s="3">
        <f>+E59</f>
        <v>0</v>
      </c>
      <c r="C71" s="3">
        <v>0</v>
      </c>
      <c r="D71" s="3">
        <v>0</v>
      </c>
      <c r="E71" s="3">
        <f>+B71*2*2.2</f>
        <v>0</v>
      </c>
      <c r="F71" s="3">
        <v>0</v>
      </c>
      <c r="G71" s="3">
        <v>0</v>
      </c>
      <c r="H71" s="3">
        <v>0</v>
      </c>
      <c r="I71" s="54">
        <f t="shared" si="9"/>
        <v>0</v>
      </c>
    </row>
    <row r="73" spans="1:9" x14ac:dyDescent="0.3">
      <c r="A73" t="s">
        <v>21</v>
      </c>
      <c r="B73" t="str">
        <f>+'Ficha EC'!A10</f>
        <v>EC2 - CS21a</v>
      </c>
      <c r="D73" t="s">
        <v>13269</v>
      </c>
      <c r="E73" s="3">
        <f>+'Ficha EC'!B10</f>
        <v>8</v>
      </c>
      <c r="F73" t="s">
        <v>13270</v>
      </c>
    </row>
    <row r="74" spans="1:9" x14ac:dyDescent="0.3">
      <c r="A74" s="51"/>
      <c r="B74" s="52" t="s">
        <v>13328</v>
      </c>
      <c r="C74" s="52" t="s">
        <v>13273</v>
      </c>
      <c r="D74" s="52" t="s">
        <v>13274</v>
      </c>
      <c r="E74" s="52" t="s">
        <v>13276</v>
      </c>
      <c r="F74" s="52" t="s">
        <v>13277</v>
      </c>
      <c r="G74" s="52" t="s">
        <v>13376</v>
      </c>
      <c r="H74" s="52" t="s">
        <v>13329</v>
      </c>
      <c r="I74" s="53" t="s">
        <v>13309</v>
      </c>
    </row>
    <row r="75" spans="1:9" x14ac:dyDescent="0.3">
      <c r="A75" t="s">
        <v>13322</v>
      </c>
      <c r="B75" s="3">
        <f>+E73</f>
        <v>8</v>
      </c>
      <c r="C75" s="3">
        <f>+'Ficha EC'!C10</f>
        <v>4</v>
      </c>
      <c r="D75" s="3">
        <f>+'Ficha EC'!F10</f>
        <v>1.9599999999999795</v>
      </c>
      <c r="E75" s="3">
        <f>+B75*(C75+20)</f>
        <v>192</v>
      </c>
      <c r="F75" s="3">
        <v>0</v>
      </c>
      <c r="G75" s="3">
        <v>0</v>
      </c>
      <c r="H75" s="3">
        <v>0</v>
      </c>
      <c r="I75" s="54">
        <f>SUM(E75:H75)</f>
        <v>192</v>
      </c>
    </row>
    <row r="76" spans="1:9" x14ac:dyDescent="0.3">
      <c r="A76" t="s">
        <v>13323</v>
      </c>
      <c r="B76" s="3">
        <f>+E73</f>
        <v>8</v>
      </c>
      <c r="C76" s="3">
        <f>+C75</f>
        <v>4</v>
      </c>
      <c r="D76" s="3">
        <f>+D75</f>
        <v>1.9599999999999795</v>
      </c>
      <c r="E76" s="3">
        <v>0</v>
      </c>
      <c r="F76" s="3">
        <f>+B76*(C76+5)*D76</f>
        <v>141.11999999999853</v>
      </c>
      <c r="G76" s="3">
        <v>0</v>
      </c>
      <c r="H76" s="3">
        <v>0</v>
      </c>
      <c r="I76" s="54">
        <f t="shared" ref="I76:I81" si="10">SUM(E76:H76)</f>
        <v>141.11999999999853</v>
      </c>
    </row>
    <row r="77" spans="1:9" x14ac:dyDescent="0.3">
      <c r="A77" t="s">
        <v>13271</v>
      </c>
      <c r="B77" s="3">
        <f>+E73</f>
        <v>8</v>
      </c>
      <c r="C77" s="3">
        <f>+C76</f>
        <v>4</v>
      </c>
      <c r="D77" s="3">
        <f>+D76</f>
        <v>1.9599999999999795</v>
      </c>
      <c r="E77" s="3">
        <v>0</v>
      </c>
      <c r="F77" s="3">
        <f>+B77*C77*D77</f>
        <v>62.719999999999345</v>
      </c>
      <c r="G77" s="3">
        <v>0</v>
      </c>
      <c r="H77" s="3">
        <v>0</v>
      </c>
      <c r="I77" s="54">
        <f t="shared" si="10"/>
        <v>62.719999999999345</v>
      </c>
    </row>
    <row r="78" spans="1:9" x14ac:dyDescent="0.3">
      <c r="A78" t="s">
        <v>13324</v>
      </c>
      <c r="B78" s="3">
        <v>0</v>
      </c>
      <c r="C78" s="3">
        <v>0</v>
      </c>
      <c r="D78" s="3">
        <v>0</v>
      </c>
      <c r="E78" s="3">
        <v>0</v>
      </c>
      <c r="F78" s="3">
        <f>(F76-F77)*1.4*5</f>
        <v>548.79999999999427</v>
      </c>
      <c r="G78" s="3">
        <v>0</v>
      </c>
      <c r="H78" s="3">
        <v>0</v>
      </c>
      <c r="I78" s="54">
        <f t="shared" si="10"/>
        <v>548.79999999999427</v>
      </c>
    </row>
    <row r="79" spans="1:9" s="60" customFormat="1" x14ac:dyDescent="0.3">
      <c r="A79" s="60" t="s">
        <v>14545</v>
      </c>
      <c r="B79" s="61">
        <f>+E73</f>
        <v>8</v>
      </c>
      <c r="C79" s="61">
        <f>+C76</f>
        <v>4</v>
      </c>
      <c r="D79" s="61">
        <v>0.1</v>
      </c>
      <c r="E79" s="61">
        <v>0</v>
      </c>
      <c r="F79" s="61">
        <f>B79*(3*D79+C79)*0.3</f>
        <v>10.319999999999999</v>
      </c>
      <c r="G79" s="61">
        <v>0</v>
      </c>
      <c r="H79" s="61">
        <v>0</v>
      </c>
      <c r="I79" s="195">
        <f t="shared" si="10"/>
        <v>10.319999999999999</v>
      </c>
    </row>
    <row r="80" spans="1:9" x14ac:dyDescent="0.3">
      <c r="A80" t="s">
        <v>3042</v>
      </c>
      <c r="B80" s="3">
        <f>+E73</f>
        <v>8</v>
      </c>
      <c r="C80" s="3">
        <f>+C77</f>
        <v>4</v>
      </c>
      <c r="D80" s="3">
        <f>+D77</f>
        <v>1.9599999999999795</v>
      </c>
      <c r="E80" s="3">
        <v>0</v>
      </c>
      <c r="F80" s="3">
        <f>B80*(3*D80+C80)*0.3</f>
        <v>23.711999999999851</v>
      </c>
      <c r="G80" s="3">
        <v>0</v>
      </c>
      <c r="H80" s="3">
        <v>0</v>
      </c>
      <c r="I80" s="54">
        <f t="shared" si="10"/>
        <v>23.711999999999851</v>
      </c>
    </row>
    <row r="81" spans="1:9" x14ac:dyDescent="0.3">
      <c r="A81" t="s">
        <v>13327</v>
      </c>
      <c r="B81" s="3">
        <v>0</v>
      </c>
      <c r="C81" s="3">
        <v>0</v>
      </c>
      <c r="D81" s="3">
        <v>0</v>
      </c>
      <c r="E81" s="3">
        <v>0</v>
      </c>
      <c r="F81" s="3">
        <f>+F80</f>
        <v>23.711999999999851</v>
      </c>
      <c r="G81" s="3">
        <v>0</v>
      </c>
      <c r="H81" s="3">
        <v>0</v>
      </c>
      <c r="I81" s="54">
        <f t="shared" si="10"/>
        <v>23.711999999999851</v>
      </c>
    </row>
    <row r="82" spans="1:9" x14ac:dyDescent="0.3">
      <c r="A82" t="s">
        <v>13372</v>
      </c>
      <c r="B82" s="3">
        <f>+E73</f>
        <v>8</v>
      </c>
      <c r="C82" s="3">
        <f>+C80</f>
        <v>4</v>
      </c>
      <c r="D82" s="3">
        <f>+D80</f>
        <v>1.9599999999999795</v>
      </c>
      <c r="E82" s="3">
        <f>B82*(3*D82+C82)*2</f>
        <v>158.07999999999902</v>
      </c>
      <c r="F82" s="3">
        <v>0</v>
      </c>
      <c r="G82" s="3">
        <v>0</v>
      </c>
      <c r="H82" s="3">
        <v>0</v>
      </c>
      <c r="I82" s="54">
        <f>SUM(E82:H82)</f>
        <v>158.07999999999902</v>
      </c>
    </row>
    <row r="83" spans="1:9" x14ac:dyDescent="0.3">
      <c r="A83" t="s">
        <v>13373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f>+F80*120</f>
        <v>2845.4399999999819</v>
      </c>
      <c r="H83" s="3">
        <v>0</v>
      </c>
      <c r="I83" s="54">
        <f t="shared" ref="I83:I85" si="11">SUM(E83:H83)</f>
        <v>2845.4399999999819</v>
      </c>
    </row>
    <row r="84" spans="1:9" x14ac:dyDescent="0.3">
      <c r="A84" t="s">
        <v>13374</v>
      </c>
      <c r="B84" s="3">
        <v>0</v>
      </c>
      <c r="C84" s="3">
        <f>+C82</f>
        <v>4</v>
      </c>
      <c r="D84" s="3">
        <v>0</v>
      </c>
      <c r="E84" s="3">
        <v>0</v>
      </c>
      <c r="F84" s="3">
        <v>0</v>
      </c>
      <c r="G84" s="3">
        <v>0</v>
      </c>
      <c r="H84" s="3">
        <f>+C84*4</f>
        <v>16</v>
      </c>
      <c r="I84" s="54">
        <f t="shared" si="11"/>
        <v>16</v>
      </c>
    </row>
    <row r="85" spans="1:9" x14ac:dyDescent="0.3">
      <c r="A85" t="s">
        <v>13375</v>
      </c>
      <c r="B85" s="3">
        <f>+E73</f>
        <v>8</v>
      </c>
      <c r="C85" s="3">
        <v>0</v>
      </c>
      <c r="D85" s="3">
        <v>0</v>
      </c>
      <c r="E85" s="3">
        <f>+B85*2*2.2</f>
        <v>35.200000000000003</v>
      </c>
      <c r="F85" s="3">
        <v>0</v>
      </c>
      <c r="G85" s="3">
        <v>0</v>
      </c>
      <c r="H85" s="3">
        <v>0</v>
      </c>
      <c r="I85" s="54">
        <f t="shared" si="11"/>
        <v>35.200000000000003</v>
      </c>
    </row>
    <row r="87" spans="1:9" x14ac:dyDescent="0.3">
      <c r="A87" t="s">
        <v>21</v>
      </c>
      <c r="B87" t="str">
        <f>+'Ficha EC'!A11</f>
        <v>EC3 - CS21a</v>
      </c>
      <c r="D87" t="s">
        <v>13269</v>
      </c>
      <c r="E87" s="3">
        <f>+'Ficha EC'!B11</f>
        <v>8</v>
      </c>
      <c r="F87" t="s">
        <v>13270</v>
      </c>
    </row>
    <row r="88" spans="1:9" x14ac:dyDescent="0.3">
      <c r="A88" s="51"/>
      <c r="B88" s="52" t="s">
        <v>13328</v>
      </c>
      <c r="C88" s="52" t="s">
        <v>13273</v>
      </c>
      <c r="D88" s="52" t="s">
        <v>13274</v>
      </c>
      <c r="E88" s="52" t="s">
        <v>13276</v>
      </c>
      <c r="F88" s="52" t="s">
        <v>13277</v>
      </c>
      <c r="G88" s="52" t="s">
        <v>13376</v>
      </c>
      <c r="H88" s="52" t="s">
        <v>13329</v>
      </c>
      <c r="I88" s="53" t="s">
        <v>13309</v>
      </c>
    </row>
    <row r="89" spans="1:9" x14ac:dyDescent="0.3">
      <c r="A89" t="s">
        <v>13322</v>
      </c>
      <c r="B89" s="3">
        <f>+E87</f>
        <v>8</v>
      </c>
      <c r="C89" s="3">
        <f>+'Ficha EC'!C11</f>
        <v>3.3</v>
      </c>
      <c r="D89" s="3">
        <f>+'Ficha EC'!F11</f>
        <v>1.7200000000000273</v>
      </c>
      <c r="E89" s="3">
        <f>+B89*(C89+20)</f>
        <v>186.4</v>
      </c>
      <c r="F89" s="3">
        <v>0</v>
      </c>
      <c r="G89" s="3">
        <v>0</v>
      </c>
      <c r="H89" s="3">
        <v>0</v>
      </c>
      <c r="I89" s="54">
        <f>SUM(E89:H89)</f>
        <v>186.4</v>
      </c>
    </row>
    <row r="90" spans="1:9" x14ac:dyDescent="0.3">
      <c r="A90" t="s">
        <v>13323</v>
      </c>
      <c r="B90" s="3">
        <f>+E87</f>
        <v>8</v>
      </c>
      <c r="C90" s="3">
        <f>+C89</f>
        <v>3.3</v>
      </c>
      <c r="D90" s="3">
        <f>+D89</f>
        <v>1.7200000000000273</v>
      </c>
      <c r="E90" s="3">
        <v>0</v>
      </c>
      <c r="F90" s="3">
        <f>+B90*(C90+5)*D90</f>
        <v>114.20800000000182</v>
      </c>
      <c r="G90" s="3">
        <v>0</v>
      </c>
      <c r="H90" s="3">
        <v>0</v>
      </c>
      <c r="I90" s="54">
        <f t="shared" ref="I90:I95" si="12">SUM(E90:H90)</f>
        <v>114.20800000000182</v>
      </c>
    </row>
    <row r="91" spans="1:9" x14ac:dyDescent="0.3">
      <c r="A91" t="s">
        <v>13271</v>
      </c>
      <c r="B91" s="3">
        <f>+E87</f>
        <v>8</v>
      </c>
      <c r="C91" s="3">
        <f>+C90</f>
        <v>3.3</v>
      </c>
      <c r="D91" s="3">
        <f>+D90</f>
        <v>1.7200000000000273</v>
      </c>
      <c r="E91" s="3">
        <v>0</v>
      </c>
      <c r="F91" s="3">
        <f>+B91*C91*D91</f>
        <v>45.408000000000719</v>
      </c>
      <c r="G91" s="3">
        <v>0</v>
      </c>
      <c r="H91" s="3">
        <v>0</v>
      </c>
      <c r="I91" s="54">
        <f t="shared" si="12"/>
        <v>45.408000000000719</v>
      </c>
    </row>
    <row r="92" spans="1:9" x14ac:dyDescent="0.3">
      <c r="A92" t="s">
        <v>13324</v>
      </c>
      <c r="B92" s="3">
        <v>0</v>
      </c>
      <c r="C92" s="3">
        <v>0</v>
      </c>
      <c r="D92" s="3">
        <v>0</v>
      </c>
      <c r="E92" s="3">
        <v>0</v>
      </c>
      <c r="F92" s="3">
        <f>(F90-F91)*1.4*5</f>
        <v>481.60000000000764</v>
      </c>
      <c r="G92" s="3">
        <v>0</v>
      </c>
      <c r="H92" s="3">
        <v>0</v>
      </c>
      <c r="I92" s="54">
        <f t="shared" si="12"/>
        <v>481.60000000000764</v>
      </c>
    </row>
    <row r="93" spans="1:9" s="60" customFormat="1" x14ac:dyDescent="0.3">
      <c r="A93" s="60" t="s">
        <v>14545</v>
      </c>
      <c r="B93" s="61">
        <f>+E87</f>
        <v>8</v>
      </c>
      <c r="C93" s="61">
        <f>+C90</f>
        <v>3.3</v>
      </c>
      <c r="D93" s="61">
        <v>0.1</v>
      </c>
      <c r="E93" s="61">
        <v>0</v>
      </c>
      <c r="F93" s="61">
        <f>B93*(3*D93+C93)*0.3</f>
        <v>8.6399999999999988</v>
      </c>
      <c r="G93" s="61">
        <v>0</v>
      </c>
      <c r="H93" s="61">
        <v>0</v>
      </c>
      <c r="I93" s="195">
        <f t="shared" si="12"/>
        <v>8.6399999999999988</v>
      </c>
    </row>
    <row r="94" spans="1:9" x14ac:dyDescent="0.3">
      <c r="A94" t="s">
        <v>3042</v>
      </c>
      <c r="B94" s="3">
        <f>+E87</f>
        <v>8</v>
      </c>
      <c r="C94" s="3">
        <f>+C91</f>
        <v>3.3</v>
      </c>
      <c r="D94" s="3">
        <f>+D91</f>
        <v>1.7200000000000273</v>
      </c>
      <c r="E94" s="3">
        <v>0</v>
      </c>
      <c r="F94" s="3">
        <f>B94*(3*D94+C94)*0.3</f>
        <v>20.304000000000197</v>
      </c>
      <c r="G94" s="3">
        <v>0</v>
      </c>
      <c r="H94" s="3">
        <v>0</v>
      </c>
      <c r="I94" s="54">
        <f t="shared" si="12"/>
        <v>20.304000000000197</v>
      </c>
    </row>
    <row r="95" spans="1:9" x14ac:dyDescent="0.3">
      <c r="A95" t="s">
        <v>13327</v>
      </c>
      <c r="B95" s="3">
        <v>0</v>
      </c>
      <c r="C95" s="3">
        <v>0</v>
      </c>
      <c r="D95" s="3">
        <v>0</v>
      </c>
      <c r="E95" s="3">
        <v>0</v>
      </c>
      <c r="F95" s="3">
        <f>+F94</f>
        <v>20.304000000000197</v>
      </c>
      <c r="G95" s="3">
        <v>0</v>
      </c>
      <c r="H95" s="3">
        <v>0</v>
      </c>
      <c r="I95" s="54">
        <f t="shared" si="12"/>
        <v>20.304000000000197</v>
      </c>
    </row>
    <row r="96" spans="1:9" x14ac:dyDescent="0.3">
      <c r="A96" t="s">
        <v>13372</v>
      </c>
      <c r="B96" s="3">
        <f>+E87</f>
        <v>8</v>
      </c>
      <c r="C96" s="3">
        <f>+C94</f>
        <v>3.3</v>
      </c>
      <c r="D96" s="3">
        <f>+D94</f>
        <v>1.7200000000000273</v>
      </c>
      <c r="E96" s="3">
        <f>B96*(3*D96+C96)*2</f>
        <v>135.36000000000132</v>
      </c>
      <c r="F96" s="3">
        <v>0</v>
      </c>
      <c r="G96" s="3">
        <v>0</v>
      </c>
      <c r="H96" s="3">
        <v>0</v>
      </c>
      <c r="I96" s="54">
        <f>SUM(E96:H96)</f>
        <v>135.36000000000132</v>
      </c>
    </row>
    <row r="97" spans="1:9" x14ac:dyDescent="0.3">
      <c r="A97" t="s">
        <v>13373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f>+F94*120</f>
        <v>2436.4800000000237</v>
      </c>
      <c r="H97" s="3">
        <v>0</v>
      </c>
      <c r="I97" s="54">
        <f t="shared" ref="I97:I99" si="13">SUM(E97:H97)</f>
        <v>2436.4800000000237</v>
      </c>
    </row>
    <row r="98" spans="1:9" x14ac:dyDescent="0.3">
      <c r="A98" t="s">
        <v>13374</v>
      </c>
      <c r="B98" s="3">
        <v>0</v>
      </c>
      <c r="C98" s="3">
        <f>+C96</f>
        <v>3.3</v>
      </c>
      <c r="D98" s="3">
        <v>0</v>
      </c>
      <c r="E98" s="3">
        <v>0</v>
      </c>
      <c r="F98" s="3">
        <v>0</v>
      </c>
      <c r="G98" s="3">
        <v>0</v>
      </c>
      <c r="H98" s="3">
        <f>+C98*4</f>
        <v>13.2</v>
      </c>
      <c r="I98" s="54">
        <f t="shared" si="13"/>
        <v>13.2</v>
      </c>
    </row>
    <row r="99" spans="1:9" x14ac:dyDescent="0.3">
      <c r="A99" t="s">
        <v>13375</v>
      </c>
      <c r="B99" s="3">
        <f>+E87</f>
        <v>8</v>
      </c>
      <c r="C99" s="3">
        <v>0</v>
      </c>
      <c r="D99" s="3">
        <v>0</v>
      </c>
      <c r="E99" s="3">
        <f>+B99*2*2.2</f>
        <v>35.200000000000003</v>
      </c>
      <c r="F99" s="3">
        <v>0</v>
      </c>
      <c r="G99" s="3">
        <v>0</v>
      </c>
      <c r="H99" s="3">
        <v>0</v>
      </c>
      <c r="I99" s="54">
        <f t="shared" si="13"/>
        <v>35.200000000000003</v>
      </c>
    </row>
    <row r="101" spans="1:9" x14ac:dyDescent="0.3">
      <c r="A101" t="s">
        <v>21</v>
      </c>
      <c r="B101" t="str">
        <f>+'Ficha EC'!A12</f>
        <v>EC4 - CS21a</v>
      </c>
      <c r="D101" t="s">
        <v>13269</v>
      </c>
      <c r="E101" s="3">
        <f>+'Ficha EC'!B12</f>
        <v>8</v>
      </c>
      <c r="F101" t="s">
        <v>13270</v>
      </c>
    </row>
    <row r="102" spans="1:9" x14ac:dyDescent="0.3">
      <c r="A102" s="51"/>
      <c r="B102" s="52" t="s">
        <v>13328</v>
      </c>
      <c r="C102" s="52" t="s">
        <v>13273</v>
      </c>
      <c r="D102" s="52" t="s">
        <v>13274</v>
      </c>
      <c r="E102" s="52" t="s">
        <v>13276</v>
      </c>
      <c r="F102" s="52" t="s">
        <v>13277</v>
      </c>
      <c r="G102" s="52" t="s">
        <v>13376</v>
      </c>
      <c r="H102" s="52" t="s">
        <v>13329</v>
      </c>
      <c r="I102" s="53" t="s">
        <v>13309</v>
      </c>
    </row>
    <row r="103" spans="1:9" x14ac:dyDescent="0.3">
      <c r="A103" t="s">
        <v>13322</v>
      </c>
      <c r="B103" s="3">
        <f>+E101</f>
        <v>8</v>
      </c>
      <c r="C103" s="3">
        <f>+'Ficha EC'!C12</f>
        <v>3.1</v>
      </c>
      <c r="D103" s="3">
        <f>+'Ficha EC'!F12</f>
        <v>1.5600000000000023</v>
      </c>
      <c r="E103" s="3">
        <f>+B103*(C103+20)</f>
        <v>184.8</v>
      </c>
      <c r="F103" s="3">
        <v>0</v>
      </c>
      <c r="G103" s="3">
        <v>0</v>
      </c>
      <c r="H103" s="3">
        <v>0</v>
      </c>
      <c r="I103" s="54">
        <f>SUM(E103:H103)</f>
        <v>184.8</v>
      </c>
    </row>
    <row r="104" spans="1:9" x14ac:dyDescent="0.3">
      <c r="A104" t="s">
        <v>13323</v>
      </c>
      <c r="B104" s="3">
        <f>+E101</f>
        <v>8</v>
      </c>
      <c r="C104" s="3">
        <f>+C103</f>
        <v>3.1</v>
      </c>
      <c r="D104" s="3">
        <f>+D103</f>
        <v>1.5600000000000023</v>
      </c>
      <c r="E104" s="3">
        <v>0</v>
      </c>
      <c r="F104" s="3">
        <f>+B104*(C104+5)*D104</f>
        <v>101.08800000000014</v>
      </c>
      <c r="G104" s="3">
        <v>0</v>
      </c>
      <c r="H104" s="3">
        <v>0</v>
      </c>
      <c r="I104" s="54">
        <f t="shared" ref="I104:I109" si="14">SUM(E104:H104)</f>
        <v>101.08800000000014</v>
      </c>
    </row>
    <row r="105" spans="1:9" x14ac:dyDescent="0.3">
      <c r="A105" t="s">
        <v>13271</v>
      </c>
      <c r="B105" s="3">
        <f>+E101</f>
        <v>8</v>
      </c>
      <c r="C105" s="3">
        <f>+C104</f>
        <v>3.1</v>
      </c>
      <c r="D105" s="3">
        <f>+D104</f>
        <v>1.5600000000000023</v>
      </c>
      <c r="E105" s="3">
        <v>0</v>
      </c>
      <c r="F105" s="3">
        <f>+B105*C105*D105</f>
        <v>38.688000000000059</v>
      </c>
      <c r="G105" s="3">
        <v>0</v>
      </c>
      <c r="H105" s="3">
        <v>0</v>
      </c>
      <c r="I105" s="54">
        <f t="shared" si="14"/>
        <v>38.688000000000059</v>
      </c>
    </row>
    <row r="106" spans="1:9" x14ac:dyDescent="0.3">
      <c r="A106" t="s">
        <v>13324</v>
      </c>
      <c r="B106" s="3">
        <v>0</v>
      </c>
      <c r="C106" s="3">
        <v>0</v>
      </c>
      <c r="D106" s="3">
        <v>0</v>
      </c>
      <c r="E106" s="3">
        <v>0</v>
      </c>
      <c r="F106" s="3">
        <f>(F104-F105)*1.4*5</f>
        <v>436.80000000000052</v>
      </c>
      <c r="G106" s="3">
        <v>0</v>
      </c>
      <c r="H106" s="3">
        <v>0</v>
      </c>
      <c r="I106" s="54">
        <f t="shared" si="14"/>
        <v>436.80000000000052</v>
      </c>
    </row>
    <row r="107" spans="1:9" s="60" customFormat="1" x14ac:dyDescent="0.3">
      <c r="A107" s="60" t="s">
        <v>14545</v>
      </c>
      <c r="B107" s="61">
        <f>+E101</f>
        <v>8</v>
      </c>
      <c r="C107" s="61">
        <f>+C104</f>
        <v>3.1</v>
      </c>
      <c r="D107" s="61">
        <v>0.1</v>
      </c>
      <c r="E107" s="61">
        <v>0</v>
      </c>
      <c r="F107" s="61">
        <f>B107*(3*D107+C107)*0.3</f>
        <v>8.16</v>
      </c>
      <c r="G107" s="61">
        <v>0</v>
      </c>
      <c r="H107" s="61">
        <v>0</v>
      </c>
      <c r="I107" s="195">
        <f t="shared" si="14"/>
        <v>8.16</v>
      </c>
    </row>
    <row r="108" spans="1:9" x14ac:dyDescent="0.3">
      <c r="A108" t="s">
        <v>3042</v>
      </c>
      <c r="B108" s="3">
        <f>+E101</f>
        <v>8</v>
      </c>
      <c r="C108" s="3">
        <f>+C105</f>
        <v>3.1</v>
      </c>
      <c r="D108" s="3">
        <f>+D105</f>
        <v>1.5600000000000023</v>
      </c>
      <c r="E108" s="3">
        <v>0</v>
      </c>
      <c r="F108" s="3">
        <f>B108*(3*D108+C108)*0.3</f>
        <v>18.672000000000015</v>
      </c>
      <c r="G108" s="3">
        <v>0</v>
      </c>
      <c r="H108" s="3">
        <v>0</v>
      </c>
      <c r="I108" s="54">
        <f t="shared" si="14"/>
        <v>18.672000000000015</v>
      </c>
    </row>
    <row r="109" spans="1:9" x14ac:dyDescent="0.3">
      <c r="A109" t="s">
        <v>13327</v>
      </c>
      <c r="B109" s="3">
        <v>0</v>
      </c>
      <c r="C109" s="3">
        <v>0</v>
      </c>
      <c r="D109" s="3">
        <v>0</v>
      </c>
      <c r="E109" s="3">
        <v>0</v>
      </c>
      <c r="F109" s="3">
        <f>+F108</f>
        <v>18.672000000000015</v>
      </c>
      <c r="G109" s="3">
        <v>0</v>
      </c>
      <c r="H109" s="3">
        <v>0</v>
      </c>
      <c r="I109" s="54">
        <f t="shared" si="14"/>
        <v>18.672000000000015</v>
      </c>
    </row>
    <row r="110" spans="1:9" x14ac:dyDescent="0.3">
      <c r="A110" t="s">
        <v>13372</v>
      </c>
      <c r="B110" s="3">
        <f>+E101</f>
        <v>8</v>
      </c>
      <c r="C110" s="3">
        <f>+C108</f>
        <v>3.1</v>
      </c>
      <c r="D110" s="3">
        <f>+D108</f>
        <v>1.5600000000000023</v>
      </c>
      <c r="E110" s="3">
        <f>B110*(3*D110+C110)*2</f>
        <v>124.4800000000001</v>
      </c>
      <c r="F110" s="3">
        <v>0</v>
      </c>
      <c r="G110" s="3">
        <v>0</v>
      </c>
      <c r="H110" s="3">
        <v>0</v>
      </c>
      <c r="I110" s="54">
        <f>SUM(E110:H110)</f>
        <v>124.4800000000001</v>
      </c>
    </row>
    <row r="111" spans="1:9" x14ac:dyDescent="0.3">
      <c r="A111" t="s">
        <v>13373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f>+F108*120</f>
        <v>2240.6400000000017</v>
      </c>
      <c r="H111" s="3">
        <v>0</v>
      </c>
      <c r="I111" s="54">
        <f t="shared" ref="I111:I113" si="15">SUM(E111:H111)</f>
        <v>2240.6400000000017</v>
      </c>
    </row>
    <row r="112" spans="1:9" x14ac:dyDescent="0.3">
      <c r="A112" t="s">
        <v>13374</v>
      </c>
      <c r="B112" s="3">
        <v>0</v>
      </c>
      <c r="C112" s="3">
        <f>+C110</f>
        <v>3.1</v>
      </c>
      <c r="D112" s="3">
        <v>0</v>
      </c>
      <c r="E112" s="3">
        <v>0</v>
      </c>
      <c r="F112" s="3">
        <v>0</v>
      </c>
      <c r="G112" s="3">
        <v>0</v>
      </c>
      <c r="H112" s="3">
        <f>+C112*4</f>
        <v>12.4</v>
      </c>
      <c r="I112" s="54">
        <f t="shared" si="15"/>
        <v>12.4</v>
      </c>
    </row>
    <row r="113" spans="1:9" x14ac:dyDescent="0.3">
      <c r="A113" t="s">
        <v>13375</v>
      </c>
      <c r="B113" s="3">
        <f>+E101</f>
        <v>8</v>
      </c>
      <c r="C113" s="3">
        <v>0</v>
      </c>
      <c r="D113" s="3">
        <v>0</v>
      </c>
      <c r="E113" s="3">
        <f>+B113*2*2.2</f>
        <v>35.200000000000003</v>
      </c>
      <c r="F113" s="3">
        <v>0</v>
      </c>
      <c r="G113" s="3">
        <v>0</v>
      </c>
      <c r="H113" s="3">
        <v>0</v>
      </c>
      <c r="I113" s="54">
        <f t="shared" si="15"/>
        <v>35.200000000000003</v>
      </c>
    </row>
    <row r="115" spans="1:9" x14ac:dyDescent="0.3">
      <c r="A115" t="s">
        <v>21</v>
      </c>
      <c r="B115" t="str">
        <f>+'Ficha EC'!A13</f>
        <v>EC5 - CS21a</v>
      </c>
      <c r="D115" t="s">
        <v>13269</v>
      </c>
      <c r="E115" s="3">
        <f>+'Ficha EC'!B13</f>
        <v>8</v>
      </c>
      <c r="F115" t="s">
        <v>13270</v>
      </c>
    </row>
    <row r="116" spans="1:9" x14ac:dyDescent="0.3">
      <c r="A116" s="51"/>
      <c r="B116" s="52" t="s">
        <v>13328</v>
      </c>
      <c r="C116" s="52" t="s">
        <v>13273</v>
      </c>
      <c r="D116" s="52" t="s">
        <v>13274</v>
      </c>
      <c r="E116" s="52" t="s">
        <v>13276</v>
      </c>
      <c r="F116" s="52" t="s">
        <v>13277</v>
      </c>
      <c r="G116" s="52" t="s">
        <v>13376</v>
      </c>
      <c r="H116" s="52" t="s">
        <v>13329</v>
      </c>
      <c r="I116" s="53" t="s">
        <v>13309</v>
      </c>
    </row>
    <row r="117" spans="1:9" x14ac:dyDescent="0.3">
      <c r="A117" t="s">
        <v>13322</v>
      </c>
      <c r="B117" s="3">
        <f>+E115</f>
        <v>8</v>
      </c>
      <c r="C117" s="3">
        <f>+'Ficha EC'!C13</f>
        <v>2.2999999999999998</v>
      </c>
      <c r="D117" s="3">
        <f>+'Ficha EC'!F13</f>
        <v>1.3100000000000023</v>
      </c>
      <c r="E117" s="3">
        <f>+B117*(C117+20)</f>
        <v>178.4</v>
      </c>
      <c r="F117" s="3">
        <v>0</v>
      </c>
      <c r="G117" s="3">
        <v>0</v>
      </c>
      <c r="H117" s="3">
        <v>0</v>
      </c>
      <c r="I117" s="54">
        <f>SUM(E117:H117)</f>
        <v>178.4</v>
      </c>
    </row>
    <row r="118" spans="1:9" x14ac:dyDescent="0.3">
      <c r="A118" t="s">
        <v>13323</v>
      </c>
      <c r="B118" s="3">
        <f>+E115</f>
        <v>8</v>
      </c>
      <c r="C118" s="3">
        <f>+C117</f>
        <v>2.2999999999999998</v>
      </c>
      <c r="D118" s="3">
        <f>+D117</f>
        <v>1.3100000000000023</v>
      </c>
      <c r="E118" s="3">
        <v>0</v>
      </c>
      <c r="F118" s="3">
        <f>+B118*(C118+5)*D118</f>
        <v>76.504000000000133</v>
      </c>
      <c r="G118" s="3">
        <v>0</v>
      </c>
      <c r="H118" s="3">
        <v>0</v>
      </c>
      <c r="I118" s="54">
        <f t="shared" ref="I118:I123" si="16">SUM(E118:H118)</f>
        <v>76.504000000000133</v>
      </c>
    </row>
    <row r="119" spans="1:9" x14ac:dyDescent="0.3">
      <c r="A119" t="s">
        <v>13271</v>
      </c>
      <c r="B119" s="3">
        <f>+E115</f>
        <v>8</v>
      </c>
      <c r="C119" s="3">
        <f>+C118</f>
        <v>2.2999999999999998</v>
      </c>
      <c r="D119" s="3">
        <f>+D118</f>
        <v>1.3100000000000023</v>
      </c>
      <c r="E119" s="3">
        <v>0</v>
      </c>
      <c r="F119" s="3">
        <f>+B119*C119*D119</f>
        <v>24.104000000000038</v>
      </c>
      <c r="G119" s="3">
        <v>0</v>
      </c>
      <c r="H119" s="3">
        <v>0</v>
      </c>
      <c r="I119" s="54">
        <f t="shared" si="16"/>
        <v>24.104000000000038</v>
      </c>
    </row>
    <row r="120" spans="1:9" x14ac:dyDescent="0.3">
      <c r="A120" t="s">
        <v>13324</v>
      </c>
      <c r="B120" s="3">
        <v>0</v>
      </c>
      <c r="C120" s="3">
        <v>0</v>
      </c>
      <c r="D120" s="3">
        <v>0</v>
      </c>
      <c r="E120" s="3">
        <v>0</v>
      </c>
      <c r="F120" s="3">
        <f>(F118-F119)*1.4*5</f>
        <v>366.80000000000064</v>
      </c>
      <c r="G120" s="3">
        <v>0</v>
      </c>
      <c r="H120" s="3">
        <v>0</v>
      </c>
      <c r="I120" s="54">
        <f t="shared" si="16"/>
        <v>366.80000000000064</v>
      </c>
    </row>
    <row r="121" spans="1:9" s="60" customFormat="1" x14ac:dyDescent="0.3">
      <c r="A121" s="60" t="s">
        <v>14545</v>
      </c>
      <c r="B121" s="61">
        <f>+E115</f>
        <v>8</v>
      </c>
      <c r="C121" s="61">
        <f>+C118</f>
        <v>2.2999999999999998</v>
      </c>
      <c r="D121" s="61">
        <v>0.1</v>
      </c>
      <c r="E121" s="61">
        <v>0</v>
      </c>
      <c r="F121" s="61">
        <f>B121*(3*D121+C121)*0.3</f>
        <v>6.2399999999999993</v>
      </c>
      <c r="G121" s="61">
        <v>0</v>
      </c>
      <c r="H121" s="61">
        <v>0</v>
      </c>
      <c r="I121" s="195">
        <f t="shared" si="16"/>
        <v>6.2399999999999993</v>
      </c>
    </row>
    <row r="122" spans="1:9" x14ac:dyDescent="0.3">
      <c r="A122" t="s">
        <v>3042</v>
      </c>
      <c r="B122" s="3">
        <f>+E115</f>
        <v>8</v>
      </c>
      <c r="C122" s="3">
        <f>+C119</f>
        <v>2.2999999999999998</v>
      </c>
      <c r="D122" s="3">
        <f>+D119</f>
        <v>1.3100000000000023</v>
      </c>
      <c r="E122" s="3">
        <v>0</v>
      </c>
      <c r="F122" s="3">
        <f>B122*(3*D122+C122)*0.3</f>
        <v>14.952000000000016</v>
      </c>
      <c r="G122" s="3">
        <v>0</v>
      </c>
      <c r="H122" s="3">
        <v>0</v>
      </c>
      <c r="I122" s="54">
        <f t="shared" si="16"/>
        <v>14.952000000000016</v>
      </c>
    </row>
    <row r="123" spans="1:9" x14ac:dyDescent="0.3">
      <c r="A123" t="s">
        <v>13327</v>
      </c>
      <c r="B123" s="3">
        <v>0</v>
      </c>
      <c r="C123" s="3">
        <v>0</v>
      </c>
      <c r="D123" s="3">
        <v>0</v>
      </c>
      <c r="E123" s="3">
        <v>0</v>
      </c>
      <c r="F123" s="3">
        <f>+F122</f>
        <v>14.952000000000016</v>
      </c>
      <c r="G123" s="3">
        <v>0</v>
      </c>
      <c r="H123" s="3">
        <v>0</v>
      </c>
      <c r="I123" s="54">
        <f t="shared" si="16"/>
        <v>14.952000000000016</v>
      </c>
    </row>
    <row r="124" spans="1:9" x14ac:dyDescent="0.3">
      <c r="A124" t="s">
        <v>13372</v>
      </c>
      <c r="B124" s="3">
        <f>+E115</f>
        <v>8</v>
      </c>
      <c r="C124" s="3">
        <f>+C122</f>
        <v>2.2999999999999998</v>
      </c>
      <c r="D124" s="3">
        <f>+D122</f>
        <v>1.3100000000000023</v>
      </c>
      <c r="E124" s="3">
        <f>B124*(3*D124+C124)*2</f>
        <v>99.680000000000106</v>
      </c>
      <c r="F124" s="3">
        <v>0</v>
      </c>
      <c r="G124" s="3">
        <v>0</v>
      </c>
      <c r="H124" s="3">
        <v>0</v>
      </c>
      <c r="I124" s="54">
        <f>SUM(E124:H124)</f>
        <v>99.680000000000106</v>
      </c>
    </row>
    <row r="125" spans="1:9" x14ac:dyDescent="0.3">
      <c r="A125" t="s">
        <v>13373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f>+F122*120</f>
        <v>1794.2400000000018</v>
      </c>
      <c r="H125" s="3">
        <v>0</v>
      </c>
      <c r="I125" s="54">
        <f t="shared" ref="I125:I127" si="17">SUM(E125:H125)</f>
        <v>1794.2400000000018</v>
      </c>
    </row>
    <row r="126" spans="1:9" x14ac:dyDescent="0.3">
      <c r="A126" t="s">
        <v>13374</v>
      </c>
      <c r="B126" s="3">
        <v>0</v>
      </c>
      <c r="C126" s="3">
        <f>+C124</f>
        <v>2.2999999999999998</v>
      </c>
      <c r="D126" s="3">
        <v>0</v>
      </c>
      <c r="E126" s="3">
        <v>0</v>
      </c>
      <c r="F126" s="3">
        <v>0</v>
      </c>
      <c r="G126" s="3">
        <v>0</v>
      </c>
      <c r="H126" s="3">
        <f>+C126*4</f>
        <v>9.1999999999999993</v>
      </c>
      <c r="I126" s="54">
        <f t="shared" si="17"/>
        <v>9.1999999999999993</v>
      </c>
    </row>
    <row r="127" spans="1:9" x14ac:dyDescent="0.3">
      <c r="A127" t="s">
        <v>13375</v>
      </c>
      <c r="B127" s="3">
        <f>+E115</f>
        <v>8</v>
      </c>
      <c r="C127" s="3">
        <v>0</v>
      </c>
      <c r="D127" s="3">
        <v>0</v>
      </c>
      <c r="E127" s="3">
        <f>+B127*2*2.2</f>
        <v>35.200000000000003</v>
      </c>
      <c r="F127" s="3">
        <v>0</v>
      </c>
      <c r="G127" s="3">
        <v>0</v>
      </c>
      <c r="H127" s="3">
        <v>0</v>
      </c>
      <c r="I127" s="54">
        <f t="shared" si="17"/>
        <v>35.200000000000003</v>
      </c>
    </row>
    <row r="129" spans="1:9" x14ac:dyDescent="0.3">
      <c r="A129" t="s">
        <v>13135</v>
      </c>
      <c r="B129" t="str">
        <f>+'Ficha EC'!A17</f>
        <v>EC2 - CP3</v>
      </c>
      <c r="D129" t="s">
        <v>13269</v>
      </c>
      <c r="E129" s="3">
        <f>+'Ficha EC'!B17</f>
        <v>8</v>
      </c>
      <c r="F129" t="s">
        <v>13270</v>
      </c>
    </row>
    <row r="130" spans="1:9" x14ac:dyDescent="0.3">
      <c r="A130" s="51"/>
      <c r="B130" s="52" t="s">
        <v>13328</v>
      </c>
      <c r="C130" s="52" t="s">
        <v>13273</v>
      </c>
      <c r="D130" s="52" t="s">
        <v>13274</v>
      </c>
      <c r="E130" s="52" t="s">
        <v>13276</v>
      </c>
      <c r="F130" s="52" t="s">
        <v>13277</v>
      </c>
      <c r="G130" s="52" t="s">
        <v>13376</v>
      </c>
      <c r="H130" s="52" t="s">
        <v>13329</v>
      </c>
      <c r="I130" s="53" t="s">
        <v>13309</v>
      </c>
    </row>
    <row r="131" spans="1:9" x14ac:dyDescent="0.3">
      <c r="A131" t="s">
        <v>13322</v>
      </c>
      <c r="B131" s="3">
        <f>+E129</f>
        <v>8</v>
      </c>
      <c r="C131" s="3">
        <f>+'Ficha EC'!C17</f>
        <v>4</v>
      </c>
      <c r="D131" s="3">
        <f>+'Ficha EC'!F17</f>
        <v>2.0399999999999636</v>
      </c>
      <c r="E131" s="3">
        <f>+B131*(C131+20)</f>
        <v>192</v>
      </c>
      <c r="F131" s="3">
        <v>0</v>
      </c>
      <c r="G131" s="3">
        <v>0</v>
      </c>
      <c r="H131" s="3">
        <v>0</v>
      </c>
      <c r="I131" s="54">
        <f>SUM(E131:H131)</f>
        <v>192</v>
      </c>
    </row>
    <row r="132" spans="1:9" x14ac:dyDescent="0.3">
      <c r="A132" t="s">
        <v>13323</v>
      </c>
      <c r="B132" s="3">
        <f>+E129</f>
        <v>8</v>
      </c>
      <c r="C132" s="3">
        <f>+C131</f>
        <v>4</v>
      </c>
      <c r="D132" s="3">
        <f>+D131</f>
        <v>2.0399999999999636</v>
      </c>
      <c r="E132" s="3">
        <v>0</v>
      </c>
      <c r="F132" s="3">
        <f>+B132*(C132+5)*D132</f>
        <v>146.87999999999738</v>
      </c>
      <c r="G132" s="3">
        <v>0</v>
      </c>
      <c r="H132" s="3">
        <v>0</v>
      </c>
      <c r="I132" s="54">
        <f t="shared" ref="I132:I137" si="18">SUM(E132:H132)</f>
        <v>146.87999999999738</v>
      </c>
    </row>
    <row r="133" spans="1:9" x14ac:dyDescent="0.3">
      <c r="A133" t="s">
        <v>13271</v>
      </c>
      <c r="B133" s="3">
        <f>+E129</f>
        <v>8</v>
      </c>
      <c r="C133" s="3">
        <f>+C132</f>
        <v>4</v>
      </c>
      <c r="D133" s="3">
        <f>+D132</f>
        <v>2.0399999999999636</v>
      </c>
      <c r="E133" s="3">
        <v>0</v>
      </c>
      <c r="F133" s="3">
        <f>+B133*C133*D133</f>
        <v>65.279999999998836</v>
      </c>
      <c r="G133" s="3">
        <v>0</v>
      </c>
      <c r="H133" s="3">
        <v>0</v>
      </c>
      <c r="I133" s="54">
        <f t="shared" si="18"/>
        <v>65.279999999998836</v>
      </c>
    </row>
    <row r="134" spans="1:9" x14ac:dyDescent="0.3">
      <c r="A134" t="s">
        <v>13324</v>
      </c>
      <c r="B134" s="3">
        <v>0</v>
      </c>
      <c r="C134" s="3">
        <v>0</v>
      </c>
      <c r="D134" s="3">
        <v>0</v>
      </c>
      <c r="E134" s="3">
        <v>0</v>
      </c>
      <c r="F134" s="3">
        <f>(F132-F133)*1.4*5</f>
        <v>571.1999999999897</v>
      </c>
      <c r="G134" s="3">
        <v>0</v>
      </c>
      <c r="H134" s="3">
        <v>0</v>
      </c>
      <c r="I134" s="54">
        <f t="shared" si="18"/>
        <v>571.1999999999897</v>
      </c>
    </row>
    <row r="135" spans="1:9" s="60" customFormat="1" x14ac:dyDescent="0.3">
      <c r="A135" s="60" t="s">
        <v>14545</v>
      </c>
      <c r="B135" s="61">
        <f>+E129</f>
        <v>8</v>
      </c>
      <c r="C135" s="61">
        <f>+C132</f>
        <v>4</v>
      </c>
      <c r="D135" s="61">
        <v>0.1</v>
      </c>
      <c r="E135" s="61">
        <v>0</v>
      </c>
      <c r="F135" s="61">
        <f>B135*(3*D135+C135)*0.3</f>
        <v>10.319999999999999</v>
      </c>
      <c r="G135" s="61">
        <v>0</v>
      </c>
      <c r="H135" s="61">
        <v>0</v>
      </c>
      <c r="I135" s="195">
        <f t="shared" si="18"/>
        <v>10.319999999999999</v>
      </c>
    </row>
    <row r="136" spans="1:9" x14ac:dyDescent="0.3">
      <c r="A136" t="s">
        <v>3042</v>
      </c>
      <c r="B136" s="3">
        <f>+E129</f>
        <v>8</v>
      </c>
      <c r="C136" s="3">
        <f>+C133</f>
        <v>4</v>
      </c>
      <c r="D136" s="3">
        <f>+D133</f>
        <v>2.0399999999999636</v>
      </c>
      <c r="E136" s="3">
        <v>0</v>
      </c>
      <c r="F136" s="3">
        <f>B136*(3*D136+C136)*0.3</f>
        <v>24.287999999999737</v>
      </c>
      <c r="G136" s="3">
        <v>0</v>
      </c>
      <c r="H136" s="3">
        <v>0</v>
      </c>
      <c r="I136" s="54">
        <f t="shared" si="18"/>
        <v>24.287999999999737</v>
      </c>
    </row>
    <row r="137" spans="1:9" x14ac:dyDescent="0.3">
      <c r="A137" t="s">
        <v>13327</v>
      </c>
      <c r="B137" s="3">
        <v>0</v>
      </c>
      <c r="C137" s="3">
        <v>0</v>
      </c>
      <c r="D137" s="3">
        <v>0</v>
      </c>
      <c r="E137" s="3">
        <v>0</v>
      </c>
      <c r="F137" s="3">
        <f>+F136</f>
        <v>24.287999999999737</v>
      </c>
      <c r="G137" s="3">
        <v>0</v>
      </c>
      <c r="H137" s="3">
        <v>0</v>
      </c>
      <c r="I137" s="54">
        <f t="shared" si="18"/>
        <v>24.287999999999737</v>
      </c>
    </row>
    <row r="138" spans="1:9" x14ac:dyDescent="0.3">
      <c r="A138" t="s">
        <v>13372</v>
      </c>
      <c r="B138" s="3">
        <f>+E129</f>
        <v>8</v>
      </c>
      <c r="C138" s="3">
        <f>+C136</f>
        <v>4</v>
      </c>
      <c r="D138" s="3">
        <f>+D136</f>
        <v>2.0399999999999636</v>
      </c>
      <c r="E138" s="3">
        <f>B138*(3*D138+C138)*2</f>
        <v>161.91999999999825</v>
      </c>
      <c r="F138" s="3">
        <v>0</v>
      </c>
      <c r="G138" s="3">
        <v>0</v>
      </c>
      <c r="H138" s="3">
        <v>0</v>
      </c>
      <c r="I138" s="54">
        <f>SUM(E138:H138)</f>
        <v>161.91999999999825</v>
      </c>
    </row>
    <row r="139" spans="1:9" x14ac:dyDescent="0.3">
      <c r="A139" t="s">
        <v>13373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f>+F136*120</f>
        <v>2914.5599999999686</v>
      </c>
      <c r="H139" s="3">
        <v>0</v>
      </c>
      <c r="I139" s="54">
        <f t="shared" ref="I139:I141" si="19">SUM(E139:H139)</f>
        <v>2914.5599999999686</v>
      </c>
    </row>
    <row r="140" spans="1:9" x14ac:dyDescent="0.3">
      <c r="A140" t="s">
        <v>13374</v>
      </c>
      <c r="B140" s="3">
        <v>0</v>
      </c>
      <c r="C140" s="3">
        <f>+C138</f>
        <v>4</v>
      </c>
      <c r="D140" s="3">
        <v>0</v>
      </c>
      <c r="E140" s="3">
        <v>0</v>
      </c>
      <c r="F140" s="3">
        <v>0</v>
      </c>
      <c r="G140" s="3">
        <v>0</v>
      </c>
      <c r="H140" s="3">
        <f>+C140*4</f>
        <v>16</v>
      </c>
      <c r="I140" s="54">
        <f t="shared" si="19"/>
        <v>16</v>
      </c>
    </row>
    <row r="141" spans="1:9" x14ac:dyDescent="0.3">
      <c r="A141" t="s">
        <v>13375</v>
      </c>
      <c r="B141" s="3">
        <f>+E129</f>
        <v>8</v>
      </c>
      <c r="C141" s="3">
        <v>0</v>
      </c>
      <c r="D141" s="3">
        <v>0</v>
      </c>
      <c r="E141" s="3">
        <f>+B141*2*2.2</f>
        <v>35.200000000000003</v>
      </c>
      <c r="F141" s="3">
        <v>0</v>
      </c>
      <c r="G141" s="3">
        <v>0</v>
      </c>
      <c r="H141" s="3">
        <v>0</v>
      </c>
      <c r="I141" s="54">
        <f t="shared" si="19"/>
        <v>35.200000000000003</v>
      </c>
    </row>
    <row r="143" spans="1:9" x14ac:dyDescent="0.3">
      <c r="A143" t="s">
        <v>13135</v>
      </c>
      <c r="B143" t="str">
        <f>+'Ficha EC'!A18</f>
        <v>EC3 - CP3a</v>
      </c>
      <c r="D143" t="s">
        <v>13269</v>
      </c>
      <c r="E143" s="3">
        <f>+'Ficha EC'!B18</f>
        <v>8</v>
      </c>
      <c r="F143" t="s">
        <v>13270</v>
      </c>
    </row>
    <row r="144" spans="1:9" x14ac:dyDescent="0.3">
      <c r="A144" s="51"/>
      <c r="B144" s="52" t="s">
        <v>13328</v>
      </c>
      <c r="C144" s="52" t="s">
        <v>13273</v>
      </c>
      <c r="D144" s="52" t="s">
        <v>13274</v>
      </c>
      <c r="E144" s="52" t="s">
        <v>13276</v>
      </c>
      <c r="F144" s="52" t="s">
        <v>13277</v>
      </c>
      <c r="G144" s="52" t="s">
        <v>13376</v>
      </c>
      <c r="H144" s="52" t="s">
        <v>13329</v>
      </c>
      <c r="I144" s="53" t="s">
        <v>13309</v>
      </c>
    </row>
    <row r="145" spans="1:9" x14ac:dyDescent="0.3">
      <c r="A145" t="s">
        <v>13322</v>
      </c>
      <c r="B145" s="3">
        <f>+E143</f>
        <v>8</v>
      </c>
      <c r="C145" s="3">
        <f>+'Ficha EC'!C18</f>
        <v>2.7</v>
      </c>
      <c r="D145" s="3">
        <f>+'Ficha EC'!F18</f>
        <v>1.3999999999999773</v>
      </c>
      <c r="E145" s="3">
        <f>+B145*(C145+20)</f>
        <v>181.6</v>
      </c>
      <c r="F145" s="3">
        <v>0</v>
      </c>
      <c r="G145" s="3">
        <v>0</v>
      </c>
      <c r="H145" s="3">
        <v>0</v>
      </c>
      <c r="I145" s="54">
        <f>SUM(E145:H145)</f>
        <v>181.6</v>
      </c>
    </row>
    <row r="146" spans="1:9" x14ac:dyDescent="0.3">
      <c r="A146" t="s">
        <v>13323</v>
      </c>
      <c r="B146" s="3">
        <f>+E143</f>
        <v>8</v>
      </c>
      <c r="C146" s="3">
        <f>+C145</f>
        <v>2.7</v>
      </c>
      <c r="D146" s="3">
        <f>+D145</f>
        <v>1.3999999999999773</v>
      </c>
      <c r="E146" s="3">
        <v>0</v>
      </c>
      <c r="F146" s="3">
        <f>+B146*(C146+5)*D146</f>
        <v>86.239999999998602</v>
      </c>
      <c r="G146" s="3">
        <v>0</v>
      </c>
      <c r="H146" s="3">
        <v>0</v>
      </c>
      <c r="I146" s="54">
        <f t="shared" ref="I146:I151" si="20">SUM(E146:H146)</f>
        <v>86.239999999998602</v>
      </c>
    </row>
    <row r="147" spans="1:9" x14ac:dyDescent="0.3">
      <c r="A147" t="s">
        <v>13271</v>
      </c>
      <c r="B147" s="3">
        <f>+E143</f>
        <v>8</v>
      </c>
      <c r="C147" s="3">
        <f>+C146</f>
        <v>2.7</v>
      </c>
      <c r="D147" s="3">
        <f>+D146</f>
        <v>1.3999999999999773</v>
      </c>
      <c r="E147" s="3">
        <v>0</v>
      </c>
      <c r="F147" s="3">
        <f>+B147*C147*D147</f>
        <v>30.239999999999512</v>
      </c>
      <c r="G147" s="3">
        <v>0</v>
      </c>
      <c r="H147" s="3">
        <v>0</v>
      </c>
      <c r="I147" s="54">
        <f t="shared" si="20"/>
        <v>30.239999999999512</v>
      </c>
    </row>
    <row r="148" spans="1:9" x14ac:dyDescent="0.3">
      <c r="A148" t="s">
        <v>13324</v>
      </c>
      <c r="B148" s="3">
        <v>0</v>
      </c>
      <c r="C148" s="3">
        <v>0</v>
      </c>
      <c r="D148" s="3">
        <v>0</v>
      </c>
      <c r="E148" s="3">
        <v>0</v>
      </c>
      <c r="F148" s="3">
        <f>(F146-F147)*1.4*5</f>
        <v>391.99999999999363</v>
      </c>
      <c r="G148" s="3">
        <v>0</v>
      </c>
      <c r="H148" s="3">
        <v>0</v>
      </c>
      <c r="I148" s="54">
        <f t="shared" si="20"/>
        <v>391.99999999999363</v>
      </c>
    </row>
    <row r="149" spans="1:9" s="60" customFormat="1" x14ac:dyDescent="0.3">
      <c r="A149" s="60" t="s">
        <v>14545</v>
      </c>
      <c r="B149" s="61">
        <f>+E143</f>
        <v>8</v>
      </c>
      <c r="C149" s="61">
        <f>+C146</f>
        <v>2.7</v>
      </c>
      <c r="D149" s="61">
        <v>0.1</v>
      </c>
      <c r="E149" s="61">
        <v>0</v>
      </c>
      <c r="F149" s="61">
        <f>B149*(3*D149+C149)*0.3</f>
        <v>7.1999999999999993</v>
      </c>
      <c r="G149" s="61">
        <v>0</v>
      </c>
      <c r="H149" s="61">
        <v>0</v>
      </c>
      <c r="I149" s="195">
        <f t="shared" si="20"/>
        <v>7.1999999999999993</v>
      </c>
    </row>
    <row r="150" spans="1:9" x14ac:dyDescent="0.3">
      <c r="A150" t="s">
        <v>3042</v>
      </c>
      <c r="B150" s="3">
        <f>+E143</f>
        <v>8</v>
      </c>
      <c r="C150" s="3">
        <f>+C147</f>
        <v>2.7</v>
      </c>
      <c r="D150" s="3">
        <f>+D147</f>
        <v>1.3999999999999773</v>
      </c>
      <c r="E150" s="3">
        <v>0</v>
      </c>
      <c r="F150" s="3">
        <f>B150*(3*D150+C150)*0.3</f>
        <v>16.559999999999835</v>
      </c>
      <c r="G150" s="3">
        <v>0</v>
      </c>
      <c r="H150" s="3">
        <v>0</v>
      </c>
      <c r="I150" s="54">
        <f t="shared" si="20"/>
        <v>16.559999999999835</v>
      </c>
    </row>
    <row r="151" spans="1:9" x14ac:dyDescent="0.3">
      <c r="A151" t="s">
        <v>13327</v>
      </c>
      <c r="B151" s="3">
        <v>0</v>
      </c>
      <c r="C151" s="3">
        <v>0</v>
      </c>
      <c r="D151" s="3">
        <v>0</v>
      </c>
      <c r="E151" s="3">
        <v>0</v>
      </c>
      <c r="F151" s="3">
        <f>+F150</f>
        <v>16.559999999999835</v>
      </c>
      <c r="G151" s="3">
        <v>0</v>
      </c>
      <c r="H151" s="3">
        <v>0</v>
      </c>
      <c r="I151" s="54">
        <f t="shared" si="20"/>
        <v>16.559999999999835</v>
      </c>
    </row>
    <row r="152" spans="1:9" x14ac:dyDescent="0.3">
      <c r="A152" t="s">
        <v>13372</v>
      </c>
      <c r="B152" s="3">
        <f>+E143</f>
        <v>8</v>
      </c>
      <c r="C152" s="3">
        <f>+C150</f>
        <v>2.7</v>
      </c>
      <c r="D152" s="3">
        <f>+D150</f>
        <v>1.3999999999999773</v>
      </c>
      <c r="E152" s="3">
        <f>B152*(3*D152+C152)*2</f>
        <v>110.39999999999891</v>
      </c>
      <c r="F152" s="3">
        <v>0</v>
      </c>
      <c r="G152" s="3">
        <v>0</v>
      </c>
      <c r="H152" s="3">
        <v>0</v>
      </c>
      <c r="I152" s="54">
        <f>SUM(E152:H152)</f>
        <v>110.39999999999891</v>
      </c>
    </row>
    <row r="153" spans="1:9" x14ac:dyDescent="0.3">
      <c r="A153" t="s">
        <v>13373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f>+F150*120</f>
        <v>1987.1999999999803</v>
      </c>
      <c r="H153" s="3">
        <v>0</v>
      </c>
      <c r="I153" s="54">
        <f t="shared" ref="I153:I155" si="21">SUM(E153:H153)</f>
        <v>1987.1999999999803</v>
      </c>
    </row>
    <row r="154" spans="1:9" x14ac:dyDescent="0.3">
      <c r="A154" t="s">
        <v>13374</v>
      </c>
      <c r="B154" s="3">
        <v>0</v>
      </c>
      <c r="C154" s="3">
        <f>+C152</f>
        <v>2.7</v>
      </c>
      <c r="D154" s="3">
        <v>0</v>
      </c>
      <c r="E154" s="3">
        <v>0</v>
      </c>
      <c r="F154" s="3">
        <v>0</v>
      </c>
      <c r="G154" s="3">
        <v>0</v>
      </c>
      <c r="H154" s="3">
        <f>+C154*4</f>
        <v>10.8</v>
      </c>
      <c r="I154" s="54">
        <f t="shared" si="21"/>
        <v>10.8</v>
      </c>
    </row>
    <row r="155" spans="1:9" x14ac:dyDescent="0.3">
      <c r="A155" t="s">
        <v>13375</v>
      </c>
      <c r="B155" s="3">
        <f>+E143</f>
        <v>8</v>
      </c>
      <c r="C155" s="3">
        <v>0</v>
      </c>
      <c r="D155" s="3">
        <v>0</v>
      </c>
      <c r="E155" s="3">
        <f>+B155*2*2.2</f>
        <v>35.200000000000003</v>
      </c>
      <c r="F155" s="3">
        <v>0</v>
      </c>
      <c r="G155" s="3">
        <v>0</v>
      </c>
      <c r="H155" s="3">
        <v>0</v>
      </c>
      <c r="I155" s="54">
        <f t="shared" si="21"/>
        <v>35.200000000000003</v>
      </c>
    </row>
    <row r="157" spans="1:9" x14ac:dyDescent="0.3">
      <c r="A157" t="s">
        <v>13135</v>
      </c>
      <c r="B157" t="str">
        <f>+'Ficha EC'!A19</f>
        <v>EC4 - CS25</v>
      </c>
      <c r="D157" t="s">
        <v>13269</v>
      </c>
      <c r="E157" s="3">
        <f>+'Ficha EC'!B19</f>
        <v>8</v>
      </c>
      <c r="F157" t="s">
        <v>13270</v>
      </c>
    </row>
    <row r="158" spans="1:9" x14ac:dyDescent="0.3">
      <c r="A158" s="51"/>
      <c r="B158" s="52" t="s">
        <v>13328</v>
      </c>
      <c r="C158" s="52" t="s">
        <v>13273</v>
      </c>
      <c r="D158" s="52" t="s">
        <v>13274</v>
      </c>
      <c r="E158" s="52" t="s">
        <v>13276</v>
      </c>
      <c r="F158" s="52" t="s">
        <v>13277</v>
      </c>
      <c r="G158" s="52" t="s">
        <v>13376</v>
      </c>
      <c r="H158" s="52" t="s">
        <v>13329</v>
      </c>
      <c r="I158" s="53" t="s">
        <v>13309</v>
      </c>
    </row>
    <row r="159" spans="1:9" x14ac:dyDescent="0.3">
      <c r="A159" t="s">
        <v>13322</v>
      </c>
      <c r="B159" s="3">
        <f>+E157</f>
        <v>8</v>
      </c>
      <c r="C159" s="3">
        <f>+'Ficha EC'!C19</f>
        <v>2.1</v>
      </c>
      <c r="D159" s="3">
        <f>+'Ficha EC'!F19</f>
        <v>1.1800000000000068</v>
      </c>
      <c r="E159" s="3">
        <f>+B159*(C159+20)</f>
        <v>176.8</v>
      </c>
      <c r="F159" s="3">
        <v>0</v>
      </c>
      <c r="G159" s="3">
        <v>0</v>
      </c>
      <c r="H159" s="3">
        <v>0</v>
      </c>
      <c r="I159" s="54">
        <f>SUM(E159:H159)</f>
        <v>176.8</v>
      </c>
    </row>
    <row r="160" spans="1:9" x14ac:dyDescent="0.3">
      <c r="A160" t="s">
        <v>13323</v>
      </c>
      <c r="B160" s="3">
        <f>+E157</f>
        <v>8</v>
      </c>
      <c r="C160" s="3">
        <f>+C159</f>
        <v>2.1</v>
      </c>
      <c r="D160" s="3">
        <f>+D159</f>
        <v>1.1800000000000068</v>
      </c>
      <c r="E160" s="3">
        <v>0</v>
      </c>
      <c r="F160" s="3">
        <f>+B160*(C160+5)*D160</f>
        <v>67.024000000000385</v>
      </c>
      <c r="G160" s="3">
        <v>0</v>
      </c>
      <c r="H160" s="3">
        <v>0</v>
      </c>
      <c r="I160" s="54">
        <f t="shared" ref="I160:I165" si="22">SUM(E160:H160)</f>
        <v>67.024000000000385</v>
      </c>
    </row>
    <row r="161" spans="1:9" x14ac:dyDescent="0.3">
      <c r="A161" t="s">
        <v>13271</v>
      </c>
      <c r="B161" s="3">
        <f>+E157</f>
        <v>8</v>
      </c>
      <c r="C161" s="3">
        <f>+C160</f>
        <v>2.1</v>
      </c>
      <c r="D161" s="3">
        <f>+D160</f>
        <v>1.1800000000000068</v>
      </c>
      <c r="E161" s="3">
        <v>0</v>
      </c>
      <c r="F161" s="3">
        <f>+B161*C161*D161</f>
        <v>19.824000000000115</v>
      </c>
      <c r="G161" s="3">
        <v>0</v>
      </c>
      <c r="H161" s="3">
        <v>0</v>
      </c>
      <c r="I161" s="54">
        <f t="shared" si="22"/>
        <v>19.824000000000115</v>
      </c>
    </row>
    <row r="162" spans="1:9" x14ac:dyDescent="0.3">
      <c r="A162" t="s">
        <v>13324</v>
      </c>
      <c r="B162" s="3">
        <v>0</v>
      </c>
      <c r="C162" s="3">
        <v>0</v>
      </c>
      <c r="D162" s="3">
        <v>0</v>
      </c>
      <c r="E162" s="3">
        <v>0</v>
      </c>
      <c r="F162" s="3">
        <f>(F160-F161)*1.4*5</f>
        <v>330.40000000000191</v>
      </c>
      <c r="G162" s="3">
        <v>0</v>
      </c>
      <c r="H162" s="3">
        <v>0</v>
      </c>
      <c r="I162" s="54">
        <f t="shared" si="22"/>
        <v>330.40000000000191</v>
      </c>
    </row>
    <row r="163" spans="1:9" s="60" customFormat="1" x14ac:dyDescent="0.3">
      <c r="A163" s="60" t="s">
        <v>14545</v>
      </c>
      <c r="B163" s="61">
        <f>+E157</f>
        <v>8</v>
      </c>
      <c r="C163" s="61">
        <f>+C160</f>
        <v>2.1</v>
      </c>
      <c r="D163" s="61">
        <v>0.1</v>
      </c>
      <c r="E163" s="61">
        <v>0</v>
      </c>
      <c r="F163" s="61">
        <f>B163*(3*D163+C163)*0.3</f>
        <v>5.7600000000000007</v>
      </c>
      <c r="G163" s="61">
        <v>0</v>
      </c>
      <c r="H163" s="61">
        <v>0</v>
      </c>
      <c r="I163" s="195">
        <f t="shared" si="22"/>
        <v>5.7600000000000007</v>
      </c>
    </row>
    <row r="164" spans="1:9" x14ac:dyDescent="0.3">
      <c r="A164" t="s">
        <v>3042</v>
      </c>
      <c r="B164" s="3">
        <f>+E157</f>
        <v>8</v>
      </c>
      <c r="C164" s="3">
        <f>+C161</f>
        <v>2.1</v>
      </c>
      <c r="D164" s="3">
        <f>+D161</f>
        <v>1.1800000000000068</v>
      </c>
      <c r="E164" s="3">
        <v>0</v>
      </c>
      <c r="F164" s="3">
        <f>B164*(3*D164+C164)*0.3</f>
        <v>13.536000000000048</v>
      </c>
      <c r="G164" s="3">
        <v>0</v>
      </c>
      <c r="H164" s="3">
        <v>0</v>
      </c>
      <c r="I164" s="54">
        <f t="shared" si="22"/>
        <v>13.536000000000048</v>
      </c>
    </row>
    <row r="165" spans="1:9" x14ac:dyDescent="0.3">
      <c r="A165" t="s">
        <v>13327</v>
      </c>
      <c r="B165" s="3">
        <v>0</v>
      </c>
      <c r="C165" s="3">
        <v>0</v>
      </c>
      <c r="D165" s="3">
        <v>0</v>
      </c>
      <c r="E165" s="3">
        <v>0</v>
      </c>
      <c r="F165" s="3">
        <f>+F164</f>
        <v>13.536000000000048</v>
      </c>
      <c r="G165" s="3">
        <v>0</v>
      </c>
      <c r="H165" s="3">
        <v>0</v>
      </c>
      <c r="I165" s="54">
        <f t="shared" si="22"/>
        <v>13.536000000000048</v>
      </c>
    </row>
    <row r="166" spans="1:9" x14ac:dyDescent="0.3">
      <c r="A166" t="s">
        <v>13372</v>
      </c>
      <c r="B166" s="3">
        <f>+E157</f>
        <v>8</v>
      </c>
      <c r="C166" s="3">
        <f>+C164</f>
        <v>2.1</v>
      </c>
      <c r="D166" s="3">
        <f>+D164</f>
        <v>1.1800000000000068</v>
      </c>
      <c r="E166" s="3">
        <f>B166*(3*D166+C166)*2</f>
        <v>90.240000000000322</v>
      </c>
      <c r="F166" s="3">
        <v>0</v>
      </c>
      <c r="G166" s="3">
        <v>0</v>
      </c>
      <c r="H166" s="3">
        <v>0</v>
      </c>
      <c r="I166" s="54">
        <f>SUM(E166:H166)</f>
        <v>90.240000000000322</v>
      </c>
    </row>
    <row r="167" spans="1:9" x14ac:dyDescent="0.3">
      <c r="A167" t="s">
        <v>13373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f>+F164*120</f>
        <v>1624.3200000000056</v>
      </c>
      <c r="H167" s="3">
        <v>0</v>
      </c>
      <c r="I167" s="54">
        <f t="shared" ref="I167:I169" si="23">SUM(E167:H167)</f>
        <v>1624.3200000000056</v>
      </c>
    </row>
    <row r="168" spans="1:9" x14ac:dyDescent="0.3">
      <c r="A168" t="s">
        <v>13374</v>
      </c>
      <c r="B168" s="3">
        <v>0</v>
      </c>
      <c r="C168" s="3">
        <f>+C166</f>
        <v>2.1</v>
      </c>
      <c r="D168" s="3">
        <v>0</v>
      </c>
      <c r="E168" s="3">
        <v>0</v>
      </c>
      <c r="F168" s="3">
        <v>0</v>
      </c>
      <c r="G168" s="3">
        <v>0</v>
      </c>
      <c r="H168" s="3">
        <f>+C168*4</f>
        <v>8.4</v>
      </c>
      <c r="I168" s="54">
        <f t="shared" si="23"/>
        <v>8.4</v>
      </c>
    </row>
    <row r="169" spans="1:9" x14ac:dyDescent="0.3">
      <c r="A169" t="s">
        <v>13375</v>
      </c>
      <c r="B169" s="3">
        <f>+E157</f>
        <v>8</v>
      </c>
      <c r="C169" s="3">
        <v>0</v>
      </c>
      <c r="D169" s="3">
        <v>0</v>
      </c>
      <c r="E169" s="3">
        <f>+B169*2*2.2</f>
        <v>35.200000000000003</v>
      </c>
      <c r="F169" s="3">
        <v>0</v>
      </c>
      <c r="G169" s="3">
        <v>0</v>
      </c>
      <c r="H169" s="3">
        <v>0</v>
      </c>
      <c r="I169" s="54">
        <f t="shared" si="23"/>
        <v>35.200000000000003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15779-78AA-44BB-B529-BDA9773BF543}">
  <dimension ref="A1:F26"/>
  <sheetViews>
    <sheetView workbookViewId="0"/>
  </sheetViews>
  <sheetFormatPr defaultRowHeight="14.4" x14ac:dyDescent="0.3"/>
  <cols>
    <col min="1" max="1" width="14.109375" customWidth="1"/>
    <col min="5" max="5" width="10.6640625" bestFit="1" customWidth="1"/>
  </cols>
  <sheetData>
    <row r="1" spans="1:6" x14ac:dyDescent="0.3">
      <c r="A1" t="s">
        <v>13943</v>
      </c>
    </row>
    <row r="3" spans="1:6" x14ac:dyDescent="0.3">
      <c r="A3" t="s">
        <v>13957</v>
      </c>
    </row>
    <row r="5" spans="1:6" x14ac:dyDescent="0.3">
      <c r="A5" t="s">
        <v>13944</v>
      </c>
      <c r="E5" s="3">
        <f>7*5*250</f>
        <v>8750</v>
      </c>
      <c r="F5" t="s">
        <v>427</v>
      </c>
    </row>
    <row r="6" spans="1:6" x14ac:dyDescent="0.3">
      <c r="A6" t="s">
        <v>13945</v>
      </c>
      <c r="E6" s="3">
        <f>4*4*250</f>
        <v>4000</v>
      </c>
      <c r="F6" t="s">
        <v>427</v>
      </c>
    </row>
    <row r="7" spans="1:6" x14ac:dyDescent="0.3">
      <c r="A7" t="s">
        <v>13946</v>
      </c>
      <c r="E7" s="47">
        <f>+E5-E6</f>
        <v>4750</v>
      </c>
      <c r="F7" t="s">
        <v>427</v>
      </c>
    </row>
    <row r="8" spans="1:6" x14ac:dyDescent="0.3">
      <c r="A8" t="s">
        <v>13947</v>
      </c>
      <c r="E8" s="3">
        <f>7*0.3*250</f>
        <v>525</v>
      </c>
      <c r="F8" t="s">
        <v>427</v>
      </c>
    </row>
    <row r="9" spans="1:6" x14ac:dyDescent="0.3">
      <c r="A9" t="s">
        <v>13948</v>
      </c>
      <c r="E9" s="3">
        <f>7*2*250</f>
        <v>3500</v>
      </c>
      <c r="F9" t="s">
        <v>2904</v>
      </c>
    </row>
    <row r="10" spans="1:6" x14ac:dyDescent="0.3">
      <c r="A10" t="s">
        <v>13949</v>
      </c>
      <c r="E10" s="47">
        <f>120*E8</f>
        <v>63000</v>
      </c>
      <c r="F10" t="s">
        <v>210</v>
      </c>
    </row>
    <row r="16" spans="1:6" x14ac:dyDescent="0.3">
      <c r="A16" t="s">
        <v>13958</v>
      </c>
    </row>
    <row r="18" spans="1:6" x14ac:dyDescent="0.3">
      <c r="A18" t="s">
        <v>13959</v>
      </c>
    </row>
    <row r="19" spans="1:6" x14ac:dyDescent="0.3">
      <c r="A19" t="s">
        <v>13960</v>
      </c>
    </row>
    <row r="20" spans="1:6" x14ac:dyDescent="0.3">
      <c r="A20" t="s">
        <v>13961</v>
      </c>
    </row>
    <row r="22" spans="1:6" x14ac:dyDescent="0.3">
      <c r="A22" t="s">
        <v>13962</v>
      </c>
      <c r="E22" s="3">
        <f>5*2*49</f>
        <v>490</v>
      </c>
      <c r="F22" t="s">
        <v>427</v>
      </c>
    </row>
    <row r="23" spans="1:6" x14ac:dyDescent="0.3">
      <c r="A23" t="s">
        <v>13963</v>
      </c>
      <c r="E23" s="3">
        <f>+E22</f>
        <v>490</v>
      </c>
      <c r="F23" t="s">
        <v>427</v>
      </c>
    </row>
    <row r="24" spans="1:6" x14ac:dyDescent="0.3">
      <c r="A24" t="s">
        <v>13964</v>
      </c>
      <c r="E24" s="3">
        <v>198.45</v>
      </c>
      <c r="F24" t="s">
        <v>427</v>
      </c>
    </row>
    <row r="25" spans="1:6" x14ac:dyDescent="0.3">
      <c r="A25" t="s">
        <v>13965</v>
      </c>
      <c r="E25" s="3">
        <f>+E24/0.3*2</f>
        <v>1323</v>
      </c>
      <c r="F25" t="s">
        <v>2904</v>
      </c>
    </row>
    <row r="26" spans="1:6" x14ac:dyDescent="0.3">
      <c r="A26" t="s">
        <v>13949</v>
      </c>
      <c r="E26" s="47">
        <f>120*E24</f>
        <v>23814</v>
      </c>
      <c r="F26" t="s">
        <v>210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DBAA-C186-4B1D-84C1-7D6A820393DD}">
  <sheetPr>
    <pageSetUpPr fitToPage="1"/>
  </sheetPr>
  <dimension ref="A1:W327"/>
  <sheetViews>
    <sheetView zoomScale="110" zoomScaleNormal="110" workbookViewId="0"/>
  </sheetViews>
  <sheetFormatPr defaultRowHeight="14.4" x14ac:dyDescent="0.3"/>
  <cols>
    <col min="2" max="2" width="10.88671875" bestFit="1" customWidth="1"/>
    <col min="7" max="7" width="12.6640625" customWidth="1"/>
    <col min="8" max="8" width="9.5546875" bestFit="1" customWidth="1"/>
    <col min="14" max="14" width="12.109375" customWidth="1"/>
    <col min="15" max="15" width="14.109375" bestFit="1" customWidth="1"/>
    <col min="16" max="17" width="16.109375" bestFit="1" customWidth="1"/>
    <col min="18" max="18" width="15.6640625" bestFit="1" customWidth="1"/>
    <col min="19" max="19" width="14.88671875" bestFit="1" customWidth="1"/>
    <col min="20" max="20" width="15.109375" bestFit="1" customWidth="1"/>
    <col min="21" max="21" width="9.109375" bestFit="1" customWidth="1"/>
    <col min="22" max="22" width="16.44140625" bestFit="1" customWidth="1"/>
    <col min="23" max="23" width="17.88671875" bestFit="1" customWidth="1"/>
  </cols>
  <sheetData>
    <row r="1" spans="1:23" x14ac:dyDescent="0.3">
      <c r="A1" t="s">
        <v>13943</v>
      </c>
      <c r="N1" t="s">
        <v>14325</v>
      </c>
    </row>
    <row r="2" spans="1:23" x14ac:dyDescent="0.3">
      <c r="A2" t="s">
        <v>14294</v>
      </c>
    </row>
    <row r="3" spans="1:23" x14ac:dyDescent="0.3">
      <c r="N3" s="127"/>
      <c r="O3" s="350" t="s">
        <v>21</v>
      </c>
      <c r="P3" s="351"/>
      <c r="Q3" s="351"/>
      <c r="R3" s="351"/>
      <c r="S3" s="351"/>
      <c r="T3" s="351"/>
      <c r="U3" s="351"/>
      <c r="V3" s="351"/>
      <c r="W3" s="352"/>
    </row>
    <row r="4" spans="1:23" x14ac:dyDescent="0.3">
      <c r="N4" s="127"/>
      <c r="O4" s="127" t="str">
        <f>+A15</f>
        <v>GT1 - CS19-Trecho 5</v>
      </c>
      <c r="P4" s="272" t="str">
        <f>+A38</f>
        <v>GT2 - CT1-S19-Trecho 1</v>
      </c>
      <c r="Q4" s="272" t="str">
        <f>+A61</f>
        <v>GT3 - CT1-S19-Trecho 2</v>
      </c>
      <c r="R4" s="127" t="str">
        <f>+A84</f>
        <v>GT1 - CS21a-Trecho 5</v>
      </c>
      <c r="S4" s="272" t="str">
        <f>+A107</f>
        <v>GT1 - CS21a-Trecho 6</v>
      </c>
      <c r="T4" s="127" t="str">
        <f>+A169</f>
        <v>GTD1 - CS19-Trecho 1</v>
      </c>
      <c r="U4" s="127" t="str">
        <f>+A192</f>
        <v>GTD1 - CS21</v>
      </c>
      <c r="V4" s="127" t="str">
        <f>+A215</f>
        <v>GTD2 - CS21a - Trecho 1</v>
      </c>
      <c r="W4" s="127" t="str">
        <f>+A238</f>
        <v>GTD3 - CS21a - Trecho 3.1</v>
      </c>
    </row>
    <row r="5" spans="1:23" x14ac:dyDescent="0.3">
      <c r="N5" s="127" t="s">
        <v>13330</v>
      </c>
      <c r="O5" s="130">
        <f>+H17</f>
        <v>63.275999999999996</v>
      </c>
      <c r="P5" s="273">
        <f>+H40</f>
        <v>0</v>
      </c>
      <c r="Q5" s="273">
        <f>+H63</f>
        <v>0</v>
      </c>
      <c r="R5" s="129">
        <f>+H86</f>
        <v>87.311999999999998</v>
      </c>
      <c r="S5" s="273">
        <f>+H109</f>
        <v>0</v>
      </c>
      <c r="T5" s="129">
        <f>+H171</f>
        <v>210.52719999999999</v>
      </c>
      <c r="U5" s="129">
        <v>210.52719999999999</v>
      </c>
      <c r="V5" s="129">
        <v>210.52719999999999</v>
      </c>
      <c r="W5" s="129">
        <f>+H240</f>
        <v>151.10400000000001</v>
      </c>
    </row>
    <row r="6" spans="1:23" x14ac:dyDescent="0.3">
      <c r="N6" s="127" t="s">
        <v>13310</v>
      </c>
      <c r="O6" s="130">
        <f>+H25</f>
        <v>23.72999999999999</v>
      </c>
      <c r="P6" s="273">
        <f>+H48</f>
        <v>0</v>
      </c>
      <c r="Q6" s="273">
        <f>+H71</f>
        <v>0</v>
      </c>
      <c r="R6" s="129">
        <f>+H94</f>
        <v>41.58</v>
      </c>
      <c r="S6" s="273">
        <f>+H117</f>
        <v>0</v>
      </c>
      <c r="T6" s="129">
        <f>+H179</f>
        <v>51.519999999999982</v>
      </c>
      <c r="U6" s="129">
        <v>51.519999999999982</v>
      </c>
      <c r="V6" s="129">
        <v>51.519999999999982</v>
      </c>
      <c r="W6" s="129">
        <f>+H248</f>
        <v>41.16</v>
      </c>
    </row>
    <row r="7" spans="1:23" x14ac:dyDescent="0.3">
      <c r="N7" s="127" t="s">
        <v>13324</v>
      </c>
      <c r="O7" s="130">
        <f>+H21</f>
        <v>276.822</v>
      </c>
      <c r="P7" s="273">
        <f>+H44</f>
        <v>0</v>
      </c>
      <c r="Q7" s="273">
        <f>+H67</f>
        <v>0</v>
      </c>
      <c r="R7" s="129">
        <f>+H90</f>
        <v>320.12400000000002</v>
      </c>
      <c r="S7" s="273">
        <f>+H113</f>
        <v>0</v>
      </c>
      <c r="T7" s="129">
        <f>+H175</f>
        <v>1113.0504000000001</v>
      </c>
      <c r="U7" s="129">
        <v>1113.0504000000001</v>
      </c>
      <c r="V7" s="129">
        <v>1113.0504000000001</v>
      </c>
      <c r="W7" s="129">
        <f>+H244</f>
        <v>769.60799999999995</v>
      </c>
    </row>
    <row r="8" spans="1:23" x14ac:dyDescent="0.3">
      <c r="N8" s="127" t="s">
        <v>3042</v>
      </c>
      <c r="O8" s="130">
        <f>+H27</f>
        <v>22.020000000000003</v>
      </c>
      <c r="P8" s="273">
        <f>+H50</f>
        <v>0</v>
      </c>
      <c r="Q8" s="273">
        <f>+H73</f>
        <v>0</v>
      </c>
      <c r="R8" s="129">
        <f>+H96</f>
        <v>21.623999999999999</v>
      </c>
      <c r="S8" s="273">
        <f>+H119</f>
        <v>0</v>
      </c>
      <c r="T8" s="129">
        <f>+H181</f>
        <v>60.72</v>
      </c>
      <c r="U8" s="129">
        <v>60.72</v>
      </c>
      <c r="V8" s="129">
        <v>60.72</v>
      </c>
      <c r="W8" s="129">
        <f>+H250</f>
        <v>47.519999999999996</v>
      </c>
    </row>
    <row r="9" spans="1:23" x14ac:dyDescent="0.3">
      <c r="L9" t="s">
        <v>14622</v>
      </c>
      <c r="N9" s="127" t="s">
        <v>13327</v>
      </c>
      <c r="O9" s="130">
        <f t="shared" ref="O9:T9" si="0">+O8</f>
        <v>22.020000000000003</v>
      </c>
      <c r="P9" s="273">
        <f t="shared" si="0"/>
        <v>0</v>
      </c>
      <c r="Q9" s="273">
        <f t="shared" si="0"/>
        <v>0</v>
      </c>
      <c r="R9" s="129">
        <f t="shared" si="0"/>
        <v>21.623999999999999</v>
      </c>
      <c r="S9" s="273">
        <f t="shared" si="0"/>
        <v>0</v>
      </c>
      <c r="T9" s="129">
        <f t="shared" si="0"/>
        <v>60.72</v>
      </c>
      <c r="U9" s="129">
        <v>60.72</v>
      </c>
      <c r="V9" s="129">
        <v>60.72</v>
      </c>
      <c r="W9" s="129">
        <f>+H254</f>
        <v>88.2</v>
      </c>
    </row>
    <row r="10" spans="1:23" x14ac:dyDescent="0.3">
      <c r="N10" s="127" t="s">
        <v>13372</v>
      </c>
      <c r="O10" s="130">
        <f>+H31</f>
        <v>76.3</v>
      </c>
      <c r="P10" s="273">
        <f>+H54</f>
        <v>0</v>
      </c>
      <c r="Q10" s="273">
        <f>+H77</f>
        <v>0</v>
      </c>
      <c r="R10" s="129">
        <f>+H100</f>
        <v>65.8</v>
      </c>
      <c r="S10" s="273">
        <f>+H123</f>
        <v>0</v>
      </c>
      <c r="T10" s="129">
        <f>+H185</f>
        <v>117.60000000000001</v>
      </c>
      <c r="U10" s="129">
        <v>117.60000000000001</v>
      </c>
      <c r="V10" s="129">
        <v>117.60000000000001</v>
      </c>
      <c r="W10" s="129">
        <f>+W9</f>
        <v>88.2</v>
      </c>
    </row>
    <row r="11" spans="1:23" x14ac:dyDescent="0.3">
      <c r="N11" s="127" t="s">
        <v>14327</v>
      </c>
      <c r="O11" s="130">
        <f>+H33</f>
        <v>2642.4000000000005</v>
      </c>
      <c r="P11" s="273">
        <f>+H56</f>
        <v>0</v>
      </c>
      <c r="Q11" s="273">
        <f>+H79</f>
        <v>0</v>
      </c>
      <c r="R11" s="129">
        <f>+H102</f>
        <v>2594.8799999999997</v>
      </c>
      <c r="S11" s="273">
        <f>+H125</f>
        <v>0</v>
      </c>
      <c r="T11" s="129">
        <f>+H187</f>
        <v>7286.4</v>
      </c>
      <c r="U11" s="129">
        <v>7286.4</v>
      </c>
      <c r="V11" s="129">
        <v>7286.4</v>
      </c>
      <c r="W11" s="129">
        <f>+H256</f>
        <v>5702.4</v>
      </c>
    </row>
    <row r="12" spans="1:23" x14ac:dyDescent="0.3">
      <c r="N12" s="127" t="s">
        <v>13278</v>
      </c>
      <c r="O12" s="130">
        <f>+H35</f>
        <v>14.8</v>
      </c>
      <c r="P12" s="273">
        <f>+H58</f>
        <v>0</v>
      </c>
      <c r="Q12" s="273">
        <f>+H81</f>
        <v>0</v>
      </c>
      <c r="R12" s="129">
        <f>+H104</f>
        <v>16</v>
      </c>
      <c r="S12" s="273">
        <f>+H127</f>
        <v>0</v>
      </c>
      <c r="T12" s="129">
        <f>+H189</f>
        <v>26.4</v>
      </c>
      <c r="U12" s="129">
        <v>26.4</v>
      </c>
      <c r="V12" s="129">
        <v>26.4</v>
      </c>
      <c r="W12" s="129">
        <f>+H258</f>
        <v>21.6</v>
      </c>
    </row>
    <row r="14" spans="1:23" x14ac:dyDescent="0.3">
      <c r="A14" t="s">
        <v>21</v>
      </c>
      <c r="N14" s="127"/>
      <c r="O14" s="350" t="s">
        <v>13135</v>
      </c>
      <c r="P14" s="351"/>
      <c r="Q14" s="351"/>
      <c r="R14" s="351"/>
      <c r="S14" s="131"/>
      <c r="T14" s="21"/>
      <c r="U14" s="21"/>
      <c r="V14" s="21"/>
      <c r="W14" s="21"/>
    </row>
    <row r="15" spans="1:23" x14ac:dyDescent="0.3">
      <c r="A15" t="s">
        <v>14296</v>
      </c>
      <c r="D15" t="s">
        <v>14299</v>
      </c>
      <c r="F15" s="50">
        <f>2.4/1.5</f>
        <v>1.5999999999999999</v>
      </c>
      <c r="H15" t="s">
        <v>14300</v>
      </c>
      <c r="K15" s="50">
        <f>2*1.3</f>
        <v>2.6</v>
      </c>
      <c r="N15" s="127"/>
      <c r="O15" s="127" t="str">
        <f>+A130</f>
        <v>GT1 - CS27</v>
      </c>
      <c r="P15" s="127" t="str">
        <f>+A261</f>
        <v>GTD1 - CP3 - Trecho 2</v>
      </c>
      <c r="Q15" s="127" t="str">
        <f>+A284</f>
        <v>GTD2 - CP3a - Trecho 2</v>
      </c>
      <c r="R15" s="127" t="str">
        <f>+A307</f>
        <v>GTD3 - CS25 - Trecho 1</v>
      </c>
      <c r="S15" s="131"/>
      <c r="T15" s="21"/>
      <c r="U15" s="21"/>
      <c r="V15" s="21"/>
      <c r="W15" s="21"/>
    </row>
    <row r="16" spans="1:23" x14ac:dyDescent="0.3">
      <c r="F16" s="121"/>
      <c r="K16" s="121"/>
      <c r="N16" s="127" t="s">
        <v>13330</v>
      </c>
      <c r="O16" s="130">
        <f>+H132</f>
        <v>37.716250000000002</v>
      </c>
      <c r="P16" s="129">
        <f>+H263</f>
        <v>184.35199999999998</v>
      </c>
      <c r="Q16" s="129">
        <f>+H286</f>
        <v>164.76148000000001</v>
      </c>
      <c r="R16" s="130">
        <v>210.52719999999999</v>
      </c>
      <c r="S16" s="131"/>
      <c r="T16" s="21"/>
      <c r="U16" s="21"/>
      <c r="V16" s="21"/>
      <c r="W16" s="21"/>
    </row>
    <row r="17" spans="1:23" x14ac:dyDescent="0.3">
      <c r="A17" s="122" t="s">
        <v>14297</v>
      </c>
      <c r="B17" s="123"/>
      <c r="C17" s="123"/>
      <c r="D17" s="123"/>
      <c r="E17" s="123"/>
      <c r="F17" s="123"/>
      <c r="G17" s="123"/>
      <c r="H17" s="124">
        <f>SUM(H18:H19)</f>
        <v>63.275999999999996</v>
      </c>
      <c r="N17" s="127" t="s">
        <v>13310</v>
      </c>
      <c r="O17" s="130">
        <f>+H140</f>
        <v>19.565000000000001</v>
      </c>
      <c r="P17" s="129">
        <f>+H271</f>
        <v>49</v>
      </c>
      <c r="Q17" s="129">
        <f>+H294</f>
        <v>114.29600000000001</v>
      </c>
      <c r="R17" s="130">
        <v>51.519999999999982</v>
      </c>
      <c r="S17" s="131"/>
      <c r="T17" s="21"/>
      <c r="U17" s="21"/>
      <c r="V17" s="21"/>
      <c r="W17" s="21"/>
    </row>
    <row r="18" spans="1:23" x14ac:dyDescent="0.3">
      <c r="B18" t="s">
        <v>14298</v>
      </c>
      <c r="D18" t="s">
        <v>14315</v>
      </c>
      <c r="H18" s="3">
        <f>2*(2.6+1.3)/2*1.6*2.4</f>
        <v>14.976000000000003</v>
      </c>
      <c r="N18" s="127" t="s">
        <v>13324</v>
      </c>
      <c r="O18" s="130">
        <f>+H136</f>
        <v>127.05875</v>
      </c>
      <c r="P18" s="129">
        <f>+H267</f>
        <v>947.46399999999994</v>
      </c>
      <c r="Q18" s="129">
        <f>+H290</f>
        <v>353.25836000000004</v>
      </c>
      <c r="R18" s="130">
        <v>1113.0504000000001</v>
      </c>
      <c r="S18" s="131"/>
      <c r="T18" s="21"/>
      <c r="U18" s="21"/>
      <c r="V18" s="21"/>
      <c r="W18" s="21"/>
    </row>
    <row r="19" spans="1:23" x14ac:dyDescent="0.3">
      <c r="B19" t="s">
        <v>14301</v>
      </c>
      <c r="D19" t="s">
        <v>14302</v>
      </c>
      <c r="H19" s="3">
        <f>2.3*3*7</f>
        <v>48.3</v>
      </c>
      <c r="N19" s="127" t="s">
        <v>3042</v>
      </c>
      <c r="O19" s="130">
        <f>+H142</f>
        <v>12.913649999999999</v>
      </c>
      <c r="P19" s="129">
        <f>+H273</f>
        <v>31.08</v>
      </c>
      <c r="Q19" s="129">
        <f>+H296</f>
        <v>20.574479999999998</v>
      </c>
      <c r="R19" s="130">
        <v>60.72</v>
      </c>
      <c r="S19" s="131"/>
      <c r="T19" s="21"/>
      <c r="U19" s="21"/>
      <c r="V19" s="21"/>
      <c r="W19" s="21"/>
    </row>
    <row r="20" spans="1:23" x14ac:dyDescent="0.3">
      <c r="H20" s="3"/>
      <c r="N20" s="127" t="s">
        <v>13327</v>
      </c>
      <c r="O20" s="130">
        <f>+O19</f>
        <v>12.913649999999999</v>
      </c>
      <c r="P20" s="129">
        <f>+P19</f>
        <v>31.08</v>
      </c>
      <c r="Q20" s="129">
        <f>+Q19</f>
        <v>20.574479999999998</v>
      </c>
      <c r="R20" s="130">
        <v>60.72</v>
      </c>
      <c r="S20" s="131"/>
      <c r="T20" s="21"/>
      <c r="U20" s="21"/>
      <c r="V20" s="21"/>
      <c r="W20" s="21"/>
    </row>
    <row r="21" spans="1:23" x14ac:dyDescent="0.3">
      <c r="A21" s="123" t="s">
        <v>13963</v>
      </c>
      <c r="B21" s="123"/>
      <c r="C21" s="123"/>
      <c r="D21" s="123"/>
      <c r="E21" s="123"/>
      <c r="F21" s="123"/>
      <c r="G21" s="123"/>
      <c r="H21" s="124">
        <f>SUM(H22:H23)</f>
        <v>276.822</v>
      </c>
      <c r="I21" s="126">
        <f>SUM(I22:I23)</f>
        <v>39.546000000000006</v>
      </c>
      <c r="N21" s="127" t="s">
        <v>13372</v>
      </c>
      <c r="O21" s="130">
        <f>+H146</f>
        <v>44.1</v>
      </c>
      <c r="P21" s="129">
        <f>+H277</f>
        <v>105</v>
      </c>
      <c r="Q21" s="129">
        <f>+H300</f>
        <v>68.740000000000009</v>
      </c>
      <c r="R21" s="130">
        <v>117.60000000000001</v>
      </c>
      <c r="S21" s="131"/>
      <c r="T21" s="21"/>
      <c r="U21" s="21"/>
      <c r="V21" s="21"/>
      <c r="W21" s="21"/>
    </row>
    <row r="22" spans="1:23" x14ac:dyDescent="0.3">
      <c r="B22" t="s">
        <v>14298</v>
      </c>
      <c r="H22" s="3">
        <f>+H18*1.4*5</f>
        <v>104.83200000000002</v>
      </c>
      <c r="I22" s="61">
        <f>+H18</f>
        <v>14.976000000000003</v>
      </c>
      <c r="N22" s="127" t="s">
        <v>14327</v>
      </c>
      <c r="O22" s="130">
        <f>+H148</f>
        <v>1549.6379999999999</v>
      </c>
      <c r="P22" s="129">
        <f>+H279</f>
        <v>3729.6</v>
      </c>
      <c r="Q22" s="129">
        <f>+H302</f>
        <v>2468.9375999999997</v>
      </c>
      <c r="R22" s="130">
        <v>7286.4</v>
      </c>
      <c r="S22" s="131"/>
      <c r="T22" s="21"/>
      <c r="U22" s="21"/>
      <c r="V22" s="21"/>
      <c r="W22" s="21"/>
    </row>
    <row r="23" spans="1:23" x14ac:dyDescent="0.3">
      <c r="B23" t="s">
        <v>14301</v>
      </c>
      <c r="D23" t="s">
        <v>14303</v>
      </c>
      <c r="H23" s="3">
        <f>1.3*2.7*7*1.4*5</f>
        <v>171.98999999999998</v>
      </c>
      <c r="I23" s="61">
        <f>1.3*2.7*7</f>
        <v>24.57</v>
      </c>
      <c r="N23" s="127" t="s">
        <v>13278</v>
      </c>
      <c r="O23" s="130">
        <f>+H150</f>
        <v>10.199999999999999</v>
      </c>
      <c r="P23" s="129">
        <f>+H281</f>
        <v>18.399999999999999</v>
      </c>
      <c r="Q23" s="129">
        <f>+H304</f>
        <v>10.879999999999999</v>
      </c>
      <c r="R23" s="130">
        <v>26.4</v>
      </c>
      <c r="S23" s="131"/>
      <c r="T23" s="21"/>
      <c r="U23" s="21"/>
      <c r="V23" s="21"/>
      <c r="W23" s="21"/>
    </row>
    <row r="25" spans="1:23" x14ac:dyDescent="0.3">
      <c r="A25" s="123" t="s">
        <v>13946</v>
      </c>
      <c r="B25" s="123"/>
      <c r="C25" s="123"/>
      <c r="D25" s="123"/>
      <c r="E25" s="123"/>
      <c r="F25" s="123"/>
      <c r="G25" s="123"/>
      <c r="H25" s="124">
        <f>+H17-I21</f>
        <v>23.72999999999999</v>
      </c>
    </row>
    <row r="27" spans="1:23" x14ac:dyDescent="0.3">
      <c r="A27" s="123" t="s">
        <v>14046</v>
      </c>
      <c r="B27" s="123"/>
      <c r="C27" s="123"/>
      <c r="D27" s="123"/>
      <c r="E27" s="123"/>
      <c r="F27" s="123"/>
      <c r="G27" s="123"/>
      <c r="H27" s="124">
        <f>SUM(H28:H29)</f>
        <v>22.020000000000003</v>
      </c>
    </row>
    <row r="28" spans="1:23" x14ac:dyDescent="0.3">
      <c r="B28" t="s">
        <v>14298</v>
      </c>
      <c r="D28" t="s">
        <v>14316</v>
      </c>
      <c r="H28" s="3">
        <f>((2.6+1.3)/2+(2.4*2))*1.6*0.3*2</f>
        <v>6.48</v>
      </c>
    </row>
    <row r="29" spans="1:23" x14ac:dyDescent="0.3">
      <c r="B29" t="s">
        <v>14301</v>
      </c>
      <c r="D29" t="s">
        <v>14304</v>
      </c>
      <c r="H29" s="3">
        <f>(1.3+2.4)*2*0.3*7</f>
        <v>15.540000000000001</v>
      </c>
    </row>
    <row r="31" spans="1:23" x14ac:dyDescent="0.3">
      <c r="A31" s="122" t="s">
        <v>14049</v>
      </c>
      <c r="B31" s="123" t="s">
        <v>14301</v>
      </c>
      <c r="C31" s="123"/>
      <c r="D31" s="123" t="s">
        <v>14305</v>
      </c>
      <c r="E31" s="123"/>
      <c r="F31" s="123"/>
      <c r="G31" s="122"/>
      <c r="H31" s="125">
        <f>(2.4*4+1.3)*7</f>
        <v>76.3</v>
      </c>
    </row>
    <row r="33" spans="1:11" x14ac:dyDescent="0.3">
      <c r="A33" s="122" t="s">
        <v>14306</v>
      </c>
      <c r="B33" s="122"/>
      <c r="C33" s="122"/>
      <c r="D33" s="122"/>
      <c r="E33" s="122"/>
      <c r="F33" s="122"/>
      <c r="G33" s="122"/>
      <c r="H33" s="125">
        <f>+H27*120</f>
        <v>2642.4000000000005</v>
      </c>
    </row>
    <row r="34" spans="1:11" x14ac:dyDescent="0.3">
      <c r="A34" s="14"/>
      <c r="B34" s="14"/>
      <c r="C34" s="14"/>
      <c r="D34" s="14"/>
      <c r="E34" s="14"/>
      <c r="F34" s="14"/>
      <c r="G34" s="14"/>
      <c r="H34" s="128"/>
    </row>
    <row r="35" spans="1:11" x14ac:dyDescent="0.3">
      <c r="A35" s="122" t="s">
        <v>14335</v>
      </c>
      <c r="B35" s="122"/>
      <c r="C35" s="122"/>
      <c r="D35" s="122"/>
      <c r="E35" s="122"/>
      <c r="F35" s="122"/>
      <c r="G35" s="122"/>
      <c r="H35" s="125">
        <f>2*(K15+2.4+2.4)</f>
        <v>14.8</v>
      </c>
    </row>
    <row r="37" spans="1:11" x14ac:dyDescent="0.3">
      <c r="A37" t="s">
        <v>21</v>
      </c>
      <c r="B37" s="51" t="s">
        <v>14624</v>
      </c>
    </row>
    <row r="38" spans="1:11" x14ac:dyDescent="0.3">
      <c r="A38" t="s">
        <v>14307</v>
      </c>
      <c r="D38" t="s">
        <v>14299</v>
      </c>
      <c r="F38" s="50">
        <v>0</v>
      </c>
      <c r="H38" t="s">
        <v>14300</v>
      </c>
      <c r="K38" s="50">
        <v>0</v>
      </c>
    </row>
    <row r="39" spans="1:11" x14ac:dyDescent="0.3">
      <c r="F39" s="121"/>
      <c r="K39" s="121"/>
    </row>
    <row r="40" spans="1:11" x14ac:dyDescent="0.3">
      <c r="A40" s="122" t="s">
        <v>14297</v>
      </c>
      <c r="B40" s="123"/>
      <c r="C40" s="123"/>
      <c r="D40" s="123"/>
      <c r="E40" s="123"/>
      <c r="F40" s="123"/>
      <c r="G40" s="123"/>
      <c r="H40" s="124">
        <f>SUM(H41:H42)</f>
        <v>0</v>
      </c>
    </row>
    <row r="41" spans="1:11" x14ac:dyDescent="0.3">
      <c r="B41" t="s">
        <v>14298</v>
      </c>
      <c r="H41" s="3"/>
    </row>
    <row r="42" spans="1:11" x14ac:dyDescent="0.3">
      <c r="B42" t="s">
        <v>14301</v>
      </c>
      <c r="H42" s="3"/>
    </row>
    <row r="43" spans="1:11" x14ac:dyDescent="0.3">
      <c r="H43" s="3"/>
    </row>
    <row r="44" spans="1:11" x14ac:dyDescent="0.3">
      <c r="A44" s="123" t="s">
        <v>13963</v>
      </c>
      <c r="B44" s="123"/>
      <c r="C44" s="123"/>
      <c r="D44" s="123"/>
      <c r="E44" s="123"/>
      <c r="F44" s="123"/>
      <c r="G44" s="123"/>
      <c r="H44" s="124">
        <f>SUM(H45:H46)</f>
        <v>0</v>
      </c>
      <c r="I44" s="126">
        <f>SUM(I45:I46)</f>
        <v>0</v>
      </c>
    </row>
    <row r="45" spans="1:11" x14ac:dyDescent="0.3">
      <c r="B45" t="s">
        <v>14298</v>
      </c>
      <c r="H45" s="3">
        <f>+H41*1.4*5</f>
        <v>0</v>
      </c>
      <c r="I45" s="61">
        <f>+H41</f>
        <v>0</v>
      </c>
    </row>
    <row r="46" spans="1:11" x14ac:dyDescent="0.3">
      <c r="B46" t="s">
        <v>14301</v>
      </c>
      <c r="H46" s="3"/>
      <c r="I46" s="61"/>
    </row>
    <row r="48" spans="1:11" x14ac:dyDescent="0.3">
      <c r="A48" s="123" t="s">
        <v>13946</v>
      </c>
      <c r="B48" s="123"/>
      <c r="C48" s="123"/>
      <c r="D48" s="123"/>
      <c r="E48" s="123"/>
      <c r="F48" s="123"/>
      <c r="G48" s="123"/>
      <c r="H48" s="124">
        <f>+H40-I44</f>
        <v>0</v>
      </c>
    </row>
    <row r="50" spans="1:11" x14ac:dyDescent="0.3">
      <c r="A50" s="123" t="s">
        <v>14046</v>
      </c>
      <c r="B50" s="123"/>
      <c r="C50" s="123"/>
      <c r="D50" s="123"/>
      <c r="E50" s="123"/>
      <c r="F50" s="123"/>
      <c r="G50" s="123"/>
      <c r="H50" s="124">
        <f>SUM(H51:H52)</f>
        <v>0</v>
      </c>
    </row>
    <row r="51" spans="1:11" x14ac:dyDescent="0.3">
      <c r="B51" t="s">
        <v>14298</v>
      </c>
      <c r="H51" s="3"/>
    </row>
    <row r="52" spans="1:11" x14ac:dyDescent="0.3">
      <c r="B52" t="s">
        <v>14301</v>
      </c>
      <c r="H52" s="3"/>
    </row>
    <row r="54" spans="1:11" x14ac:dyDescent="0.3">
      <c r="A54" s="122" t="s">
        <v>14049</v>
      </c>
      <c r="B54" s="123" t="s">
        <v>14301</v>
      </c>
      <c r="C54" s="123"/>
      <c r="D54" s="123"/>
      <c r="E54" s="123"/>
      <c r="F54" s="123"/>
      <c r="G54" s="122"/>
      <c r="H54" s="125"/>
    </row>
    <row r="56" spans="1:11" x14ac:dyDescent="0.3">
      <c r="A56" s="122" t="s">
        <v>14306</v>
      </c>
      <c r="B56" s="122"/>
      <c r="C56" s="122"/>
      <c r="D56" s="122"/>
      <c r="E56" s="122"/>
      <c r="F56" s="122"/>
      <c r="G56" s="122"/>
      <c r="H56" s="125">
        <f>+H50*120</f>
        <v>0</v>
      </c>
    </row>
    <row r="58" spans="1:11" x14ac:dyDescent="0.3">
      <c r="A58" s="122" t="s">
        <v>14335</v>
      </c>
      <c r="B58" s="122"/>
      <c r="C58" s="122"/>
      <c r="D58" s="122"/>
      <c r="E58" s="122"/>
      <c r="F58" s="122"/>
      <c r="G58" s="122"/>
      <c r="H58" s="125"/>
    </row>
    <row r="60" spans="1:11" x14ac:dyDescent="0.3">
      <c r="A60" t="s">
        <v>21</v>
      </c>
      <c r="B60" s="51" t="s">
        <v>14624</v>
      </c>
    </row>
    <row r="61" spans="1:11" x14ac:dyDescent="0.3">
      <c r="A61" t="s">
        <v>14308</v>
      </c>
      <c r="D61" t="s">
        <v>14299</v>
      </c>
      <c r="F61" s="50">
        <v>0</v>
      </c>
      <c r="H61" t="s">
        <v>14300</v>
      </c>
      <c r="K61" s="50">
        <v>0</v>
      </c>
    </row>
    <row r="62" spans="1:11" x14ac:dyDescent="0.3">
      <c r="F62" s="121"/>
      <c r="K62" s="121"/>
    </row>
    <row r="63" spans="1:11" x14ac:dyDescent="0.3">
      <c r="A63" s="122" t="s">
        <v>14297</v>
      </c>
      <c r="B63" s="123"/>
      <c r="C63" s="123"/>
      <c r="D63" s="123"/>
      <c r="E63" s="123"/>
      <c r="F63" s="123"/>
      <c r="G63" s="123"/>
      <c r="H63" s="124">
        <f>SUM(H64:H65)</f>
        <v>0</v>
      </c>
    </row>
    <row r="64" spans="1:11" x14ac:dyDescent="0.3">
      <c r="B64" t="s">
        <v>14298</v>
      </c>
      <c r="H64" s="3"/>
    </row>
    <row r="65" spans="1:9" x14ac:dyDescent="0.3">
      <c r="B65" t="s">
        <v>14301</v>
      </c>
      <c r="H65" s="3"/>
    </row>
    <row r="66" spans="1:9" x14ac:dyDescent="0.3">
      <c r="H66" s="3"/>
    </row>
    <row r="67" spans="1:9" x14ac:dyDescent="0.3">
      <c r="A67" s="123" t="s">
        <v>13963</v>
      </c>
      <c r="B67" s="123"/>
      <c r="C67" s="123"/>
      <c r="D67" s="123"/>
      <c r="E67" s="123"/>
      <c r="F67" s="123"/>
      <c r="G67" s="123"/>
      <c r="H67" s="124">
        <f>SUM(H68:H69)</f>
        <v>0</v>
      </c>
      <c r="I67" s="126">
        <f>SUM(I68:I69)</f>
        <v>0</v>
      </c>
    </row>
    <row r="68" spans="1:9" x14ac:dyDescent="0.3">
      <c r="B68" t="s">
        <v>14298</v>
      </c>
      <c r="H68" s="3">
        <f>+H64*1.4*5</f>
        <v>0</v>
      </c>
      <c r="I68" s="61">
        <f>+H64</f>
        <v>0</v>
      </c>
    </row>
    <row r="69" spans="1:9" x14ac:dyDescent="0.3">
      <c r="B69" t="s">
        <v>14301</v>
      </c>
      <c r="H69" s="3"/>
      <c r="I69" s="61"/>
    </row>
    <row r="71" spans="1:9" x14ac:dyDescent="0.3">
      <c r="A71" s="123" t="s">
        <v>13946</v>
      </c>
      <c r="B71" s="123"/>
      <c r="C71" s="123"/>
      <c r="D71" s="123"/>
      <c r="E71" s="123"/>
      <c r="F71" s="123"/>
      <c r="G71" s="123"/>
      <c r="H71" s="124">
        <f>+H63-I67</f>
        <v>0</v>
      </c>
    </row>
    <row r="73" spans="1:9" x14ac:dyDescent="0.3">
      <c r="A73" s="123" t="s">
        <v>14046</v>
      </c>
      <c r="B73" s="123"/>
      <c r="C73" s="123"/>
      <c r="D73" s="123"/>
      <c r="E73" s="123"/>
      <c r="F73" s="123"/>
      <c r="G73" s="123"/>
      <c r="H73" s="124">
        <f>SUM(H74:H75)</f>
        <v>0</v>
      </c>
    </row>
    <row r="74" spans="1:9" x14ac:dyDescent="0.3">
      <c r="B74" t="s">
        <v>14298</v>
      </c>
      <c r="H74" s="3"/>
    </row>
    <row r="75" spans="1:9" x14ac:dyDescent="0.3">
      <c r="B75" t="s">
        <v>14301</v>
      </c>
      <c r="H75" s="3"/>
    </row>
    <row r="77" spans="1:9" x14ac:dyDescent="0.3">
      <c r="A77" s="122" t="s">
        <v>14049</v>
      </c>
      <c r="B77" s="123" t="s">
        <v>14301</v>
      </c>
      <c r="C77" s="123"/>
      <c r="D77" s="123"/>
      <c r="E77" s="123"/>
      <c r="F77" s="123"/>
      <c r="G77" s="122"/>
      <c r="H77" s="125"/>
    </row>
    <row r="79" spans="1:9" x14ac:dyDescent="0.3">
      <c r="A79" s="122" t="s">
        <v>14306</v>
      </c>
      <c r="B79" s="122"/>
      <c r="C79" s="122"/>
      <c r="D79" s="122"/>
      <c r="E79" s="122"/>
      <c r="F79" s="122"/>
      <c r="G79" s="122"/>
      <c r="H79" s="125">
        <f>+H73*120</f>
        <v>0</v>
      </c>
    </row>
    <row r="81" spans="1:11" x14ac:dyDescent="0.3">
      <c r="A81" s="122" t="s">
        <v>14335</v>
      </c>
      <c r="B81" s="122"/>
      <c r="C81" s="122"/>
      <c r="D81" s="122"/>
      <c r="E81" s="122"/>
      <c r="F81" s="122"/>
      <c r="G81" s="122"/>
      <c r="H81" s="125"/>
    </row>
    <row r="83" spans="1:11" x14ac:dyDescent="0.3">
      <c r="A83" t="s">
        <v>21</v>
      </c>
    </row>
    <row r="84" spans="1:11" x14ac:dyDescent="0.3">
      <c r="A84" t="s">
        <v>14309</v>
      </c>
      <c r="D84" t="s">
        <v>14299</v>
      </c>
      <c r="F84" s="50">
        <f>1.8/1.5</f>
        <v>1.2</v>
      </c>
      <c r="H84" t="s">
        <v>14300</v>
      </c>
      <c r="K84" s="50">
        <f>2*2.2</f>
        <v>4.4000000000000004</v>
      </c>
    </row>
    <row r="85" spans="1:11" x14ac:dyDescent="0.3">
      <c r="F85" s="121"/>
      <c r="K85" s="121"/>
    </row>
    <row r="86" spans="1:11" x14ac:dyDescent="0.3">
      <c r="A86" s="122" t="s">
        <v>14297</v>
      </c>
      <c r="B86" s="123"/>
      <c r="C86" s="123"/>
      <c r="D86" s="123"/>
      <c r="E86" s="123"/>
      <c r="F86" s="123"/>
      <c r="G86" s="123"/>
      <c r="H86" s="124">
        <f>SUM(H87:H88)</f>
        <v>87.311999999999998</v>
      </c>
    </row>
    <row r="87" spans="1:11" x14ac:dyDescent="0.3">
      <c r="B87" t="s">
        <v>14298</v>
      </c>
      <c r="D87" t="s">
        <v>14317</v>
      </c>
      <c r="H87" s="3">
        <f>(4.4+1.8)/2*1.2*1.8*2</f>
        <v>13.391999999999999</v>
      </c>
    </row>
    <row r="88" spans="1:11" x14ac:dyDescent="0.3">
      <c r="B88" t="s">
        <v>14301</v>
      </c>
      <c r="D88" t="s">
        <v>14310</v>
      </c>
      <c r="H88" s="3">
        <f>4.4*2.4*7</f>
        <v>73.92</v>
      </c>
    </row>
    <row r="89" spans="1:11" x14ac:dyDescent="0.3">
      <c r="H89" s="3"/>
    </row>
    <row r="90" spans="1:11" x14ac:dyDescent="0.3">
      <c r="A90" s="123" t="s">
        <v>13963</v>
      </c>
      <c r="B90" s="123"/>
      <c r="C90" s="123"/>
      <c r="D90" s="123"/>
      <c r="E90" s="123"/>
      <c r="F90" s="123"/>
      <c r="G90" s="123"/>
      <c r="H90" s="124">
        <f>SUM(H91:H92)</f>
        <v>320.12400000000002</v>
      </c>
      <c r="I90" s="126">
        <f>SUM(I91:I92)</f>
        <v>45.731999999999999</v>
      </c>
    </row>
    <row r="91" spans="1:11" x14ac:dyDescent="0.3">
      <c r="B91" t="s">
        <v>14298</v>
      </c>
      <c r="H91" s="3">
        <f>+H87*1.4*5</f>
        <v>93.744</v>
      </c>
      <c r="I91" s="61">
        <f>+H87</f>
        <v>13.391999999999999</v>
      </c>
    </row>
    <row r="92" spans="1:11" x14ac:dyDescent="0.3">
      <c r="B92" t="s">
        <v>14301</v>
      </c>
      <c r="D92" t="s">
        <v>14311</v>
      </c>
      <c r="H92" s="3">
        <f>2.2*2.1*7*1.4*5</f>
        <v>226.38000000000002</v>
      </c>
      <c r="I92" s="61">
        <f>2.2*2.1*7</f>
        <v>32.340000000000003</v>
      </c>
    </row>
    <row r="94" spans="1:11" x14ac:dyDescent="0.3">
      <c r="A94" s="123" t="s">
        <v>13946</v>
      </c>
      <c r="B94" s="123"/>
      <c r="C94" s="123"/>
      <c r="D94" s="123"/>
      <c r="E94" s="123"/>
      <c r="F94" s="123"/>
      <c r="G94" s="123"/>
      <c r="H94" s="124">
        <f>+H86-I90</f>
        <v>41.58</v>
      </c>
    </row>
    <row r="96" spans="1:11" x14ac:dyDescent="0.3">
      <c r="A96" s="123" t="s">
        <v>14046</v>
      </c>
      <c r="B96" s="123"/>
      <c r="C96" s="123"/>
      <c r="D96" s="123"/>
      <c r="E96" s="123"/>
      <c r="F96" s="123"/>
      <c r="G96" s="123"/>
      <c r="H96" s="124">
        <f>SUM(H97:H98)</f>
        <v>21.623999999999999</v>
      </c>
    </row>
    <row r="97" spans="1:11" x14ac:dyDescent="0.3">
      <c r="B97" t="s">
        <v>14298</v>
      </c>
      <c r="D97" t="s">
        <v>14318</v>
      </c>
      <c r="H97" s="3">
        <f>((4.4+1.8)/2+(1.8*2))*1.2*0.3*2</f>
        <v>4.823999999999999</v>
      </c>
    </row>
    <row r="98" spans="1:11" x14ac:dyDescent="0.3">
      <c r="B98" t="s">
        <v>14301</v>
      </c>
      <c r="D98" t="s">
        <v>14312</v>
      </c>
      <c r="H98" s="3">
        <f>(2.2+1.8)*2*0.3*7</f>
        <v>16.8</v>
      </c>
    </row>
    <row r="100" spans="1:11" x14ac:dyDescent="0.3">
      <c r="A100" s="122" t="s">
        <v>14049</v>
      </c>
      <c r="B100" s="123" t="s">
        <v>14301</v>
      </c>
      <c r="C100" s="123"/>
      <c r="D100" s="123" t="s">
        <v>14313</v>
      </c>
      <c r="E100" s="123"/>
      <c r="F100" s="123"/>
      <c r="G100" s="122"/>
      <c r="H100" s="125">
        <f>(1.8*4+2.2)*7</f>
        <v>65.8</v>
      </c>
    </row>
    <row r="102" spans="1:11" x14ac:dyDescent="0.3">
      <c r="A102" s="122" t="s">
        <v>14306</v>
      </c>
      <c r="B102" s="122"/>
      <c r="C102" s="122"/>
      <c r="D102" s="122"/>
      <c r="E102" s="122"/>
      <c r="F102" s="122"/>
      <c r="G102" s="122"/>
      <c r="H102" s="125">
        <f>+H96*120</f>
        <v>2594.8799999999997</v>
      </c>
    </row>
    <row r="104" spans="1:11" x14ac:dyDescent="0.3">
      <c r="A104" s="122" t="s">
        <v>14335</v>
      </c>
      <c r="B104" s="122"/>
      <c r="C104" s="122"/>
      <c r="D104" s="122"/>
      <c r="E104" s="122"/>
      <c r="F104" s="122"/>
      <c r="G104" s="122"/>
      <c r="H104" s="125">
        <f>2*(K84+1.8+1.8)</f>
        <v>16</v>
      </c>
    </row>
    <row r="106" spans="1:11" x14ac:dyDescent="0.3">
      <c r="A106" t="s">
        <v>21</v>
      </c>
      <c r="B106" s="51" t="s">
        <v>14624</v>
      </c>
    </row>
    <row r="107" spans="1:11" x14ac:dyDescent="0.3">
      <c r="A107" t="s">
        <v>14336</v>
      </c>
      <c r="D107" t="s">
        <v>14299</v>
      </c>
      <c r="F107" s="50"/>
      <c r="H107" t="s">
        <v>14300</v>
      </c>
      <c r="K107" s="50"/>
    </row>
    <row r="108" spans="1:11" x14ac:dyDescent="0.3">
      <c r="F108" s="121"/>
      <c r="K108" s="121"/>
    </row>
    <row r="109" spans="1:11" x14ac:dyDescent="0.3">
      <c r="A109" s="122" t="s">
        <v>14297</v>
      </c>
      <c r="B109" s="123"/>
      <c r="C109" s="123"/>
      <c r="D109" s="123"/>
      <c r="E109" s="123"/>
      <c r="F109" s="123"/>
      <c r="G109" s="123"/>
      <c r="H109" s="124">
        <f>SUM(H110:H111)</f>
        <v>0</v>
      </c>
    </row>
    <row r="110" spans="1:11" x14ac:dyDescent="0.3">
      <c r="B110" t="s">
        <v>14298</v>
      </c>
      <c r="H110" s="3"/>
    </row>
    <row r="111" spans="1:11" x14ac:dyDescent="0.3">
      <c r="B111" t="s">
        <v>14301</v>
      </c>
      <c r="H111" s="3"/>
    </row>
    <row r="112" spans="1:11" x14ac:dyDescent="0.3">
      <c r="H112" s="3"/>
    </row>
    <row r="113" spans="1:9" x14ac:dyDescent="0.3">
      <c r="A113" s="123" t="s">
        <v>13963</v>
      </c>
      <c r="B113" s="123"/>
      <c r="C113" s="123"/>
      <c r="D113" s="123"/>
      <c r="E113" s="123"/>
      <c r="F113" s="123"/>
      <c r="G113" s="123"/>
      <c r="H113" s="124">
        <f>SUM(H114:H115)</f>
        <v>0</v>
      </c>
      <c r="I113" s="126">
        <f>SUM(I114:I115)</f>
        <v>0</v>
      </c>
    </row>
    <row r="114" spans="1:9" x14ac:dyDescent="0.3">
      <c r="B114" t="s">
        <v>14298</v>
      </c>
      <c r="H114" s="3">
        <f>+H110*1.4*5</f>
        <v>0</v>
      </c>
      <c r="I114" s="61">
        <f>+H110</f>
        <v>0</v>
      </c>
    </row>
    <row r="115" spans="1:9" x14ac:dyDescent="0.3">
      <c r="B115" t="s">
        <v>14301</v>
      </c>
      <c r="H115" s="3"/>
      <c r="I115" s="61"/>
    </row>
    <row r="117" spans="1:9" x14ac:dyDescent="0.3">
      <c r="A117" s="123" t="s">
        <v>13946</v>
      </c>
      <c r="B117" s="123"/>
      <c r="C117" s="123"/>
      <c r="D117" s="123"/>
      <c r="E117" s="123"/>
      <c r="F117" s="123"/>
      <c r="G117" s="123"/>
      <c r="H117" s="124">
        <f>+H109-I113</f>
        <v>0</v>
      </c>
    </row>
    <row r="119" spans="1:9" x14ac:dyDescent="0.3">
      <c r="A119" s="123" t="s">
        <v>14046</v>
      </c>
      <c r="B119" s="123"/>
      <c r="C119" s="123"/>
      <c r="D119" s="123"/>
      <c r="E119" s="123"/>
      <c r="F119" s="123"/>
      <c r="G119" s="123"/>
      <c r="H119" s="124">
        <f>SUM(H120:H121)</f>
        <v>0</v>
      </c>
    </row>
    <row r="120" spans="1:9" x14ac:dyDescent="0.3">
      <c r="B120" t="s">
        <v>14298</v>
      </c>
      <c r="H120" s="3"/>
    </row>
    <row r="121" spans="1:9" x14ac:dyDescent="0.3">
      <c r="B121" t="s">
        <v>14301</v>
      </c>
      <c r="H121" s="3"/>
    </row>
    <row r="123" spans="1:9" x14ac:dyDescent="0.3">
      <c r="A123" s="122" t="s">
        <v>14049</v>
      </c>
      <c r="B123" s="123" t="s">
        <v>14301</v>
      </c>
      <c r="C123" s="123"/>
      <c r="D123" s="123"/>
      <c r="E123" s="123"/>
      <c r="F123" s="123"/>
      <c r="G123" s="122"/>
      <c r="H123" s="125"/>
    </row>
    <row r="125" spans="1:9" x14ac:dyDescent="0.3">
      <c r="A125" s="122" t="s">
        <v>14306</v>
      </c>
      <c r="B125" s="122"/>
      <c r="C125" s="122"/>
      <c r="D125" s="122"/>
      <c r="E125" s="122"/>
      <c r="F125" s="122"/>
      <c r="G125" s="122"/>
      <c r="H125" s="125">
        <f>+H119*120</f>
        <v>0</v>
      </c>
    </row>
    <row r="127" spans="1:9" x14ac:dyDescent="0.3">
      <c r="A127" s="122" t="s">
        <v>14335</v>
      </c>
      <c r="B127" s="122"/>
      <c r="C127" s="122"/>
      <c r="D127" s="122"/>
      <c r="E127" s="122"/>
      <c r="F127" s="122"/>
      <c r="G127" s="122"/>
      <c r="H127" s="125"/>
    </row>
    <row r="129" spans="1:11" x14ac:dyDescent="0.3">
      <c r="A129" t="s">
        <v>13135</v>
      </c>
    </row>
    <row r="130" spans="1:11" x14ac:dyDescent="0.3">
      <c r="A130" t="s">
        <v>14314</v>
      </c>
      <c r="D130" t="s">
        <v>14299</v>
      </c>
      <c r="F130" s="50">
        <f>1.25/1.5</f>
        <v>0.83333333333333337</v>
      </c>
      <c r="H130" t="s">
        <v>14300</v>
      </c>
      <c r="K130" s="50">
        <f>2*1.3</f>
        <v>2.6</v>
      </c>
    </row>
    <row r="131" spans="1:11" x14ac:dyDescent="0.3">
      <c r="F131" s="121"/>
      <c r="K131" s="121"/>
    </row>
    <row r="132" spans="1:11" x14ac:dyDescent="0.3">
      <c r="A132" s="122" t="s">
        <v>14297</v>
      </c>
      <c r="B132" s="123"/>
      <c r="C132" s="123"/>
      <c r="D132" s="123"/>
      <c r="E132" s="123"/>
      <c r="F132" s="123"/>
      <c r="G132" s="123"/>
      <c r="H132" s="124">
        <f>SUM(H133:H134)</f>
        <v>37.716250000000002</v>
      </c>
    </row>
    <row r="133" spans="1:11" x14ac:dyDescent="0.3">
      <c r="B133" t="s">
        <v>14298</v>
      </c>
      <c r="D133" t="s">
        <v>14319</v>
      </c>
      <c r="H133" s="3">
        <f>(2.6+1.3)/2*0.83*1.25*2</f>
        <v>4.0462500000000006</v>
      </c>
    </row>
    <row r="134" spans="1:11" x14ac:dyDescent="0.3">
      <c r="B134" t="s">
        <v>14301</v>
      </c>
      <c r="D134" t="s">
        <v>14320</v>
      </c>
      <c r="H134" s="3">
        <f>2.6*1.85*7</f>
        <v>33.67</v>
      </c>
    </row>
    <row r="135" spans="1:11" x14ac:dyDescent="0.3">
      <c r="H135" s="3"/>
    </row>
    <row r="136" spans="1:11" x14ac:dyDescent="0.3">
      <c r="A136" s="123" t="s">
        <v>13963</v>
      </c>
      <c r="B136" s="123"/>
      <c r="C136" s="123"/>
      <c r="D136" s="123"/>
      <c r="E136" s="123"/>
      <c r="F136" s="123"/>
      <c r="G136" s="123"/>
      <c r="H136" s="124">
        <f>SUM(H137:H138)</f>
        <v>127.05875</v>
      </c>
      <c r="I136" s="126">
        <f>SUM(I137:I138)</f>
        <v>18.151250000000001</v>
      </c>
    </row>
    <row r="137" spans="1:11" x14ac:dyDescent="0.3">
      <c r="B137" t="s">
        <v>14298</v>
      </c>
      <c r="H137" s="3">
        <f>+H133*1.4*5</f>
        <v>28.323750000000004</v>
      </c>
      <c r="I137" s="61">
        <f>+H133</f>
        <v>4.0462500000000006</v>
      </c>
    </row>
    <row r="138" spans="1:11" x14ac:dyDescent="0.3">
      <c r="B138" t="s">
        <v>14301</v>
      </c>
      <c r="D138" t="s">
        <v>14321</v>
      </c>
      <c r="H138" s="3">
        <f>1.3*1.55*7*1.4*5</f>
        <v>98.734999999999999</v>
      </c>
      <c r="I138" s="61">
        <f>1.3*1.55*7</f>
        <v>14.105</v>
      </c>
    </row>
    <row r="140" spans="1:11" x14ac:dyDescent="0.3">
      <c r="A140" s="123" t="s">
        <v>13946</v>
      </c>
      <c r="B140" s="123"/>
      <c r="C140" s="123"/>
      <c r="D140" s="123"/>
      <c r="E140" s="123"/>
      <c r="F140" s="123"/>
      <c r="G140" s="123"/>
      <c r="H140" s="124">
        <f>+H132-I136</f>
        <v>19.565000000000001</v>
      </c>
    </row>
    <row r="142" spans="1:11" x14ac:dyDescent="0.3">
      <c r="A142" s="123" t="s">
        <v>14046</v>
      </c>
      <c r="B142" s="123"/>
      <c r="C142" s="123"/>
      <c r="D142" s="123"/>
      <c r="E142" s="123"/>
      <c r="F142" s="123"/>
      <c r="G142" s="123"/>
      <c r="H142" s="124">
        <f>SUM(H143:H144)</f>
        <v>12.913649999999999</v>
      </c>
    </row>
    <row r="143" spans="1:11" x14ac:dyDescent="0.3">
      <c r="B143" t="s">
        <v>14298</v>
      </c>
      <c r="D143" t="s">
        <v>14322</v>
      </c>
      <c r="H143" s="3">
        <f>((2.6+1.25)/2+(1.25*2))*0.83*0.3*2</f>
        <v>2.2036499999999997</v>
      </c>
    </row>
    <row r="144" spans="1:11" x14ac:dyDescent="0.3">
      <c r="B144" t="s">
        <v>14301</v>
      </c>
      <c r="D144" t="s">
        <v>14323</v>
      </c>
      <c r="H144" s="3">
        <f>(1.3+1.25)*2*0.3*7</f>
        <v>10.709999999999999</v>
      </c>
    </row>
    <row r="146" spans="1:8" x14ac:dyDescent="0.3">
      <c r="A146" s="122" t="s">
        <v>14049</v>
      </c>
      <c r="B146" s="123" t="s">
        <v>14301</v>
      </c>
      <c r="C146" s="123"/>
      <c r="D146" s="123" t="s">
        <v>14324</v>
      </c>
      <c r="E146" s="123"/>
      <c r="F146" s="123"/>
      <c r="G146" s="122"/>
      <c r="H146" s="125">
        <f>(1.25*4+1.3)*7</f>
        <v>44.1</v>
      </c>
    </row>
    <row r="148" spans="1:8" x14ac:dyDescent="0.3">
      <c r="A148" s="122" t="s">
        <v>14306</v>
      </c>
      <c r="B148" s="122"/>
      <c r="C148" s="122"/>
      <c r="D148" s="122"/>
      <c r="E148" s="122"/>
      <c r="F148" s="122"/>
      <c r="G148" s="122"/>
      <c r="H148" s="125">
        <f>+H142*120</f>
        <v>1549.6379999999999</v>
      </c>
    </row>
    <row r="150" spans="1:8" x14ac:dyDescent="0.3">
      <c r="A150" s="122" t="s">
        <v>14335</v>
      </c>
      <c r="B150" s="122"/>
      <c r="C150" s="122"/>
      <c r="D150" s="122"/>
      <c r="E150" s="122"/>
      <c r="F150" s="122"/>
      <c r="G150" s="122"/>
      <c r="H150" s="125">
        <f>2*(K130+1.25+1.25)</f>
        <v>10.199999999999999</v>
      </c>
    </row>
    <row r="153" spans="1:8" x14ac:dyDescent="0.3">
      <c r="A153" t="s">
        <v>14295</v>
      </c>
    </row>
    <row r="168" spans="1:11" x14ac:dyDescent="0.3">
      <c r="A168" t="s">
        <v>21</v>
      </c>
    </row>
    <row r="169" spans="1:11" x14ac:dyDescent="0.3">
      <c r="A169" t="s">
        <v>14328</v>
      </c>
      <c r="D169" t="s">
        <v>14299</v>
      </c>
      <c r="F169" s="50">
        <f>2.2*2/1.5</f>
        <v>2.9333333333333336</v>
      </c>
      <c r="H169" t="s">
        <v>14300</v>
      </c>
      <c r="K169" s="50">
        <f>2*2.2*2</f>
        <v>8.8000000000000007</v>
      </c>
    </row>
    <row r="170" spans="1:11" x14ac:dyDescent="0.3">
      <c r="F170" s="121"/>
      <c r="K170" s="121"/>
    </row>
    <row r="171" spans="1:11" x14ac:dyDescent="0.3">
      <c r="A171" s="122" t="s">
        <v>14297</v>
      </c>
      <c r="B171" s="123"/>
      <c r="C171" s="123"/>
      <c r="D171" s="123"/>
      <c r="E171" s="123"/>
      <c r="F171" s="123"/>
      <c r="G171" s="123"/>
      <c r="H171" s="124">
        <f>SUM(H172:H173)</f>
        <v>210.52719999999999</v>
      </c>
    </row>
    <row r="172" spans="1:11" x14ac:dyDescent="0.3">
      <c r="B172" t="s">
        <v>14298</v>
      </c>
      <c r="D172" t="s">
        <v>14337</v>
      </c>
      <c r="H172" s="3">
        <f>2*(8.8+4.4)/2*2.93*2.2</f>
        <v>85.08720000000001</v>
      </c>
    </row>
    <row r="173" spans="1:11" x14ac:dyDescent="0.3">
      <c r="B173" t="s">
        <v>14301</v>
      </c>
      <c r="D173" t="s">
        <v>14338</v>
      </c>
      <c r="H173" s="3">
        <f>6.4*2.8*7</f>
        <v>125.43999999999998</v>
      </c>
    </row>
    <row r="174" spans="1:11" x14ac:dyDescent="0.3">
      <c r="H174" s="3"/>
    </row>
    <row r="175" spans="1:11" x14ac:dyDescent="0.3">
      <c r="A175" s="123" t="s">
        <v>13963</v>
      </c>
      <c r="B175" s="123"/>
      <c r="C175" s="123"/>
      <c r="D175" s="123"/>
      <c r="E175" s="123"/>
      <c r="F175" s="123"/>
      <c r="G175" s="123"/>
      <c r="H175" s="124">
        <f>SUM(H176:H177)</f>
        <v>1113.0504000000001</v>
      </c>
      <c r="I175" s="126">
        <f>SUM(I176:I177)</f>
        <v>159.00720000000001</v>
      </c>
    </row>
    <row r="176" spans="1:11" x14ac:dyDescent="0.3">
      <c r="B176" t="s">
        <v>14298</v>
      </c>
      <c r="H176" s="3">
        <f>+H172*1.4*5</f>
        <v>595.61040000000003</v>
      </c>
      <c r="I176" s="61">
        <f>+H172</f>
        <v>85.08720000000001</v>
      </c>
    </row>
    <row r="177" spans="1:11" x14ac:dyDescent="0.3">
      <c r="B177" t="s">
        <v>14301</v>
      </c>
      <c r="D177" t="s">
        <v>14339</v>
      </c>
      <c r="H177" s="3">
        <f>4.4*2.4*7*1.4*5</f>
        <v>517.44000000000005</v>
      </c>
      <c r="I177" s="61">
        <f>4.4*2.4*7</f>
        <v>73.92</v>
      </c>
    </row>
    <row r="179" spans="1:11" x14ac:dyDescent="0.3">
      <c r="A179" s="123" t="s">
        <v>13946</v>
      </c>
      <c r="B179" s="123"/>
      <c r="C179" s="123"/>
      <c r="D179" s="123"/>
      <c r="E179" s="123"/>
      <c r="F179" s="123"/>
      <c r="G179" s="123"/>
      <c r="H179" s="124">
        <f>+H171-I175</f>
        <v>51.519999999999982</v>
      </c>
    </row>
    <row r="181" spans="1:11" x14ac:dyDescent="0.3">
      <c r="A181" s="123" t="s">
        <v>14046</v>
      </c>
      <c r="B181" s="123"/>
      <c r="C181" s="123"/>
      <c r="D181" s="123"/>
      <c r="E181" s="123"/>
      <c r="F181" s="123"/>
      <c r="G181" s="123"/>
      <c r="H181" s="124">
        <f>SUM(H182:H183)</f>
        <v>60.72</v>
      </c>
    </row>
    <row r="182" spans="1:11" x14ac:dyDescent="0.3">
      <c r="B182" t="s">
        <v>14298</v>
      </c>
      <c r="D182" t="s">
        <v>14340</v>
      </c>
      <c r="H182" s="3">
        <f>((8.8+4.4)/2+(2.2*2))*2.2*0.3*2</f>
        <v>14.520000000000001</v>
      </c>
    </row>
    <row r="183" spans="1:11" x14ac:dyDescent="0.3">
      <c r="B183" t="s">
        <v>14301</v>
      </c>
      <c r="D183" t="s">
        <v>14341</v>
      </c>
      <c r="H183" s="3">
        <f>(2.2*5)*2*0.3*7</f>
        <v>46.199999999999996</v>
      </c>
    </row>
    <row r="185" spans="1:11" x14ac:dyDescent="0.3">
      <c r="A185" s="122" t="s">
        <v>14049</v>
      </c>
      <c r="B185" s="123" t="s">
        <v>14301</v>
      </c>
      <c r="C185" s="123"/>
      <c r="D185" s="123" t="s">
        <v>14342</v>
      </c>
      <c r="E185" s="123"/>
      <c r="F185" s="123"/>
      <c r="G185" s="122"/>
      <c r="H185" s="125">
        <f>(2.4*7)*7</f>
        <v>117.60000000000001</v>
      </c>
    </row>
    <row r="187" spans="1:11" x14ac:dyDescent="0.3">
      <c r="A187" s="122" t="s">
        <v>14306</v>
      </c>
      <c r="B187" s="122"/>
      <c r="C187" s="122"/>
      <c r="D187" s="122"/>
      <c r="E187" s="122"/>
      <c r="F187" s="122"/>
      <c r="G187" s="122"/>
      <c r="H187" s="125">
        <f>+H181*120</f>
        <v>7286.4</v>
      </c>
    </row>
    <row r="189" spans="1:11" x14ac:dyDescent="0.3">
      <c r="A189" s="122" t="s">
        <v>14335</v>
      </c>
      <c r="B189" s="122"/>
      <c r="C189" s="122"/>
      <c r="D189" s="122"/>
      <c r="E189" s="122"/>
      <c r="F189" s="122"/>
      <c r="G189" s="122"/>
      <c r="H189" s="125">
        <f>2*(K169+2.2+2.2)</f>
        <v>26.4</v>
      </c>
    </row>
    <row r="191" spans="1:11" x14ac:dyDescent="0.3">
      <c r="A191" t="s">
        <v>21</v>
      </c>
    </row>
    <row r="192" spans="1:11" x14ac:dyDescent="0.3">
      <c r="A192" t="s">
        <v>14329</v>
      </c>
      <c r="D192" t="s">
        <v>14299</v>
      </c>
      <c r="F192" s="50">
        <f>2*2.2/1.5</f>
        <v>2.9333333333333336</v>
      </c>
      <c r="H192" t="s">
        <v>14300</v>
      </c>
      <c r="K192" s="50">
        <f>2*2.2*2</f>
        <v>8.8000000000000007</v>
      </c>
    </row>
    <row r="193" spans="1:11" x14ac:dyDescent="0.3">
      <c r="F193" s="121"/>
      <c r="K193" s="121"/>
    </row>
    <row r="194" spans="1:11" x14ac:dyDescent="0.3">
      <c r="A194" s="122" t="s">
        <v>14297</v>
      </c>
      <c r="B194" s="123"/>
      <c r="C194" s="123"/>
      <c r="D194" s="123"/>
      <c r="E194" s="123"/>
      <c r="F194" s="123"/>
      <c r="G194" s="123"/>
      <c r="H194" s="124">
        <f>SUM(H195:H196)</f>
        <v>210.52719999999999</v>
      </c>
    </row>
    <row r="195" spans="1:11" x14ac:dyDescent="0.3">
      <c r="B195" t="s">
        <v>14298</v>
      </c>
      <c r="D195" t="s">
        <v>14337</v>
      </c>
      <c r="H195" s="3">
        <f>2*(8.8+4.4)/2*2.93*2.2</f>
        <v>85.08720000000001</v>
      </c>
    </row>
    <row r="196" spans="1:11" x14ac:dyDescent="0.3">
      <c r="B196" t="s">
        <v>14301</v>
      </c>
      <c r="D196" t="s">
        <v>14338</v>
      </c>
      <c r="H196" s="3">
        <f>6.4*2.8*7</f>
        <v>125.43999999999998</v>
      </c>
    </row>
    <row r="197" spans="1:11" x14ac:dyDescent="0.3">
      <c r="H197" s="3"/>
    </row>
    <row r="198" spans="1:11" x14ac:dyDescent="0.3">
      <c r="A198" s="123" t="s">
        <v>13963</v>
      </c>
      <c r="B198" s="123"/>
      <c r="C198" s="123"/>
      <c r="D198" s="123"/>
      <c r="E198" s="123"/>
      <c r="F198" s="123"/>
      <c r="G198" s="123"/>
      <c r="H198" s="124">
        <f>SUM(H199:H200)</f>
        <v>1113.0504000000001</v>
      </c>
      <c r="I198" s="126">
        <f>SUM(I199:I200)</f>
        <v>159.00720000000001</v>
      </c>
    </row>
    <row r="199" spans="1:11" x14ac:dyDescent="0.3">
      <c r="B199" t="s">
        <v>14298</v>
      </c>
      <c r="H199" s="3">
        <f>+H195*1.4*5</f>
        <v>595.61040000000003</v>
      </c>
      <c r="I199" s="61">
        <f>+H195</f>
        <v>85.08720000000001</v>
      </c>
    </row>
    <row r="200" spans="1:11" x14ac:dyDescent="0.3">
      <c r="B200" t="s">
        <v>14301</v>
      </c>
      <c r="D200" t="s">
        <v>14339</v>
      </c>
      <c r="H200" s="3">
        <f>4.4*2.4*7*1.4*5</f>
        <v>517.44000000000005</v>
      </c>
      <c r="I200" s="61">
        <f>4.4*2.4*7</f>
        <v>73.92</v>
      </c>
    </row>
    <row r="202" spans="1:11" x14ac:dyDescent="0.3">
      <c r="A202" s="123" t="s">
        <v>13946</v>
      </c>
      <c r="B202" s="123"/>
      <c r="C202" s="123"/>
      <c r="D202" s="123"/>
      <c r="E202" s="123"/>
      <c r="F202" s="123"/>
      <c r="G202" s="123"/>
      <c r="H202" s="124">
        <f>+H194-I198</f>
        <v>51.519999999999982</v>
      </c>
    </row>
    <row r="204" spans="1:11" x14ac:dyDescent="0.3">
      <c r="A204" s="123" t="s">
        <v>14046</v>
      </c>
      <c r="B204" s="123"/>
      <c r="C204" s="123"/>
      <c r="D204" s="123"/>
      <c r="E204" s="123"/>
      <c r="F204" s="123"/>
      <c r="G204" s="123"/>
      <c r="H204" s="124">
        <f>SUM(H205:H206)</f>
        <v>60.72</v>
      </c>
    </row>
    <row r="205" spans="1:11" x14ac:dyDescent="0.3">
      <c r="B205" t="s">
        <v>14298</v>
      </c>
      <c r="D205" t="s">
        <v>14340</v>
      </c>
      <c r="H205" s="3">
        <f>((8.8+4.4)/2+(2.2*2))*2.2*0.3*2</f>
        <v>14.520000000000001</v>
      </c>
    </row>
    <row r="206" spans="1:11" x14ac:dyDescent="0.3">
      <c r="B206" t="s">
        <v>14301</v>
      </c>
      <c r="D206" t="s">
        <v>14341</v>
      </c>
      <c r="H206" s="3">
        <f>(2.2*5)*2*0.3*7</f>
        <v>46.199999999999996</v>
      </c>
    </row>
    <row r="208" spans="1:11" x14ac:dyDescent="0.3">
      <c r="A208" s="122" t="s">
        <v>14049</v>
      </c>
      <c r="B208" s="123" t="s">
        <v>14301</v>
      </c>
      <c r="C208" s="123"/>
      <c r="D208" s="123" t="s">
        <v>14342</v>
      </c>
      <c r="E208" s="123"/>
      <c r="F208" s="123"/>
      <c r="G208" s="122"/>
      <c r="H208" s="125">
        <f>(2.4*7)*7</f>
        <v>117.60000000000001</v>
      </c>
    </row>
    <row r="210" spans="1:11" x14ac:dyDescent="0.3">
      <c r="A210" s="122" t="s">
        <v>14306</v>
      </c>
      <c r="B210" s="122"/>
      <c r="C210" s="122"/>
      <c r="D210" s="122"/>
      <c r="E210" s="122"/>
      <c r="F210" s="122"/>
      <c r="G210" s="122"/>
      <c r="H210" s="125">
        <f>+H204*120</f>
        <v>7286.4</v>
      </c>
    </row>
    <row r="212" spans="1:11" x14ac:dyDescent="0.3">
      <c r="A212" s="122" t="s">
        <v>14335</v>
      </c>
      <c r="B212" s="122"/>
      <c r="C212" s="122"/>
      <c r="D212" s="122"/>
      <c r="E212" s="122"/>
      <c r="F212" s="122"/>
      <c r="G212" s="122"/>
      <c r="H212" s="125">
        <f>2*(K192+2.2+2.2)</f>
        <v>26.4</v>
      </c>
    </row>
    <row r="214" spans="1:11" x14ac:dyDescent="0.3">
      <c r="A214" t="s">
        <v>21</v>
      </c>
    </row>
    <row r="215" spans="1:11" x14ac:dyDescent="0.3">
      <c r="A215" t="s">
        <v>14330</v>
      </c>
      <c r="D215" t="s">
        <v>14299</v>
      </c>
      <c r="F215" s="50">
        <f>2*2.2/1.5</f>
        <v>2.9333333333333336</v>
      </c>
      <c r="H215" t="s">
        <v>14300</v>
      </c>
      <c r="K215" s="50">
        <f>2*2.2*2</f>
        <v>8.8000000000000007</v>
      </c>
    </row>
    <row r="216" spans="1:11" x14ac:dyDescent="0.3">
      <c r="F216" s="121"/>
      <c r="K216" s="121"/>
    </row>
    <row r="217" spans="1:11" x14ac:dyDescent="0.3">
      <c r="A217" s="122" t="s">
        <v>14297</v>
      </c>
      <c r="B217" s="123"/>
      <c r="C217" s="123"/>
      <c r="D217" s="123"/>
      <c r="E217" s="123"/>
      <c r="F217" s="123"/>
      <c r="G217" s="123"/>
      <c r="H217" s="124">
        <f>SUM(H218:H219)</f>
        <v>210.52719999999999</v>
      </c>
    </row>
    <row r="218" spans="1:11" x14ac:dyDescent="0.3">
      <c r="B218" t="s">
        <v>14298</v>
      </c>
      <c r="D218" t="s">
        <v>14337</v>
      </c>
      <c r="H218" s="3">
        <f>2*(8.8+4.4)/2*2.93*2.2</f>
        <v>85.08720000000001</v>
      </c>
    </row>
    <row r="219" spans="1:11" x14ac:dyDescent="0.3">
      <c r="B219" t="s">
        <v>14301</v>
      </c>
      <c r="D219" t="s">
        <v>14338</v>
      </c>
      <c r="H219" s="3">
        <f>6.4*2.8*7</f>
        <v>125.43999999999998</v>
      </c>
    </row>
    <row r="220" spans="1:11" x14ac:dyDescent="0.3">
      <c r="H220" s="3"/>
    </row>
    <row r="221" spans="1:11" x14ac:dyDescent="0.3">
      <c r="A221" s="123" t="s">
        <v>13963</v>
      </c>
      <c r="B221" s="123"/>
      <c r="C221" s="123"/>
      <c r="D221" s="123"/>
      <c r="E221" s="123"/>
      <c r="F221" s="123"/>
      <c r="G221" s="123"/>
      <c r="H221" s="124">
        <f>SUM(H222:H223)</f>
        <v>1113.0504000000001</v>
      </c>
      <c r="I221" s="126">
        <f>SUM(I222:I223)</f>
        <v>159.00720000000001</v>
      </c>
    </row>
    <row r="222" spans="1:11" x14ac:dyDescent="0.3">
      <c r="B222" t="s">
        <v>14298</v>
      </c>
      <c r="H222" s="3">
        <f>+H218*1.4*5</f>
        <v>595.61040000000003</v>
      </c>
      <c r="I222" s="61">
        <f>+H218</f>
        <v>85.08720000000001</v>
      </c>
    </row>
    <row r="223" spans="1:11" x14ac:dyDescent="0.3">
      <c r="B223" t="s">
        <v>14301</v>
      </c>
      <c r="D223" t="s">
        <v>14339</v>
      </c>
      <c r="H223" s="3">
        <f>4.4*2.4*7*1.4*5</f>
        <v>517.44000000000005</v>
      </c>
      <c r="I223" s="61">
        <f>4.4*2.4*7</f>
        <v>73.92</v>
      </c>
    </row>
    <row r="225" spans="1:11" x14ac:dyDescent="0.3">
      <c r="A225" s="123" t="s">
        <v>13946</v>
      </c>
      <c r="B225" s="123"/>
      <c r="C225" s="123"/>
      <c r="D225" s="123"/>
      <c r="E225" s="123"/>
      <c r="F225" s="123"/>
      <c r="G225" s="123"/>
      <c r="H225" s="124">
        <f>+H217-I221</f>
        <v>51.519999999999982</v>
      </c>
    </row>
    <row r="227" spans="1:11" x14ac:dyDescent="0.3">
      <c r="A227" s="123" t="s">
        <v>14046</v>
      </c>
      <c r="B227" s="123"/>
      <c r="C227" s="123"/>
      <c r="D227" s="123"/>
      <c r="E227" s="123"/>
      <c r="F227" s="123"/>
      <c r="G227" s="123"/>
      <c r="H227" s="124">
        <f>SUM(H228:H229)</f>
        <v>60.72</v>
      </c>
    </row>
    <row r="228" spans="1:11" x14ac:dyDescent="0.3">
      <c r="B228" t="s">
        <v>14298</v>
      </c>
      <c r="D228" t="s">
        <v>14340</v>
      </c>
      <c r="H228" s="3">
        <f>((8.8+4.4)/2+(2.2*2))*2.2*0.3*2</f>
        <v>14.520000000000001</v>
      </c>
    </row>
    <row r="229" spans="1:11" x14ac:dyDescent="0.3">
      <c r="B229" t="s">
        <v>14301</v>
      </c>
      <c r="D229" t="s">
        <v>14341</v>
      </c>
      <c r="H229" s="3">
        <f>(2.2*5)*2*0.3*7</f>
        <v>46.199999999999996</v>
      </c>
    </row>
    <row r="231" spans="1:11" x14ac:dyDescent="0.3">
      <c r="A231" s="122" t="s">
        <v>14049</v>
      </c>
      <c r="B231" s="123" t="s">
        <v>14301</v>
      </c>
      <c r="C231" s="123"/>
      <c r="D231" s="123" t="s">
        <v>14342</v>
      </c>
      <c r="E231" s="123"/>
      <c r="F231" s="123"/>
      <c r="G231" s="122"/>
      <c r="H231" s="125">
        <f>(2.4*7)*7</f>
        <v>117.60000000000001</v>
      </c>
    </row>
    <row r="233" spans="1:11" x14ac:dyDescent="0.3">
      <c r="A233" s="122" t="s">
        <v>14306</v>
      </c>
      <c r="B233" s="122"/>
      <c r="C233" s="122"/>
      <c r="D233" s="122"/>
      <c r="E233" s="122"/>
      <c r="F233" s="122"/>
      <c r="G233" s="122"/>
      <c r="H233" s="125">
        <f>+H227*120</f>
        <v>7286.4</v>
      </c>
    </row>
    <row r="235" spans="1:11" x14ac:dyDescent="0.3">
      <c r="A235" s="122" t="s">
        <v>14335</v>
      </c>
      <c r="B235" s="122"/>
      <c r="C235" s="122"/>
      <c r="D235" s="122"/>
      <c r="E235" s="122"/>
      <c r="F235" s="122"/>
      <c r="G235" s="122"/>
      <c r="H235" s="125">
        <f>2*(K215+2.2+2.2)</f>
        <v>26.4</v>
      </c>
    </row>
    <row r="237" spans="1:11" x14ac:dyDescent="0.3">
      <c r="A237" t="s">
        <v>21</v>
      </c>
    </row>
    <row r="238" spans="1:11" x14ac:dyDescent="0.3">
      <c r="A238" t="s">
        <v>14331</v>
      </c>
      <c r="D238" t="s">
        <v>14299</v>
      </c>
      <c r="F238" s="50">
        <f>2*1.8/1.5</f>
        <v>2.4</v>
      </c>
      <c r="H238" t="s">
        <v>14300</v>
      </c>
      <c r="K238" s="50">
        <f>2*1.8*2</f>
        <v>7.2</v>
      </c>
    </row>
    <row r="239" spans="1:11" x14ac:dyDescent="0.3">
      <c r="F239" s="121"/>
      <c r="K239" s="121"/>
    </row>
    <row r="240" spans="1:11" x14ac:dyDescent="0.3">
      <c r="A240" s="122" t="s">
        <v>14297</v>
      </c>
      <c r="B240" s="123"/>
      <c r="C240" s="123"/>
      <c r="D240" s="123"/>
      <c r="E240" s="123"/>
      <c r="F240" s="123"/>
      <c r="G240" s="123"/>
      <c r="H240" s="124">
        <f>SUM(H241:H242)</f>
        <v>151.10400000000001</v>
      </c>
    </row>
    <row r="241" spans="1:9" x14ac:dyDescent="0.3">
      <c r="B241" t="s">
        <v>14298</v>
      </c>
      <c r="D241" t="s">
        <v>14343</v>
      </c>
      <c r="H241" s="3">
        <f>2*(7.2+3.6)/2*2.4*2.2</f>
        <v>57.024000000000008</v>
      </c>
    </row>
    <row r="242" spans="1:9" x14ac:dyDescent="0.3">
      <c r="B242" t="s">
        <v>14301</v>
      </c>
      <c r="D242" t="s">
        <v>14344</v>
      </c>
      <c r="H242" s="3">
        <f>5.6*2.4*7</f>
        <v>94.08</v>
      </c>
    </row>
    <row r="243" spans="1:9" x14ac:dyDescent="0.3">
      <c r="H243" s="3"/>
    </row>
    <row r="244" spans="1:9" x14ac:dyDescent="0.3">
      <c r="A244" s="123" t="s">
        <v>13963</v>
      </c>
      <c r="B244" s="123"/>
      <c r="C244" s="123"/>
      <c r="D244" s="123"/>
      <c r="E244" s="123"/>
      <c r="F244" s="123"/>
      <c r="G244" s="123"/>
      <c r="H244" s="124">
        <f>SUM(H245:H246)</f>
        <v>769.60799999999995</v>
      </c>
      <c r="I244" s="126">
        <f>SUM(I245:I246)</f>
        <v>109.94400000000002</v>
      </c>
    </row>
    <row r="245" spans="1:9" x14ac:dyDescent="0.3">
      <c r="B245" t="s">
        <v>14298</v>
      </c>
      <c r="H245" s="3">
        <f>+H241*1.4*5</f>
        <v>399.16800000000001</v>
      </c>
      <c r="I245" s="61">
        <f>+H241</f>
        <v>57.024000000000008</v>
      </c>
    </row>
    <row r="246" spans="1:9" x14ac:dyDescent="0.3">
      <c r="B246" t="s">
        <v>14301</v>
      </c>
      <c r="D246" t="s">
        <v>14345</v>
      </c>
      <c r="H246" s="3">
        <f>3.6*2.1*7*1.4*5</f>
        <v>370.43999999999994</v>
      </c>
      <c r="I246" s="61">
        <f>3.6*2.1*7</f>
        <v>52.92</v>
      </c>
    </row>
    <row r="248" spans="1:9" x14ac:dyDescent="0.3">
      <c r="A248" s="123" t="s">
        <v>13946</v>
      </c>
      <c r="B248" s="123"/>
      <c r="C248" s="123"/>
      <c r="D248" s="123"/>
      <c r="E248" s="123"/>
      <c r="F248" s="123"/>
      <c r="G248" s="123"/>
      <c r="H248" s="124">
        <f>+H240-I244</f>
        <v>41.16</v>
      </c>
    </row>
    <row r="250" spans="1:9" x14ac:dyDescent="0.3">
      <c r="A250" s="123" t="s">
        <v>14046</v>
      </c>
      <c r="B250" s="123"/>
      <c r="C250" s="123"/>
      <c r="D250" s="123"/>
      <c r="E250" s="123"/>
      <c r="F250" s="123"/>
      <c r="G250" s="123"/>
      <c r="H250" s="124">
        <f>SUM(H251:H252)</f>
        <v>47.519999999999996</v>
      </c>
    </row>
    <row r="251" spans="1:9" x14ac:dyDescent="0.3">
      <c r="B251" t="s">
        <v>14298</v>
      </c>
      <c r="D251" t="s">
        <v>14346</v>
      </c>
      <c r="H251" s="3">
        <f>((7.2+3.6)/2+(1.8*2))*1.8*0.3*2</f>
        <v>9.7199999999999989</v>
      </c>
    </row>
    <row r="252" spans="1:9" x14ac:dyDescent="0.3">
      <c r="B252" t="s">
        <v>14301</v>
      </c>
      <c r="D252" t="s">
        <v>14347</v>
      </c>
      <c r="H252" s="3">
        <f>(1.8*5)*2*0.3*7</f>
        <v>37.799999999999997</v>
      </c>
    </row>
    <row r="254" spans="1:9" x14ac:dyDescent="0.3">
      <c r="A254" s="122" t="s">
        <v>14049</v>
      </c>
      <c r="B254" s="123" t="s">
        <v>14301</v>
      </c>
      <c r="C254" s="123"/>
      <c r="D254" s="123" t="s">
        <v>14348</v>
      </c>
      <c r="E254" s="123"/>
      <c r="F254" s="123"/>
      <c r="G254" s="122"/>
      <c r="H254" s="125">
        <f>(1.8*7)*7</f>
        <v>88.2</v>
      </c>
    </row>
    <row r="256" spans="1:9" x14ac:dyDescent="0.3">
      <c r="A256" s="122" t="s">
        <v>14306</v>
      </c>
      <c r="B256" s="122"/>
      <c r="C256" s="122"/>
      <c r="D256" s="122"/>
      <c r="E256" s="122"/>
      <c r="F256" s="122"/>
      <c r="G256" s="122"/>
      <c r="H256" s="125">
        <f>+H250*120</f>
        <v>5702.4</v>
      </c>
    </row>
    <row r="258" spans="1:11" x14ac:dyDescent="0.3">
      <c r="A258" s="122" t="s">
        <v>14335</v>
      </c>
      <c r="B258" s="122"/>
      <c r="C258" s="122"/>
      <c r="D258" s="122"/>
      <c r="E258" s="122"/>
      <c r="F258" s="122"/>
      <c r="G258" s="122"/>
      <c r="H258" s="125">
        <f>2*(K238+1.8+1.8)</f>
        <v>21.6</v>
      </c>
    </row>
    <row r="260" spans="1:11" x14ac:dyDescent="0.3">
      <c r="A260" t="s">
        <v>13135</v>
      </c>
    </row>
    <row r="261" spans="1:11" x14ac:dyDescent="0.3">
      <c r="A261" t="s">
        <v>14332</v>
      </c>
      <c r="D261" t="s">
        <v>14299</v>
      </c>
      <c r="F261" s="50">
        <f>2*1.3/1.5</f>
        <v>1.7333333333333334</v>
      </c>
      <c r="H261" t="s">
        <v>14300</v>
      </c>
      <c r="K261" s="50">
        <f>2*1.3*2</f>
        <v>5.2</v>
      </c>
    </row>
    <row r="262" spans="1:11" x14ac:dyDescent="0.3">
      <c r="F262" s="121"/>
      <c r="K262" s="121"/>
    </row>
    <row r="263" spans="1:11" x14ac:dyDescent="0.3">
      <c r="A263" s="122" t="s">
        <v>14297</v>
      </c>
      <c r="B263" s="123"/>
      <c r="C263" s="123"/>
      <c r="D263" s="123"/>
      <c r="E263" s="123"/>
      <c r="F263" s="123"/>
      <c r="G263" s="123"/>
      <c r="H263" s="124">
        <f>SUM(H264:H265)</f>
        <v>184.35199999999998</v>
      </c>
    </row>
    <row r="264" spans="1:11" x14ac:dyDescent="0.3">
      <c r="B264" t="s">
        <v>14298</v>
      </c>
      <c r="D264" t="s">
        <v>14349</v>
      </c>
      <c r="H264" s="3">
        <f>2*(5.2+6)/2*2*1.73</f>
        <v>38.751999999999995</v>
      </c>
    </row>
    <row r="265" spans="1:11" x14ac:dyDescent="0.3">
      <c r="B265" t="s">
        <v>14301</v>
      </c>
      <c r="D265" t="s">
        <v>14350</v>
      </c>
      <c r="H265" s="3">
        <f>8*2.6*7</f>
        <v>145.6</v>
      </c>
    </row>
    <row r="266" spans="1:11" x14ac:dyDescent="0.3">
      <c r="H266" s="3"/>
    </row>
    <row r="267" spans="1:11" x14ac:dyDescent="0.3">
      <c r="A267" s="123" t="s">
        <v>13963</v>
      </c>
      <c r="B267" s="123"/>
      <c r="C267" s="123"/>
      <c r="D267" s="123"/>
      <c r="E267" s="123"/>
      <c r="F267" s="123"/>
      <c r="G267" s="123"/>
      <c r="H267" s="124">
        <f>SUM(H268:H269)</f>
        <v>947.46399999999994</v>
      </c>
      <c r="I267" s="126">
        <f>SUM(I268:I269)</f>
        <v>135.35199999999998</v>
      </c>
    </row>
    <row r="268" spans="1:11" x14ac:dyDescent="0.3">
      <c r="B268" t="s">
        <v>14298</v>
      </c>
      <c r="H268" s="3">
        <f>+H264*1.4*5</f>
        <v>271.26399999999995</v>
      </c>
      <c r="I268" s="61">
        <f>+H264</f>
        <v>38.751999999999995</v>
      </c>
    </row>
    <row r="269" spans="1:11" x14ac:dyDescent="0.3">
      <c r="B269" t="s">
        <v>14301</v>
      </c>
      <c r="D269" t="s">
        <v>14351</v>
      </c>
      <c r="H269" s="3">
        <f>6*2.3*7*1.4*5</f>
        <v>676.19999999999993</v>
      </c>
      <c r="I269" s="61">
        <f>6*2.3*7</f>
        <v>96.6</v>
      </c>
    </row>
    <row r="271" spans="1:11" x14ac:dyDescent="0.3">
      <c r="A271" s="123" t="s">
        <v>13946</v>
      </c>
      <c r="B271" s="123"/>
      <c r="C271" s="123"/>
      <c r="D271" s="123"/>
      <c r="E271" s="123"/>
      <c r="F271" s="123"/>
      <c r="G271" s="123"/>
      <c r="H271" s="124">
        <f>+H263-I267</f>
        <v>49</v>
      </c>
    </row>
    <row r="273" spans="1:11" x14ac:dyDescent="0.3">
      <c r="A273" s="123" t="s">
        <v>14046</v>
      </c>
      <c r="B273" s="123"/>
      <c r="C273" s="123"/>
      <c r="D273" s="123"/>
      <c r="E273" s="123"/>
      <c r="F273" s="123"/>
      <c r="G273" s="123"/>
      <c r="H273" s="124">
        <f>SUM(H274:H275)</f>
        <v>31.08</v>
      </c>
    </row>
    <row r="274" spans="1:11" x14ac:dyDescent="0.3">
      <c r="B274" t="s">
        <v>14298</v>
      </c>
      <c r="D274" t="s">
        <v>14352</v>
      </c>
      <c r="H274" s="3">
        <f>((5.2+3.6)/2+(2*2))*2*0.3*2</f>
        <v>10.08</v>
      </c>
    </row>
    <row r="275" spans="1:11" x14ac:dyDescent="0.3">
      <c r="B275" t="s">
        <v>14301</v>
      </c>
      <c r="D275" t="s">
        <v>14353</v>
      </c>
      <c r="H275" s="3">
        <f>(3+2)*2*0.3*7</f>
        <v>21</v>
      </c>
    </row>
    <row r="277" spans="1:11" x14ac:dyDescent="0.3">
      <c r="A277" s="122" t="s">
        <v>14049</v>
      </c>
      <c r="B277" s="123" t="s">
        <v>14301</v>
      </c>
      <c r="C277" s="123"/>
      <c r="D277" s="123" t="s">
        <v>14354</v>
      </c>
      <c r="E277" s="123"/>
      <c r="F277" s="123"/>
      <c r="G277" s="122"/>
      <c r="H277" s="125">
        <f>(3+2*6)*7</f>
        <v>105</v>
      </c>
    </row>
    <row r="279" spans="1:11" x14ac:dyDescent="0.3">
      <c r="A279" s="122" t="s">
        <v>14306</v>
      </c>
      <c r="B279" s="122"/>
      <c r="C279" s="122"/>
      <c r="D279" s="122"/>
      <c r="E279" s="122"/>
      <c r="F279" s="122"/>
      <c r="G279" s="122"/>
      <c r="H279" s="125">
        <f>+H273*120</f>
        <v>3729.6</v>
      </c>
    </row>
    <row r="281" spans="1:11" x14ac:dyDescent="0.3">
      <c r="A281" s="122" t="s">
        <v>14335</v>
      </c>
      <c r="B281" s="122"/>
      <c r="C281" s="122"/>
      <c r="D281" s="122"/>
      <c r="E281" s="122"/>
      <c r="F281" s="122"/>
      <c r="G281" s="122"/>
      <c r="H281" s="125">
        <f>2*(K261+2+2)</f>
        <v>18.399999999999999</v>
      </c>
    </row>
    <row r="283" spans="1:11" x14ac:dyDescent="0.3">
      <c r="A283" t="s">
        <v>13135</v>
      </c>
    </row>
    <row r="284" spans="1:11" x14ac:dyDescent="0.3">
      <c r="A284" t="s">
        <v>14333</v>
      </c>
      <c r="D284" t="s">
        <v>14299</v>
      </c>
      <c r="F284" s="50">
        <f>1.3/1.5*2</f>
        <v>1.7333333333333334</v>
      </c>
      <c r="H284" t="s">
        <v>14300</v>
      </c>
      <c r="K284" s="50">
        <f>1.3*2</f>
        <v>2.6</v>
      </c>
    </row>
    <row r="285" spans="1:11" x14ac:dyDescent="0.3">
      <c r="F285" s="121"/>
      <c r="K285" s="121"/>
    </row>
    <row r="286" spans="1:11" x14ac:dyDescent="0.3">
      <c r="A286" s="122" t="s">
        <v>14297</v>
      </c>
      <c r="B286" s="123"/>
      <c r="C286" s="123"/>
      <c r="D286" s="123"/>
      <c r="E286" s="123"/>
      <c r="F286" s="123"/>
      <c r="G286" s="123"/>
      <c r="H286" s="124">
        <f>SUM(H287:H288)</f>
        <v>164.76148000000001</v>
      </c>
    </row>
    <row r="287" spans="1:11" x14ac:dyDescent="0.3">
      <c r="B287" t="s">
        <v>14298</v>
      </c>
      <c r="D287" t="s">
        <v>14360</v>
      </c>
      <c r="H287" s="3">
        <f>2*(5.2+2.6)/2*1.42*1.73</f>
        <v>19.161480000000001</v>
      </c>
    </row>
    <row r="288" spans="1:11" x14ac:dyDescent="0.3">
      <c r="B288" t="s">
        <v>14301</v>
      </c>
      <c r="D288" t="s">
        <v>14355</v>
      </c>
      <c r="H288" s="3">
        <f>8*2.6*7</f>
        <v>145.6</v>
      </c>
    </row>
    <row r="289" spans="1:9" x14ac:dyDescent="0.3">
      <c r="H289" s="3"/>
    </row>
    <row r="290" spans="1:9" x14ac:dyDescent="0.3">
      <c r="A290" s="123" t="s">
        <v>13963</v>
      </c>
      <c r="B290" s="123"/>
      <c r="C290" s="123"/>
      <c r="D290" s="123"/>
      <c r="E290" s="123"/>
      <c r="F290" s="123"/>
      <c r="G290" s="123"/>
      <c r="H290" s="124">
        <f>SUM(H291:H292)</f>
        <v>353.25836000000004</v>
      </c>
      <c r="I290" s="126">
        <f>SUM(I291:I292)</f>
        <v>50.465479999999999</v>
      </c>
    </row>
    <row r="291" spans="1:9" x14ac:dyDescent="0.3">
      <c r="B291" t="s">
        <v>14298</v>
      </c>
      <c r="H291" s="3">
        <f>+H287*1.4*5</f>
        <v>134.13036</v>
      </c>
      <c r="I291" s="61">
        <f>+H287</f>
        <v>19.161480000000001</v>
      </c>
    </row>
    <row r="292" spans="1:9" x14ac:dyDescent="0.3">
      <c r="B292" t="s">
        <v>14301</v>
      </c>
      <c r="D292" t="s">
        <v>14359</v>
      </c>
      <c r="H292" s="3">
        <f>2.6*1.72*7*1.4*5</f>
        <v>219.12800000000001</v>
      </c>
      <c r="I292" s="61">
        <f>2.6*1.72*7</f>
        <v>31.304000000000002</v>
      </c>
    </row>
    <row r="294" spans="1:9" x14ac:dyDescent="0.3">
      <c r="A294" s="123" t="s">
        <v>13946</v>
      </c>
      <c r="B294" s="123"/>
      <c r="C294" s="123"/>
      <c r="D294" s="123"/>
      <c r="E294" s="123"/>
      <c r="F294" s="123"/>
      <c r="G294" s="123"/>
      <c r="H294" s="124">
        <f>+H286-I290</f>
        <v>114.29600000000001</v>
      </c>
    </row>
    <row r="296" spans="1:9" x14ac:dyDescent="0.3">
      <c r="A296" s="123" t="s">
        <v>14046</v>
      </c>
      <c r="B296" s="123"/>
      <c r="C296" s="123"/>
      <c r="D296" s="123"/>
      <c r="E296" s="123"/>
      <c r="F296" s="123"/>
      <c r="G296" s="123"/>
      <c r="H296" s="124">
        <f>SUM(H297:H298)</f>
        <v>20.574479999999998</v>
      </c>
    </row>
    <row r="297" spans="1:9" x14ac:dyDescent="0.3">
      <c r="B297" t="s">
        <v>14298</v>
      </c>
      <c r="D297" t="s">
        <v>14356</v>
      </c>
      <c r="H297" s="3">
        <f>((5.2+3.6)/2+(1.42*2))*1.42*0.3*2</f>
        <v>6.1684799999999997</v>
      </c>
    </row>
    <row r="298" spans="1:9" x14ac:dyDescent="0.3">
      <c r="B298" t="s">
        <v>14301</v>
      </c>
      <c r="D298" t="s">
        <v>14357</v>
      </c>
      <c r="H298" s="3">
        <f>(2.6+1.42*3)*0.3*7</f>
        <v>14.405999999999999</v>
      </c>
    </row>
    <row r="300" spans="1:9" x14ac:dyDescent="0.3">
      <c r="A300" s="122" t="s">
        <v>14049</v>
      </c>
      <c r="B300" s="123" t="s">
        <v>14301</v>
      </c>
      <c r="C300" s="123"/>
      <c r="D300" s="123" t="s">
        <v>14358</v>
      </c>
      <c r="E300" s="123"/>
      <c r="F300" s="123"/>
      <c r="G300" s="122"/>
      <c r="H300" s="125">
        <f>(1.3+1.42*6)*7</f>
        <v>68.740000000000009</v>
      </c>
    </row>
    <row r="302" spans="1:9" x14ac:dyDescent="0.3">
      <c r="A302" s="122" t="s">
        <v>14306</v>
      </c>
      <c r="B302" s="122"/>
      <c r="C302" s="122"/>
      <c r="D302" s="122"/>
      <c r="E302" s="122"/>
      <c r="F302" s="122"/>
      <c r="G302" s="122"/>
      <c r="H302" s="125">
        <f>+H296*120</f>
        <v>2468.9375999999997</v>
      </c>
    </row>
    <row r="304" spans="1:9" x14ac:dyDescent="0.3">
      <c r="A304" s="122" t="s">
        <v>14335</v>
      </c>
      <c r="B304" s="122"/>
      <c r="C304" s="122"/>
      <c r="D304" s="122"/>
      <c r="E304" s="122"/>
      <c r="F304" s="122"/>
      <c r="G304" s="122"/>
      <c r="H304" s="125">
        <f>2*(K284+1.42+1.42)</f>
        <v>10.879999999999999</v>
      </c>
    </row>
    <row r="306" spans="1:11" x14ac:dyDescent="0.3">
      <c r="A306" t="s">
        <v>13135</v>
      </c>
    </row>
    <row r="307" spans="1:11" x14ac:dyDescent="0.3">
      <c r="A307" t="s">
        <v>14334</v>
      </c>
      <c r="D307" t="s">
        <v>14299</v>
      </c>
      <c r="F307" s="50">
        <f>2*2.2/1.5</f>
        <v>2.9333333333333336</v>
      </c>
      <c r="H307" t="s">
        <v>14300</v>
      </c>
      <c r="K307" s="50">
        <f>2*2.2*2</f>
        <v>8.8000000000000007</v>
      </c>
    </row>
    <row r="308" spans="1:11" x14ac:dyDescent="0.3">
      <c r="F308" s="121"/>
      <c r="K308" s="121"/>
    </row>
    <row r="309" spans="1:11" x14ac:dyDescent="0.3">
      <c r="A309" s="122" t="s">
        <v>14297</v>
      </c>
      <c r="B309" s="123"/>
      <c r="C309" s="123"/>
      <c r="D309" s="123"/>
      <c r="E309" s="123"/>
      <c r="F309" s="123"/>
      <c r="G309" s="123"/>
      <c r="H309" s="124">
        <f>SUM(H310:H311)</f>
        <v>210.52719999999999</v>
      </c>
    </row>
    <row r="310" spans="1:11" x14ac:dyDescent="0.3">
      <c r="B310" t="s">
        <v>14298</v>
      </c>
      <c r="D310" t="s">
        <v>14337</v>
      </c>
      <c r="H310" s="3">
        <f>2*(8.8+4.4)/2*2.93*2.2</f>
        <v>85.08720000000001</v>
      </c>
    </row>
    <row r="311" spans="1:11" x14ac:dyDescent="0.3">
      <c r="B311" t="s">
        <v>14301</v>
      </c>
      <c r="D311" t="s">
        <v>14338</v>
      </c>
      <c r="H311" s="3">
        <f>6.4*2.8*7</f>
        <v>125.43999999999998</v>
      </c>
    </row>
    <row r="312" spans="1:11" x14ac:dyDescent="0.3">
      <c r="H312" s="3"/>
    </row>
    <row r="313" spans="1:11" x14ac:dyDescent="0.3">
      <c r="A313" s="123" t="s">
        <v>13963</v>
      </c>
      <c r="B313" s="123"/>
      <c r="C313" s="123"/>
      <c r="D313" s="123"/>
      <c r="E313" s="123"/>
      <c r="F313" s="123"/>
      <c r="G313" s="123"/>
      <c r="H313" s="124">
        <f>SUM(H314:H315)</f>
        <v>1113.0504000000001</v>
      </c>
      <c r="I313" s="126">
        <f>SUM(I314:I315)</f>
        <v>159.00720000000001</v>
      </c>
    </row>
    <row r="314" spans="1:11" x14ac:dyDescent="0.3">
      <c r="B314" t="s">
        <v>14298</v>
      </c>
      <c r="H314" s="3">
        <f>+H310*1.4*5</f>
        <v>595.61040000000003</v>
      </c>
      <c r="I314" s="61">
        <f>+H310</f>
        <v>85.08720000000001</v>
      </c>
    </row>
    <row r="315" spans="1:11" x14ac:dyDescent="0.3">
      <c r="B315" t="s">
        <v>14301</v>
      </c>
      <c r="D315" t="s">
        <v>14339</v>
      </c>
      <c r="H315" s="3">
        <f>4.4*2.4*7*1.4*5</f>
        <v>517.44000000000005</v>
      </c>
      <c r="I315" s="61">
        <f>4.4*2.4*7</f>
        <v>73.92</v>
      </c>
    </row>
    <row r="317" spans="1:11" x14ac:dyDescent="0.3">
      <c r="A317" s="123" t="s">
        <v>13946</v>
      </c>
      <c r="B317" s="123"/>
      <c r="C317" s="123"/>
      <c r="D317" s="123"/>
      <c r="E317" s="123"/>
      <c r="F317" s="123"/>
      <c r="G317" s="123"/>
      <c r="H317" s="124">
        <f>+H309-I313</f>
        <v>51.519999999999982</v>
      </c>
    </row>
    <row r="319" spans="1:11" x14ac:dyDescent="0.3">
      <c r="A319" s="123" t="s">
        <v>14046</v>
      </c>
      <c r="B319" s="123"/>
      <c r="C319" s="123"/>
      <c r="D319" s="123"/>
      <c r="E319" s="123"/>
      <c r="F319" s="123"/>
      <c r="G319" s="123"/>
      <c r="H319" s="124">
        <f>SUM(H320:H321)</f>
        <v>60.72</v>
      </c>
    </row>
    <row r="320" spans="1:11" x14ac:dyDescent="0.3">
      <c r="B320" t="s">
        <v>14298</v>
      </c>
      <c r="D320" t="s">
        <v>14340</v>
      </c>
      <c r="H320" s="3">
        <f>((8.8+4.4)/2+(2.2*2))*2.2*0.3*2</f>
        <v>14.520000000000001</v>
      </c>
    </row>
    <row r="321" spans="1:8" x14ac:dyDescent="0.3">
      <c r="B321" t="s">
        <v>14301</v>
      </c>
      <c r="D321" t="s">
        <v>14341</v>
      </c>
      <c r="H321" s="3">
        <f>(2.2*5)*2*0.3*7</f>
        <v>46.199999999999996</v>
      </c>
    </row>
    <row r="323" spans="1:8" x14ac:dyDescent="0.3">
      <c r="A323" s="122" t="s">
        <v>14049</v>
      </c>
      <c r="B323" s="123" t="s">
        <v>14301</v>
      </c>
      <c r="C323" s="123"/>
      <c r="D323" s="123" t="s">
        <v>14342</v>
      </c>
      <c r="E323" s="123"/>
      <c r="F323" s="123"/>
      <c r="G323" s="122"/>
      <c r="H323" s="125">
        <f>(2.4*7)*7</f>
        <v>117.60000000000001</v>
      </c>
    </row>
    <row r="325" spans="1:8" x14ac:dyDescent="0.3">
      <c r="A325" s="122" t="s">
        <v>14306</v>
      </c>
      <c r="B325" s="122"/>
      <c r="C325" s="122"/>
      <c r="D325" s="122"/>
      <c r="E325" s="122"/>
      <c r="F325" s="122"/>
      <c r="G325" s="122"/>
      <c r="H325" s="125">
        <f>+H319*120</f>
        <v>7286.4</v>
      </c>
    </row>
    <row r="327" spans="1:8" x14ac:dyDescent="0.3">
      <c r="A327" s="122" t="s">
        <v>14335</v>
      </c>
      <c r="B327" s="122"/>
      <c r="C327" s="122"/>
      <c r="D327" s="122"/>
      <c r="E327" s="122"/>
      <c r="F327" s="122"/>
      <c r="G327" s="122"/>
      <c r="H327" s="125">
        <f>2*(K307+2.2+2.2)</f>
        <v>26.4</v>
      </c>
    </row>
  </sheetData>
  <mergeCells count="2">
    <mergeCell ref="O3:W3"/>
    <mergeCell ref="O14:R14"/>
  </mergeCells>
  <pageMargins left="0.51181102362204722" right="0.51181102362204722" top="0.78740157480314965" bottom="0.78740157480314965" header="0.31496062992125984" footer="0.31496062992125984"/>
  <pageSetup paperSize="9" scale="1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EA943-C6AD-4218-9F33-0DE42822E8CC}">
  <dimension ref="A1:F51"/>
  <sheetViews>
    <sheetView workbookViewId="0"/>
  </sheetViews>
  <sheetFormatPr defaultRowHeight="14.4" x14ac:dyDescent="0.3"/>
  <cols>
    <col min="5" max="5" width="10.6640625" bestFit="1" customWidth="1"/>
  </cols>
  <sheetData>
    <row r="1" spans="1:6" x14ac:dyDescent="0.3">
      <c r="A1" t="s">
        <v>13995</v>
      </c>
    </row>
    <row r="3" spans="1:6" x14ac:dyDescent="0.3">
      <c r="A3" t="s">
        <v>21</v>
      </c>
    </row>
    <row r="4" spans="1:6" x14ac:dyDescent="0.3">
      <c r="A4" t="s">
        <v>13994</v>
      </c>
      <c r="B4" t="s">
        <v>13996</v>
      </c>
      <c r="E4" t="s">
        <v>13997</v>
      </c>
    </row>
    <row r="5" spans="1:6" x14ac:dyDescent="0.3">
      <c r="A5" t="s">
        <v>13998</v>
      </c>
      <c r="E5" s="3">
        <f>1.4*1.2*1683</f>
        <v>2827.44</v>
      </c>
      <c r="F5" t="s">
        <v>427</v>
      </c>
    </row>
    <row r="6" spans="1:6" x14ac:dyDescent="0.3">
      <c r="A6" t="s">
        <v>13999</v>
      </c>
      <c r="E6" s="3">
        <f>3.1416*0.8*0.8/4*1683*1.4*5</f>
        <v>5921.790336</v>
      </c>
      <c r="F6" t="s">
        <v>14004</v>
      </c>
    </row>
    <row r="7" spans="1:6" x14ac:dyDescent="0.3">
      <c r="A7" t="s">
        <v>14000</v>
      </c>
      <c r="E7" s="3">
        <f>E5-3.1416*0.8*0.8/4*1683</f>
        <v>1981.4699519999999</v>
      </c>
      <c r="F7" t="s">
        <v>427</v>
      </c>
    </row>
    <row r="8" spans="1:6" x14ac:dyDescent="0.3">
      <c r="A8" t="s">
        <v>14003</v>
      </c>
      <c r="E8" s="3">
        <f>1683*2*1.2</f>
        <v>4039.2</v>
      </c>
      <c r="F8" t="s">
        <v>2904</v>
      </c>
    </row>
    <row r="9" spans="1:6" s="60" customFormat="1" x14ac:dyDescent="0.3">
      <c r="A9" s="60" t="s">
        <v>14566</v>
      </c>
      <c r="E9" s="61">
        <f>1.2*1683*0.3</f>
        <v>605.88</v>
      </c>
    </row>
    <row r="10" spans="1:6" x14ac:dyDescent="0.3">
      <c r="A10" t="s">
        <v>14001</v>
      </c>
      <c r="E10" s="3">
        <f>1.2*1683*0.1</f>
        <v>201.96</v>
      </c>
      <c r="F10" t="s">
        <v>427</v>
      </c>
    </row>
    <row r="11" spans="1:6" x14ac:dyDescent="0.3">
      <c r="A11" t="s">
        <v>14002</v>
      </c>
      <c r="E11" s="3">
        <v>1683</v>
      </c>
      <c r="F11" t="s">
        <v>195</v>
      </c>
    </row>
    <row r="13" spans="1:6" x14ac:dyDescent="0.3">
      <c r="A13" t="s">
        <v>14008</v>
      </c>
    </row>
    <row r="14" spans="1:6" x14ac:dyDescent="0.3">
      <c r="A14" t="s">
        <v>14007</v>
      </c>
      <c r="B14" t="s">
        <v>14005</v>
      </c>
      <c r="E14" t="s">
        <v>14006</v>
      </c>
    </row>
    <row r="15" spans="1:6" x14ac:dyDescent="0.3">
      <c r="A15" t="s">
        <v>14021</v>
      </c>
      <c r="E15" s="3">
        <f>1.6*1.4*2100</f>
        <v>4703.9999999999991</v>
      </c>
      <c r="F15" t="s">
        <v>427</v>
      </c>
    </row>
    <row r="16" spans="1:6" x14ac:dyDescent="0.3">
      <c r="A16" t="s">
        <v>14022</v>
      </c>
      <c r="E16" s="3">
        <f>3.1416*1*1/4*2100*1.4*5</f>
        <v>11545.379999999997</v>
      </c>
      <c r="F16" t="s">
        <v>14004</v>
      </c>
    </row>
    <row r="17" spans="1:6" x14ac:dyDescent="0.3">
      <c r="A17" t="s">
        <v>14000</v>
      </c>
      <c r="E17" s="3">
        <f>E15-3.1416*0.8*0.8/4*1683</f>
        <v>3858.029951999999</v>
      </c>
      <c r="F17" t="s">
        <v>427</v>
      </c>
    </row>
    <row r="18" spans="1:6" x14ac:dyDescent="0.3">
      <c r="A18" t="s">
        <v>14023</v>
      </c>
      <c r="E18" s="3">
        <f>2100*2*1.4</f>
        <v>5880</v>
      </c>
      <c r="F18" t="s">
        <v>2904</v>
      </c>
    </row>
    <row r="19" spans="1:6" s="60" customFormat="1" x14ac:dyDescent="0.3">
      <c r="A19" s="60" t="s">
        <v>14564</v>
      </c>
      <c r="E19" s="61">
        <f>1.4*2100*0.3</f>
        <v>882</v>
      </c>
    </row>
    <row r="20" spans="1:6" x14ac:dyDescent="0.3">
      <c r="A20" t="s">
        <v>14024</v>
      </c>
      <c r="E20" s="3">
        <f>1.4*2100*0.1</f>
        <v>294</v>
      </c>
      <c r="F20" t="s">
        <v>427</v>
      </c>
    </row>
    <row r="21" spans="1:6" x14ac:dyDescent="0.3">
      <c r="A21" t="s">
        <v>14002</v>
      </c>
      <c r="E21" s="3">
        <v>2100</v>
      </c>
      <c r="F21" t="s">
        <v>195</v>
      </c>
    </row>
    <row r="23" spans="1:6" x14ac:dyDescent="0.3">
      <c r="A23" t="s">
        <v>14009</v>
      </c>
    </row>
    <row r="24" spans="1:6" x14ac:dyDescent="0.3">
      <c r="A24" t="s">
        <v>14007</v>
      </c>
      <c r="B24" t="s">
        <v>14010</v>
      </c>
      <c r="E24" t="s">
        <v>14011</v>
      </c>
    </row>
    <row r="25" spans="1:6" x14ac:dyDescent="0.3">
      <c r="A25" t="s">
        <v>14025</v>
      </c>
      <c r="E25" s="3">
        <f>1.2*1*665</f>
        <v>798</v>
      </c>
      <c r="F25" t="s">
        <v>427</v>
      </c>
    </row>
    <row r="26" spans="1:6" x14ac:dyDescent="0.3">
      <c r="A26" t="s">
        <v>14026</v>
      </c>
      <c r="E26" s="3">
        <f>3.1416*0.6*0.6/4*665*1.4*5</f>
        <v>1316.1733199999999</v>
      </c>
      <c r="F26" t="s">
        <v>14004</v>
      </c>
    </row>
    <row r="27" spans="1:6" x14ac:dyDescent="0.3">
      <c r="A27" t="s">
        <v>14000</v>
      </c>
      <c r="E27" s="3">
        <f>E25-3.1416*0.6*0.6/4*665</f>
        <v>609.97523999999999</v>
      </c>
      <c r="F27" t="s">
        <v>427</v>
      </c>
    </row>
    <row r="28" spans="1:6" x14ac:dyDescent="0.3">
      <c r="A28" t="s">
        <v>14027</v>
      </c>
      <c r="E28" s="3">
        <f>665*2*1</f>
        <v>1330</v>
      </c>
      <c r="F28" t="s">
        <v>2904</v>
      </c>
    </row>
    <row r="29" spans="1:6" s="60" customFormat="1" x14ac:dyDescent="0.3">
      <c r="A29" s="60" t="s">
        <v>14565</v>
      </c>
      <c r="E29" s="61">
        <f>1*665*0.3</f>
        <v>199.5</v>
      </c>
    </row>
    <row r="30" spans="1:6" x14ac:dyDescent="0.3">
      <c r="A30" t="s">
        <v>14028</v>
      </c>
      <c r="E30" s="3">
        <f>1*665*0.1</f>
        <v>66.5</v>
      </c>
      <c r="F30" t="s">
        <v>427</v>
      </c>
    </row>
    <row r="31" spans="1:6" x14ac:dyDescent="0.3">
      <c r="A31" t="s">
        <v>14002</v>
      </c>
      <c r="E31" s="3">
        <v>665</v>
      </c>
      <c r="F31" t="s">
        <v>195</v>
      </c>
    </row>
    <row r="33" spans="1:6" x14ac:dyDescent="0.3">
      <c r="A33" t="s">
        <v>14012</v>
      </c>
    </row>
    <row r="34" spans="1:6" x14ac:dyDescent="0.3">
      <c r="A34" t="s">
        <v>14007</v>
      </c>
      <c r="B34" t="s">
        <v>14013</v>
      </c>
      <c r="E34" t="s">
        <v>14014</v>
      </c>
    </row>
    <row r="35" spans="1:6" x14ac:dyDescent="0.3">
      <c r="A35" t="s">
        <v>14029</v>
      </c>
      <c r="E35" s="3">
        <f>1.1*1*1377</f>
        <v>1514.7</v>
      </c>
      <c r="F35" t="s">
        <v>427</v>
      </c>
    </row>
    <row r="36" spans="1:6" x14ac:dyDescent="0.3">
      <c r="A36" t="s">
        <v>14030</v>
      </c>
      <c r="E36" s="3">
        <f>3.1416*0.5*0.5/4*1377*1.4*5</f>
        <v>1892.6176499999997</v>
      </c>
      <c r="F36" t="s">
        <v>14004</v>
      </c>
    </row>
    <row r="37" spans="1:6" x14ac:dyDescent="0.3">
      <c r="A37" t="s">
        <v>14000</v>
      </c>
      <c r="E37" s="3">
        <f>E35-3.1416*0.5*0.5/4*1377</f>
        <v>1244.3260500000001</v>
      </c>
      <c r="F37" t="s">
        <v>427</v>
      </c>
    </row>
    <row r="38" spans="1:6" x14ac:dyDescent="0.3">
      <c r="A38" t="s">
        <v>14031</v>
      </c>
      <c r="E38" s="3">
        <f>1377*2*1.1</f>
        <v>3029.4</v>
      </c>
      <c r="F38" t="s">
        <v>2904</v>
      </c>
    </row>
    <row r="39" spans="1:6" s="60" customFormat="1" x14ac:dyDescent="0.3">
      <c r="A39" s="60" t="s">
        <v>14567</v>
      </c>
      <c r="E39" s="61">
        <f>0.9*1377*0.3</f>
        <v>371.78999999999996</v>
      </c>
    </row>
    <row r="40" spans="1:6" x14ac:dyDescent="0.3">
      <c r="A40" t="s">
        <v>14032</v>
      </c>
      <c r="E40" s="3">
        <f>0.9*1377*0.1</f>
        <v>123.93</v>
      </c>
      <c r="F40" t="s">
        <v>427</v>
      </c>
    </row>
    <row r="41" spans="1:6" x14ac:dyDescent="0.3">
      <c r="A41" t="s">
        <v>14002</v>
      </c>
      <c r="E41" s="3">
        <v>1377</v>
      </c>
      <c r="F41" t="s">
        <v>195</v>
      </c>
    </row>
    <row r="43" spans="1:6" x14ac:dyDescent="0.3">
      <c r="A43" t="s">
        <v>14012</v>
      </c>
    </row>
    <row r="44" spans="1:6" x14ac:dyDescent="0.3">
      <c r="A44" t="s">
        <v>14015</v>
      </c>
      <c r="B44" t="s">
        <v>14016</v>
      </c>
      <c r="E44" t="s">
        <v>14014</v>
      </c>
    </row>
    <row r="45" spans="1:6" x14ac:dyDescent="0.3">
      <c r="A45" t="s">
        <v>14033</v>
      </c>
      <c r="E45" s="3">
        <f>1.4*1.2*1537</f>
        <v>2582.16</v>
      </c>
      <c r="F45" t="s">
        <v>427</v>
      </c>
    </row>
    <row r="46" spans="1:6" x14ac:dyDescent="0.3">
      <c r="A46" t="s">
        <v>14034</v>
      </c>
      <c r="E46" s="3">
        <f>3.1416*0.5*0.5/4*1537*1.4*5</f>
        <v>2112.5296499999995</v>
      </c>
      <c r="F46" t="s">
        <v>14004</v>
      </c>
    </row>
    <row r="47" spans="1:6" x14ac:dyDescent="0.3">
      <c r="A47" t="s">
        <v>14000</v>
      </c>
      <c r="E47" s="3">
        <f>E45-3.1416*0.5*0.5/4*1537</f>
        <v>2280.37005</v>
      </c>
      <c r="F47" t="s">
        <v>427</v>
      </c>
    </row>
    <row r="48" spans="1:6" x14ac:dyDescent="0.3">
      <c r="A48" t="s">
        <v>14035</v>
      </c>
      <c r="E48" s="3">
        <f>1537*2*1.2</f>
        <v>3688.7999999999997</v>
      </c>
      <c r="F48" t="s">
        <v>2904</v>
      </c>
    </row>
    <row r="49" spans="1:6" s="60" customFormat="1" x14ac:dyDescent="0.3">
      <c r="A49" s="60" t="s">
        <v>14568</v>
      </c>
      <c r="E49" s="61">
        <f>0.9*1537*0.3</f>
        <v>414.98999999999995</v>
      </c>
    </row>
    <row r="50" spans="1:6" x14ac:dyDescent="0.3">
      <c r="A50" t="s">
        <v>14036</v>
      </c>
      <c r="E50" s="3">
        <f>0.9*1537*0.1</f>
        <v>138.33000000000001</v>
      </c>
      <c r="F50" t="s">
        <v>427</v>
      </c>
    </row>
    <row r="51" spans="1:6" x14ac:dyDescent="0.3">
      <c r="A51" t="s">
        <v>14002</v>
      </c>
      <c r="E51" s="3">
        <v>1537</v>
      </c>
      <c r="F51" t="s">
        <v>195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33EA-121B-425D-93AD-D1F5D06F3306}">
  <dimension ref="A1:H94"/>
  <sheetViews>
    <sheetView workbookViewId="0"/>
  </sheetViews>
  <sheetFormatPr defaultRowHeight="14.4" x14ac:dyDescent="0.3"/>
  <cols>
    <col min="4" max="4" width="9.5546875" bestFit="1" customWidth="1"/>
    <col min="8" max="8" width="10.6640625" bestFit="1" customWidth="1"/>
  </cols>
  <sheetData>
    <row r="1" spans="1:8" x14ac:dyDescent="0.3">
      <c r="A1" t="s">
        <v>14044</v>
      </c>
    </row>
    <row r="3" spans="1:8" x14ac:dyDescent="0.3">
      <c r="A3" t="s">
        <v>14045</v>
      </c>
    </row>
    <row r="5" spans="1:8" x14ac:dyDescent="0.3">
      <c r="A5" t="s">
        <v>14051</v>
      </c>
      <c r="D5" s="48">
        <f>42*18.1</f>
        <v>760.2</v>
      </c>
    </row>
    <row r="6" spans="1:8" x14ac:dyDescent="0.3">
      <c r="A6" t="s">
        <v>14047</v>
      </c>
      <c r="D6" s="48">
        <f>32*8.1*3</f>
        <v>777.59999999999991</v>
      </c>
    </row>
    <row r="7" spans="1:8" x14ac:dyDescent="0.3">
      <c r="A7" t="s">
        <v>13963</v>
      </c>
      <c r="D7" s="48">
        <f>+D6*1.4*5</f>
        <v>5443.1999999999989</v>
      </c>
    </row>
    <row r="8" spans="1:8" x14ac:dyDescent="0.3">
      <c r="A8" t="s">
        <v>14046</v>
      </c>
      <c r="H8" s="48">
        <f>SUM(H9:H14)</f>
        <v>297.863</v>
      </c>
    </row>
    <row r="9" spans="1:8" x14ac:dyDescent="0.3">
      <c r="B9" t="s">
        <v>14048</v>
      </c>
      <c r="H9" s="3">
        <f>23.3*7.8*0.3</f>
        <v>54.521999999999998</v>
      </c>
    </row>
    <row r="10" spans="1:8" x14ac:dyDescent="0.3">
      <c r="B10" t="s">
        <v>14050</v>
      </c>
      <c r="H10" s="3">
        <f>23.3*2*2.7*0.3</f>
        <v>37.746000000000002</v>
      </c>
    </row>
    <row r="11" spans="1:8" x14ac:dyDescent="0.3">
      <c r="B11" t="s">
        <v>14052</v>
      </c>
      <c r="H11" s="3">
        <f>61.4*9.75*0.3</f>
        <v>179.595</v>
      </c>
    </row>
    <row r="12" spans="1:8" x14ac:dyDescent="0.3">
      <c r="B12" t="s">
        <v>14053</v>
      </c>
      <c r="H12" s="3">
        <f>22*3*0.3</f>
        <v>19.8</v>
      </c>
    </row>
    <row r="13" spans="1:8" x14ac:dyDescent="0.3">
      <c r="B13" t="s">
        <v>14065</v>
      </c>
      <c r="H13" s="3">
        <f>7.7*7*0.1</f>
        <v>5.3900000000000006</v>
      </c>
    </row>
    <row r="14" spans="1:8" x14ac:dyDescent="0.3">
      <c r="B14" t="s">
        <v>14054</v>
      </c>
      <c r="H14" s="3">
        <f>8.1*0.1</f>
        <v>0.81</v>
      </c>
    </row>
    <row r="15" spans="1:8" x14ac:dyDescent="0.3">
      <c r="A15" t="s">
        <v>14049</v>
      </c>
      <c r="H15" s="48">
        <f>+H8*6</f>
        <v>1787.1779999999999</v>
      </c>
    </row>
    <row r="16" spans="1:8" s="60" customFormat="1" x14ac:dyDescent="0.3">
      <c r="A16" s="60" t="s">
        <v>14554</v>
      </c>
      <c r="C16" s="60" t="s">
        <v>14555</v>
      </c>
      <c r="H16" s="196">
        <f>7*7*2.8</f>
        <v>137.19999999999999</v>
      </c>
    </row>
    <row r="17" spans="1:8" x14ac:dyDescent="0.3">
      <c r="A17" t="s">
        <v>13949</v>
      </c>
      <c r="H17" s="48">
        <f>+H8*120</f>
        <v>35743.56</v>
      </c>
    </row>
    <row r="18" spans="1:8" x14ac:dyDescent="0.3">
      <c r="A18" t="s">
        <v>14055</v>
      </c>
      <c r="H18" s="48">
        <f>10*10</f>
        <v>100</v>
      </c>
    </row>
    <row r="19" spans="1:8" x14ac:dyDescent="0.3">
      <c r="A19" t="s">
        <v>13130</v>
      </c>
      <c r="E19" s="3">
        <v>42</v>
      </c>
      <c r="F19" t="s">
        <v>13270</v>
      </c>
    </row>
    <row r="20" spans="1:8" x14ac:dyDescent="0.3">
      <c r="A20" t="s">
        <v>13131</v>
      </c>
      <c r="E20" s="3">
        <v>15</v>
      </c>
      <c r="F20" t="s">
        <v>13270</v>
      </c>
    </row>
    <row r="22" spans="1:8" x14ac:dyDescent="0.3">
      <c r="A22" t="s">
        <v>14063</v>
      </c>
    </row>
    <row r="24" spans="1:8" x14ac:dyDescent="0.3">
      <c r="A24" t="s">
        <v>14087</v>
      </c>
      <c r="D24" s="48">
        <f>36.6*18.45</f>
        <v>675.27</v>
      </c>
    </row>
    <row r="25" spans="1:8" x14ac:dyDescent="0.3">
      <c r="A25" t="s">
        <v>14086</v>
      </c>
      <c r="D25" s="48">
        <f>26.6*8.45</f>
        <v>224.76999999999998</v>
      </c>
    </row>
    <row r="26" spans="1:8" x14ac:dyDescent="0.3">
      <c r="A26" t="s">
        <v>13963</v>
      </c>
      <c r="D26" s="48">
        <f>+D25*1.4*5</f>
        <v>1573.3899999999996</v>
      </c>
    </row>
    <row r="27" spans="1:8" x14ac:dyDescent="0.3">
      <c r="A27" t="s">
        <v>14046</v>
      </c>
      <c r="H27" s="48">
        <f>SUM(H28:H33)</f>
        <v>228.27599999999998</v>
      </c>
    </row>
    <row r="28" spans="1:8" x14ac:dyDescent="0.3">
      <c r="B28" t="s">
        <v>14088</v>
      </c>
      <c r="H28" s="3">
        <f>8.1*22*0.3</f>
        <v>53.459999999999994</v>
      </c>
    </row>
    <row r="29" spans="1:8" x14ac:dyDescent="0.3">
      <c r="B29" t="s">
        <v>14089</v>
      </c>
      <c r="H29" s="3">
        <f>8.1*2*2.7*0.3</f>
        <v>13.122</v>
      </c>
    </row>
    <row r="30" spans="1:8" x14ac:dyDescent="0.3">
      <c r="B30" t="s">
        <v>14090</v>
      </c>
      <c r="H30" s="3">
        <f>47*9.5*0.3</f>
        <v>133.94999999999999</v>
      </c>
    </row>
    <row r="31" spans="1:8" x14ac:dyDescent="0.3">
      <c r="B31" t="s">
        <v>14091</v>
      </c>
      <c r="H31" s="3">
        <f>21.4*2.8*0.3</f>
        <v>17.975999999999999</v>
      </c>
    </row>
    <row r="32" spans="1:8" x14ac:dyDescent="0.3">
      <c r="B32" t="s">
        <v>14092</v>
      </c>
      <c r="H32" s="3">
        <f>9.7*8.4*0.1</f>
        <v>8.1480000000000015</v>
      </c>
    </row>
    <row r="33" spans="1:8" x14ac:dyDescent="0.3">
      <c r="B33" t="s">
        <v>14054</v>
      </c>
      <c r="H33" s="3">
        <f>8.1*2*0.1</f>
        <v>1.62</v>
      </c>
    </row>
    <row r="34" spans="1:8" x14ac:dyDescent="0.3">
      <c r="A34" t="s">
        <v>14049</v>
      </c>
      <c r="H34" s="48">
        <f>+H27*6</f>
        <v>1369.6559999999999</v>
      </c>
    </row>
    <row r="35" spans="1:8" s="60" customFormat="1" x14ac:dyDescent="0.3">
      <c r="A35" s="60" t="s">
        <v>14554</v>
      </c>
      <c r="C35" s="60" t="s">
        <v>14556</v>
      </c>
      <c r="H35" s="196">
        <f>9.7*8.4*2.8</f>
        <v>228.14400000000001</v>
      </c>
    </row>
    <row r="36" spans="1:8" x14ac:dyDescent="0.3">
      <c r="A36" t="s">
        <v>13949</v>
      </c>
      <c r="H36" s="48">
        <f>+H27*120</f>
        <v>27393.119999999999</v>
      </c>
    </row>
    <row r="37" spans="1:8" x14ac:dyDescent="0.3">
      <c r="A37" t="s">
        <v>14055</v>
      </c>
      <c r="H37" s="48">
        <f>10*10</f>
        <v>100</v>
      </c>
    </row>
    <row r="38" spans="1:8" x14ac:dyDescent="0.3">
      <c r="A38" t="s">
        <v>13166</v>
      </c>
      <c r="E38" s="3">
        <v>19.2</v>
      </c>
      <c r="F38" t="s">
        <v>13270</v>
      </c>
    </row>
    <row r="39" spans="1:8" x14ac:dyDescent="0.3">
      <c r="A39" t="s">
        <v>13167</v>
      </c>
      <c r="E39" s="3">
        <v>13.15</v>
      </c>
      <c r="F39" t="s">
        <v>13270</v>
      </c>
    </row>
    <row r="41" spans="1:8" x14ac:dyDescent="0.3">
      <c r="A41" t="s">
        <v>14064</v>
      </c>
    </row>
    <row r="43" spans="1:8" x14ac:dyDescent="0.3">
      <c r="A43" t="s">
        <v>14204</v>
      </c>
      <c r="D43" s="48">
        <f>34*12</f>
        <v>408</v>
      </c>
    </row>
    <row r="44" spans="1:8" x14ac:dyDescent="0.3">
      <c r="A44" t="s">
        <v>14205</v>
      </c>
      <c r="D44" s="48">
        <f>24*8*2.5</f>
        <v>480</v>
      </c>
    </row>
    <row r="45" spans="1:8" x14ac:dyDescent="0.3">
      <c r="A45" t="s">
        <v>13963</v>
      </c>
      <c r="D45" s="48">
        <f>+D44*1.4*5</f>
        <v>3360</v>
      </c>
    </row>
    <row r="46" spans="1:8" x14ac:dyDescent="0.3">
      <c r="A46" t="s">
        <v>14046</v>
      </c>
      <c r="H46" s="48">
        <f>SUM(H47:H52)</f>
        <v>176.28500000000003</v>
      </c>
    </row>
    <row r="47" spans="1:8" x14ac:dyDescent="0.3">
      <c r="B47" t="s">
        <v>14206</v>
      </c>
      <c r="H47" s="3">
        <f>19*2*3</f>
        <v>114</v>
      </c>
    </row>
    <row r="48" spans="1:8" x14ac:dyDescent="0.3">
      <c r="B48" t="s">
        <v>14208</v>
      </c>
      <c r="H48" s="3">
        <f>7*2*2.2*0.3</f>
        <v>9.24</v>
      </c>
    </row>
    <row r="49" spans="1:8" x14ac:dyDescent="0.3">
      <c r="B49" t="s">
        <v>14207</v>
      </c>
      <c r="H49" s="3">
        <f>3.5*4*10*0.3</f>
        <v>42</v>
      </c>
    </row>
    <row r="50" spans="1:8" x14ac:dyDescent="0.3">
      <c r="B50" t="s">
        <v>14209</v>
      </c>
      <c r="H50" s="3">
        <f>5.5*2*2.8*0.3</f>
        <v>9.2399999999999984</v>
      </c>
    </row>
    <row r="51" spans="1:8" x14ac:dyDescent="0.3">
      <c r="B51" t="s">
        <v>14210</v>
      </c>
      <c r="H51" s="3">
        <f>4.5*2.5*0.1</f>
        <v>1.125</v>
      </c>
    </row>
    <row r="52" spans="1:8" x14ac:dyDescent="0.3">
      <c r="B52" t="s">
        <v>14211</v>
      </c>
      <c r="H52" s="3">
        <f>3.4*2*0.1</f>
        <v>0.68</v>
      </c>
    </row>
    <row r="53" spans="1:8" x14ac:dyDescent="0.3">
      <c r="A53" t="s">
        <v>14049</v>
      </c>
      <c r="H53" s="48">
        <f>+H46*6</f>
        <v>1057.71</v>
      </c>
    </row>
    <row r="54" spans="1:8" s="60" customFormat="1" x14ac:dyDescent="0.3">
      <c r="A54" s="60" t="s">
        <v>14554</v>
      </c>
      <c r="C54" s="60" t="s">
        <v>14557</v>
      </c>
      <c r="H54" s="196">
        <f>4.5*2.5*2.8</f>
        <v>31.499999999999996</v>
      </c>
    </row>
    <row r="55" spans="1:8" x14ac:dyDescent="0.3">
      <c r="A55" t="s">
        <v>13949</v>
      </c>
      <c r="H55" s="48">
        <f>+H46*120</f>
        <v>21154.200000000004</v>
      </c>
    </row>
    <row r="56" spans="1:8" x14ac:dyDescent="0.3">
      <c r="A56" t="s">
        <v>14212</v>
      </c>
      <c r="H56" s="48">
        <v>50</v>
      </c>
    </row>
    <row r="57" spans="1:8" x14ac:dyDescent="0.3">
      <c r="A57" t="s">
        <v>13168</v>
      </c>
      <c r="E57" s="3">
        <v>13</v>
      </c>
      <c r="F57" t="s">
        <v>13270</v>
      </c>
    </row>
    <row r="59" spans="1:8" x14ac:dyDescent="0.3">
      <c r="A59" t="s">
        <v>14066</v>
      </c>
    </row>
    <row r="61" spans="1:8" x14ac:dyDescent="0.3">
      <c r="A61" t="s">
        <v>14214</v>
      </c>
      <c r="D61" s="48">
        <f>32.2*14</f>
        <v>450.80000000000007</v>
      </c>
    </row>
    <row r="62" spans="1:8" x14ac:dyDescent="0.3">
      <c r="A62" t="s">
        <v>14213</v>
      </c>
      <c r="D62" s="48">
        <f>22.2*4*1.8</f>
        <v>159.84</v>
      </c>
    </row>
    <row r="63" spans="1:8" x14ac:dyDescent="0.3">
      <c r="A63" t="s">
        <v>13963</v>
      </c>
      <c r="D63" s="48">
        <f>+D62*1.4*5</f>
        <v>1118.8799999999999</v>
      </c>
    </row>
    <row r="64" spans="1:8" x14ac:dyDescent="0.3">
      <c r="A64" t="s">
        <v>14046</v>
      </c>
      <c r="H64" s="48">
        <f>SUM(H65:H70)</f>
        <v>159.00299999999999</v>
      </c>
    </row>
    <row r="65" spans="1:8" x14ac:dyDescent="0.3">
      <c r="B65" t="s">
        <v>14215</v>
      </c>
      <c r="H65" s="3">
        <f>18*4.4*0.3</f>
        <v>23.76</v>
      </c>
    </row>
    <row r="66" spans="1:8" x14ac:dyDescent="0.3">
      <c r="B66" t="s">
        <v>14216</v>
      </c>
      <c r="H66" s="3">
        <f>5.25*2*0.3</f>
        <v>3.15</v>
      </c>
    </row>
    <row r="67" spans="1:8" x14ac:dyDescent="0.3">
      <c r="B67" t="s">
        <v>14217</v>
      </c>
      <c r="H67" s="3">
        <f>42.94*9*0.3</f>
        <v>115.93799999999999</v>
      </c>
    </row>
    <row r="68" spans="1:8" x14ac:dyDescent="0.3">
      <c r="B68" t="s">
        <v>14218</v>
      </c>
      <c r="H68" s="3">
        <f>7.05*2*2.8*0.3</f>
        <v>11.843999999999999</v>
      </c>
    </row>
    <row r="69" spans="1:8" x14ac:dyDescent="0.3">
      <c r="B69" t="s">
        <v>14219</v>
      </c>
      <c r="H69" s="3">
        <f>7.7*4.3*0.1</f>
        <v>3.3109999999999999</v>
      </c>
    </row>
    <row r="70" spans="1:8" x14ac:dyDescent="0.3">
      <c r="B70" t="s">
        <v>14220</v>
      </c>
      <c r="H70" s="3">
        <f>5*2*1*0.1</f>
        <v>1</v>
      </c>
    </row>
    <row r="71" spans="1:8" x14ac:dyDescent="0.3">
      <c r="A71" t="s">
        <v>14049</v>
      </c>
      <c r="H71" s="48">
        <f>+H64*6</f>
        <v>954.01799999999992</v>
      </c>
    </row>
    <row r="72" spans="1:8" s="60" customFormat="1" x14ac:dyDescent="0.3">
      <c r="A72" s="60" t="s">
        <v>14554</v>
      </c>
      <c r="C72" s="60" t="s">
        <v>14558</v>
      </c>
      <c r="H72" s="196">
        <f>7.7*4.3*2.8</f>
        <v>92.707999999999998</v>
      </c>
    </row>
    <row r="73" spans="1:8" x14ac:dyDescent="0.3">
      <c r="A73" t="s">
        <v>13949</v>
      </c>
      <c r="H73" s="48">
        <f>+H64*120</f>
        <v>19080.359999999997</v>
      </c>
    </row>
    <row r="74" spans="1:8" x14ac:dyDescent="0.3">
      <c r="A74" t="s">
        <v>14221</v>
      </c>
      <c r="H74" s="48">
        <f>10*6</f>
        <v>60</v>
      </c>
    </row>
    <row r="75" spans="1:8" x14ac:dyDescent="0.3">
      <c r="A75" t="s">
        <v>13169</v>
      </c>
      <c r="E75" s="3">
        <v>6.5</v>
      </c>
      <c r="F75" t="s">
        <v>13270</v>
      </c>
    </row>
    <row r="76" spans="1:8" x14ac:dyDescent="0.3">
      <c r="A76" t="s">
        <v>13170</v>
      </c>
      <c r="E76" s="3">
        <v>8.5</v>
      </c>
      <c r="F76" t="s">
        <v>13270</v>
      </c>
    </row>
    <row r="78" spans="1:8" x14ac:dyDescent="0.3">
      <c r="A78" t="s">
        <v>14067</v>
      </c>
    </row>
    <row r="80" spans="1:8" x14ac:dyDescent="0.3">
      <c r="A80" t="s">
        <v>14094</v>
      </c>
      <c r="D80" s="48">
        <f>26.55*14.3</f>
        <v>379.66500000000002</v>
      </c>
    </row>
    <row r="81" spans="1:8" x14ac:dyDescent="0.3">
      <c r="A81" t="s">
        <v>14093</v>
      </c>
      <c r="D81" s="48">
        <f>16.55*4.3*2.3</f>
        <v>163.67949999999999</v>
      </c>
    </row>
    <row r="82" spans="1:8" x14ac:dyDescent="0.3">
      <c r="A82" t="s">
        <v>13963</v>
      </c>
      <c r="D82" s="48">
        <f>+D81*1.4*5</f>
        <v>1145.7564999999997</v>
      </c>
    </row>
    <row r="83" spans="1:8" x14ac:dyDescent="0.3">
      <c r="A83" t="s">
        <v>14046</v>
      </c>
      <c r="H83" s="48">
        <f>SUM(H84:H89)</f>
        <v>148.5985</v>
      </c>
    </row>
    <row r="84" spans="1:8" x14ac:dyDescent="0.3">
      <c r="B84" t="s">
        <v>14095</v>
      </c>
      <c r="H84" s="3">
        <f>4.3*16.55*0.3</f>
        <v>21.349500000000003</v>
      </c>
    </row>
    <row r="85" spans="1:8" x14ac:dyDescent="0.3">
      <c r="B85" t="s">
        <v>14097</v>
      </c>
      <c r="H85" s="3">
        <f>5.25*2*2</f>
        <v>21</v>
      </c>
    </row>
    <row r="86" spans="1:8" x14ac:dyDescent="0.3">
      <c r="B86" t="s">
        <v>14096</v>
      </c>
      <c r="H86" s="3">
        <f>43.2*6.8*0.3</f>
        <v>88.128</v>
      </c>
    </row>
    <row r="87" spans="1:8" x14ac:dyDescent="0.3">
      <c r="B87" t="s">
        <v>14098</v>
      </c>
      <c r="H87" s="3">
        <f>8.7*2*2.8*0.3</f>
        <v>14.615999999999996</v>
      </c>
    </row>
    <row r="88" spans="1:8" x14ac:dyDescent="0.3">
      <c r="B88" t="s">
        <v>14099</v>
      </c>
      <c r="H88" s="3">
        <f>24.05*0.1</f>
        <v>2.4050000000000002</v>
      </c>
    </row>
    <row r="89" spans="1:8" x14ac:dyDescent="0.3">
      <c r="B89" t="s">
        <v>14100</v>
      </c>
      <c r="H89" s="3">
        <f>5.5*2*0.1</f>
        <v>1.1000000000000001</v>
      </c>
    </row>
    <row r="90" spans="1:8" x14ac:dyDescent="0.3">
      <c r="A90" t="s">
        <v>14049</v>
      </c>
      <c r="H90" s="48">
        <f>+H83*6</f>
        <v>891.59100000000001</v>
      </c>
    </row>
    <row r="91" spans="1:8" s="60" customFormat="1" x14ac:dyDescent="0.3">
      <c r="A91" s="60" t="s">
        <v>14554</v>
      </c>
      <c r="C91" s="60" t="s">
        <v>14559</v>
      </c>
      <c r="H91" s="61">
        <f>24.05*2.8</f>
        <v>67.34</v>
      </c>
    </row>
    <row r="92" spans="1:8" x14ac:dyDescent="0.3">
      <c r="A92" t="s">
        <v>13949</v>
      </c>
      <c r="H92" s="48">
        <f>+H83*120</f>
        <v>17831.82</v>
      </c>
    </row>
    <row r="93" spans="1:8" x14ac:dyDescent="0.3">
      <c r="A93" t="s">
        <v>14101</v>
      </c>
      <c r="H93" s="48">
        <f>10*6.5</f>
        <v>65</v>
      </c>
    </row>
    <row r="94" spans="1:8" x14ac:dyDescent="0.3">
      <c r="A94" t="s">
        <v>13131</v>
      </c>
      <c r="E94" s="3">
        <v>19.399999999999999</v>
      </c>
      <c r="F94" t="s">
        <v>13270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D48F-3880-4210-9D2D-E6A486E5C966}">
  <dimension ref="A2:H49"/>
  <sheetViews>
    <sheetView zoomScale="60" zoomScaleNormal="60" workbookViewId="0"/>
  </sheetViews>
  <sheetFormatPr defaultColWidth="17.109375" defaultRowHeight="18" x14ac:dyDescent="0.4"/>
  <cols>
    <col min="1" max="1" width="17.109375" style="136"/>
    <col min="2" max="2" width="18.44140625" style="136" bestFit="1" customWidth="1"/>
    <col min="3" max="3" width="85" style="136" customWidth="1"/>
    <col min="4" max="6" width="24.5546875" style="136" customWidth="1"/>
    <col min="7" max="8" width="40.33203125" style="136" customWidth="1"/>
    <col min="9" max="9" width="32.44140625" style="136" customWidth="1"/>
    <col min="10" max="16384" width="17.109375" style="136"/>
  </cols>
  <sheetData>
    <row r="2" spans="1:8" ht="54" x14ac:dyDescent="0.4">
      <c r="A2" s="132" t="s">
        <v>14415</v>
      </c>
      <c r="B2" s="133" t="s">
        <v>5</v>
      </c>
      <c r="C2" s="133" t="s">
        <v>14416</v>
      </c>
      <c r="D2" s="133" t="s">
        <v>14417</v>
      </c>
      <c r="E2" s="134" t="s">
        <v>14418</v>
      </c>
      <c r="F2" s="133" t="s">
        <v>14419</v>
      </c>
      <c r="G2" s="133" t="s">
        <v>14420</v>
      </c>
      <c r="H2" s="135" t="s">
        <v>13188</v>
      </c>
    </row>
    <row r="3" spans="1:8" x14ac:dyDescent="0.4">
      <c r="A3" s="137" t="s">
        <v>14421</v>
      </c>
      <c r="B3" s="138">
        <v>1</v>
      </c>
      <c r="C3" s="138" t="s">
        <v>14422</v>
      </c>
      <c r="D3" s="138" t="s">
        <v>14423</v>
      </c>
      <c r="E3" s="139">
        <v>17000</v>
      </c>
      <c r="F3" s="139">
        <v>34000</v>
      </c>
      <c r="G3" s="191" t="s">
        <v>14496</v>
      </c>
      <c r="H3" s="140">
        <v>34000</v>
      </c>
    </row>
    <row r="4" spans="1:8" x14ac:dyDescent="0.4">
      <c r="A4" s="137" t="s">
        <v>14421</v>
      </c>
      <c r="B4" s="138">
        <v>1</v>
      </c>
      <c r="C4" s="138" t="s">
        <v>14424</v>
      </c>
      <c r="D4" s="138" t="s">
        <v>14425</v>
      </c>
      <c r="E4" s="139">
        <v>300</v>
      </c>
      <c r="F4" s="139">
        <v>600</v>
      </c>
      <c r="G4" s="139">
        <v>150000</v>
      </c>
      <c r="H4" s="140">
        <v>150600</v>
      </c>
    </row>
    <row r="5" spans="1:8" x14ac:dyDescent="0.4">
      <c r="A5" s="137" t="s">
        <v>14421</v>
      </c>
      <c r="B5" s="138">
        <v>900</v>
      </c>
      <c r="C5" s="138" t="s">
        <v>14426</v>
      </c>
      <c r="D5" s="138" t="s">
        <v>14425</v>
      </c>
      <c r="E5" s="139">
        <v>900</v>
      </c>
      <c r="F5" s="139">
        <v>72900</v>
      </c>
      <c r="G5" s="139">
        <v>225000</v>
      </c>
      <c r="H5" s="140">
        <v>297900</v>
      </c>
    </row>
    <row r="6" spans="1:8" x14ac:dyDescent="0.4">
      <c r="A6" s="141" t="s">
        <v>14414</v>
      </c>
      <c r="B6" s="142">
        <v>1</v>
      </c>
      <c r="C6" s="192" t="s">
        <v>14617</v>
      </c>
      <c r="D6" s="192" t="s">
        <v>14425</v>
      </c>
      <c r="E6" s="252">
        <v>30000</v>
      </c>
      <c r="F6" s="252">
        <v>50000</v>
      </c>
      <c r="G6" s="252">
        <v>4200000</v>
      </c>
      <c r="H6" s="253">
        <v>4580000</v>
      </c>
    </row>
    <row r="7" spans="1:8" x14ac:dyDescent="0.4">
      <c r="A7" s="141" t="s">
        <v>14414</v>
      </c>
      <c r="B7" s="142">
        <v>6</v>
      </c>
      <c r="C7" s="142" t="s">
        <v>14427</v>
      </c>
      <c r="D7" s="142" t="s">
        <v>14425</v>
      </c>
      <c r="E7" s="143">
        <v>3600</v>
      </c>
      <c r="F7" s="143">
        <v>7200</v>
      </c>
      <c r="G7" s="143">
        <v>3000000</v>
      </c>
      <c r="H7" s="144">
        <v>3007200</v>
      </c>
    </row>
    <row r="8" spans="1:8" x14ac:dyDescent="0.4">
      <c r="A8" s="141" t="s">
        <v>14414</v>
      </c>
      <c r="B8" s="142">
        <v>150</v>
      </c>
      <c r="C8" s="142" t="s">
        <v>14428</v>
      </c>
      <c r="D8" s="142" t="s">
        <v>14425</v>
      </c>
      <c r="E8" s="143">
        <v>150</v>
      </c>
      <c r="F8" s="143">
        <v>5025</v>
      </c>
      <c r="G8" s="143">
        <v>18000</v>
      </c>
      <c r="H8" s="144">
        <v>23025</v>
      </c>
    </row>
    <row r="9" spans="1:8" x14ac:dyDescent="0.4">
      <c r="A9" s="141" t="s">
        <v>14414</v>
      </c>
      <c r="B9" s="142">
        <v>300</v>
      </c>
      <c r="C9" s="142" t="s">
        <v>14429</v>
      </c>
      <c r="D9" s="142" t="s">
        <v>14425</v>
      </c>
      <c r="E9" s="143">
        <v>300</v>
      </c>
      <c r="F9" s="143">
        <v>5700</v>
      </c>
      <c r="G9" s="143">
        <v>24900</v>
      </c>
      <c r="H9" s="144">
        <v>30600</v>
      </c>
    </row>
    <row r="10" spans="1:8" x14ac:dyDescent="0.4">
      <c r="A10" s="141" t="s">
        <v>14414</v>
      </c>
      <c r="B10" s="142">
        <v>1</v>
      </c>
      <c r="C10" s="142" t="s">
        <v>14430</v>
      </c>
      <c r="D10" s="142" t="s">
        <v>14425</v>
      </c>
      <c r="E10" s="143">
        <v>3000</v>
      </c>
      <c r="F10" s="143">
        <v>15000</v>
      </c>
      <c r="G10" s="143">
        <v>400000</v>
      </c>
      <c r="H10" s="144">
        <v>415000</v>
      </c>
    </row>
    <row r="11" spans="1:8" x14ac:dyDescent="0.4">
      <c r="A11" s="145" t="s">
        <v>14233</v>
      </c>
      <c r="B11" s="146">
        <v>1</v>
      </c>
      <c r="C11" s="146" t="s">
        <v>14431</v>
      </c>
      <c r="D11" s="146" t="s">
        <v>14425</v>
      </c>
      <c r="E11" s="147">
        <v>10000</v>
      </c>
      <c r="F11" s="147">
        <v>20000</v>
      </c>
      <c r="G11" s="147">
        <v>2400000</v>
      </c>
      <c r="H11" s="148">
        <v>2420000</v>
      </c>
    </row>
    <row r="12" spans="1:8" x14ac:dyDescent="0.4">
      <c r="A12" s="145" t="s">
        <v>14233</v>
      </c>
      <c r="B12" s="146">
        <v>2</v>
      </c>
      <c r="C12" s="146" t="s">
        <v>14424</v>
      </c>
      <c r="D12" s="146" t="s">
        <v>14425</v>
      </c>
      <c r="E12" s="147">
        <v>600</v>
      </c>
      <c r="F12" s="147">
        <v>1200</v>
      </c>
      <c r="G12" s="147">
        <v>300000</v>
      </c>
      <c r="H12" s="148">
        <v>301200</v>
      </c>
    </row>
    <row r="13" spans="1:8" x14ac:dyDescent="0.4">
      <c r="A13" s="145" t="s">
        <v>14233</v>
      </c>
      <c r="B13" s="146">
        <v>4</v>
      </c>
      <c r="C13" s="146" t="s">
        <v>14427</v>
      </c>
      <c r="D13" s="146" t="s">
        <v>14425</v>
      </c>
      <c r="E13" s="147">
        <v>2400</v>
      </c>
      <c r="F13" s="147">
        <v>4800</v>
      </c>
      <c r="G13" s="147">
        <v>2000000</v>
      </c>
      <c r="H13" s="148">
        <v>2004800</v>
      </c>
    </row>
    <row r="14" spans="1:8" x14ac:dyDescent="0.4">
      <c r="A14" s="145" t="s">
        <v>14233</v>
      </c>
      <c r="B14" s="146">
        <v>300</v>
      </c>
      <c r="C14" s="146" t="s">
        <v>14429</v>
      </c>
      <c r="D14" s="146" t="s">
        <v>14425</v>
      </c>
      <c r="E14" s="147">
        <v>300</v>
      </c>
      <c r="F14" s="147">
        <v>5700</v>
      </c>
      <c r="G14" s="147">
        <v>24900</v>
      </c>
      <c r="H14" s="148">
        <v>30600</v>
      </c>
    </row>
    <row r="15" spans="1:8" x14ac:dyDescent="0.4">
      <c r="A15" s="145" t="s">
        <v>14233</v>
      </c>
      <c r="B15" s="146">
        <v>1</v>
      </c>
      <c r="C15" s="146" t="s">
        <v>14430</v>
      </c>
      <c r="D15" s="146" t="s">
        <v>14425</v>
      </c>
      <c r="E15" s="147">
        <v>3000</v>
      </c>
      <c r="F15" s="147">
        <v>15000</v>
      </c>
      <c r="G15" s="147">
        <v>400000</v>
      </c>
      <c r="H15" s="148">
        <v>415000</v>
      </c>
    </row>
    <row r="16" spans="1:8" x14ac:dyDescent="0.4">
      <c r="A16" s="149" t="s">
        <v>14227</v>
      </c>
      <c r="B16" s="150">
        <v>1</v>
      </c>
      <c r="C16" s="150" t="s">
        <v>14432</v>
      </c>
      <c r="D16" s="150" t="s">
        <v>14425</v>
      </c>
      <c r="E16" s="151">
        <v>3050</v>
      </c>
      <c r="F16" s="151">
        <v>6100</v>
      </c>
      <c r="G16" s="151">
        <v>350000</v>
      </c>
      <c r="H16" s="152">
        <v>356100</v>
      </c>
    </row>
    <row r="17" spans="1:8" x14ac:dyDescent="0.4">
      <c r="A17" s="149" t="s">
        <v>14227</v>
      </c>
      <c r="B17" s="150">
        <v>4</v>
      </c>
      <c r="C17" s="150" t="s">
        <v>14433</v>
      </c>
      <c r="D17" s="150" t="s">
        <v>14425</v>
      </c>
      <c r="E17" s="151">
        <v>1600</v>
      </c>
      <c r="F17" s="151">
        <v>3200</v>
      </c>
      <c r="G17" s="151">
        <v>800000</v>
      </c>
      <c r="H17" s="152">
        <v>803200</v>
      </c>
    </row>
    <row r="18" spans="1:8" x14ac:dyDescent="0.4">
      <c r="A18" s="149" t="s">
        <v>14227</v>
      </c>
      <c r="B18" s="150">
        <v>350</v>
      </c>
      <c r="C18" s="150" t="s">
        <v>14434</v>
      </c>
      <c r="D18" s="150" t="s">
        <v>14425</v>
      </c>
      <c r="E18" s="151">
        <v>350</v>
      </c>
      <c r="F18" s="151">
        <v>15750</v>
      </c>
      <c r="G18" s="151">
        <v>110250</v>
      </c>
      <c r="H18" s="152">
        <v>126000</v>
      </c>
    </row>
    <row r="19" spans="1:8" x14ac:dyDescent="0.4">
      <c r="A19" s="149" t="s">
        <v>14227</v>
      </c>
      <c r="B19" s="150">
        <v>600</v>
      </c>
      <c r="C19" s="150" t="s">
        <v>14435</v>
      </c>
      <c r="D19" s="150" t="s">
        <v>14425</v>
      </c>
      <c r="E19" s="151">
        <v>600</v>
      </c>
      <c r="F19" s="151">
        <v>15300</v>
      </c>
      <c r="G19" s="151">
        <v>96000</v>
      </c>
      <c r="H19" s="152">
        <v>111300</v>
      </c>
    </row>
    <row r="20" spans="1:8" x14ac:dyDescent="0.4">
      <c r="A20" s="149" t="s">
        <v>14227</v>
      </c>
      <c r="B20" s="150">
        <v>250</v>
      </c>
      <c r="C20" s="150" t="s">
        <v>14436</v>
      </c>
      <c r="D20" s="150" t="s">
        <v>14425</v>
      </c>
      <c r="E20" s="151">
        <v>250</v>
      </c>
      <c r="F20" s="151">
        <v>4625</v>
      </c>
      <c r="G20" s="151">
        <v>25000</v>
      </c>
      <c r="H20" s="152">
        <v>29625</v>
      </c>
    </row>
    <row r="21" spans="1:8" x14ac:dyDescent="0.4">
      <c r="A21" s="149" t="s">
        <v>14227</v>
      </c>
      <c r="B21" s="150">
        <v>200</v>
      </c>
      <c r="C21" s="150" t="s">
        <v>14437</v>
      </c>
      <c r="D21" s="150" t="s">
        <v>14425</v>
      </c>
      <c r="E21" s="151">
        <v>200</v>
      </c>
      <c r="F21" s="151">
        <v>2100</v>
      </c>
      <c r="G21" s="151">
        <v>5000</v>
      </c>
      <c r="H21" s="152">
        <v>7100</v>
      </c>
    </row>
    <row r="22" spans="1:8" x14ac:dyDescent="0.4">
      <c r="A22" s="149" t="s">
        <v>14227</v>
      </c>
      <c r="B22" s="150">
        <v>400</v>
      </c>
      <c r="C22" s="150" t="s">
        <v>14438</v>
      </c>
      <c r="D22" s="150" t="s">
        <v>14425</v>
      </c>
      <c r="E22" s="151">
        <v>400</v>
      </c>
      <c r="F22" s="151">
        <v>26200</v>
      </c>
      <c r="G22" s="151">
        <v>16000</v>
      </c>
      <c r="H22" s="152">
        <v>42200</v>
      </c>
    </row>
    <row r="23" spans="1:8" x14ac:dyDescent="0.4">
      <c r="A23" s="153" t="s">
        <v>14228</v>
      </c>
      <c r="B23" s="154">
        <v>1</v>
      </c>
      <c r="C23" s="154" t="s">
        <v>14439</v>
      </c>
      <c r="D23" s="154" t="s">
        <v>14425</v>
      </c>
      <c r="E23" s="155">
        <v>3050</v>
      </c>
      <c r="F23" s="155">
        <v>6100</v>
      </c>
      <c r="G23" s="155">
        <v>200000</v>
      </c>
      <c r="H23" s="156">
        <v>206100</v>
      </c>
    </row>
    <row r="24" spans="1:8" x14ac:dyDescent="0.4">
      <c r="A24" s="153" t="s">
        <v>14228</v>
      </c>
      <c r="B24" s="154">
        <v>2</v>
      </c>
      <c r="C24" s="154" t="s">
        <v>14440</v>
      </c>
      <c r="D24" s="154" t="s">
        <v>14425</v>
      </c>
      <c r="E24" s="155">
        <v>800</v>
      </c>
      <c r="F24" s="155">
        <v>1600</v>
      </c>
      <c r="G24" s="155">
        <v>300000</v>
      </c>
      <c r="H24" s="156">
        <v>301600</v>
      </c>
    </row>
    <row r="25" spans="1:8" x14ac:dyDescent="0.4">
      <c r="A25" s="153" t="s">
        <v>14228</v>
      </c>
      <c r="B25" s="154">
        <v>300</v>
      </c>
      <c r="C25" s="154" t="s">
        <v>14441</v>
      </c>
      <c r="D25" s="154" t="s">
        <v>14425</v>
      </c>
      <c r="E25" s="155">
        <v>300</v>
      </c>
      <c r="F25" s="155">
        <v>7650</v>
      </c>
      <c r="G25" s="155">
        <v>54000</v>
      </c>
      <c r="H25" s="156">
        <v>61650</v>
      </c>
    </row>
    <row r="26" spans="1:8" x14ac:dyDescent="0.4">
      <c r="A26" s="153" t="s">
        <v>14228</v>
      </c>
      <c r="B26" s="154">
        <v>100</v>
      </c>
      <c r="C26" s="154" t="s">
        <v>14436</v>
      </c>
      <c r="D26" s="154" t="s">
        <v>14425</v>
      </c>
      <c r="E26" s="155">
        <v>100</v>
      </c>
      <c r="F26" s="155">
        <v>1850</v>
      </c>
      <c r="G26" s="155">
        <v>10000</v>
      </c>
      <c r="H26" s="156">
        <v>11850</v>
      </c>
    </row>
    <row r="27" spans="1:8" x14ac:dyDescent="0.4">
      <c r="A27" s="153" t="s">
        <v>14228</v>
      </c>
      <c r="B27" s="154">
        <v>300</v>
      </c>
      <c r="C27" s="154" t="s">
        <v>14442</v>
      </c>
      <c r="D27" s="154" t="s">
        <v>14425</v>
      </c>
      <c r="E27" s="155">
        <v>300</v>
      </c>
      <c r="F27" s="155">
        <v>19650</v>
      </c>
      <c r="G27" s="155">
        <v>12000</v>
      </c>
      <c r="H27" s="156">
        <v>31650</v>
      </c>
    </row>
    <row r="28" spans="1:8" x14ac:dyDescent="0.4">
      <c r="A28" s="157" t="s">
        <v>14229</v>
      </c>
      <c r="B28" s="158">
        <v>1</v>
      </c>
      <c r="C28" s="158" t="s">
        <v>14443</v>
      </c>
      <c r="D28" s="158" t="s">
        <v>14425</v>
      </c>
      <c r="E28" s="159">
        <v>1000</v>
      </c>
      <c r="F28" s="159">
        <v>2000</v>
      </c>
      <c r="G28" s="159">
        <v>25000</v>
      </c>
      <c r="H28" s="160">
        <v>27000</v>
      </c>
    </row>
    <row r="29" spans="1:8" x14ac:dyDescent="0.4">
      <c r="A29" s="157" t="s">
        <v>14229</v>
      </c>
      <c r="B29" s="158">
        <v>1</v>
      </c>
      <c r="C29" s="158" t="s">
        <v>14444</v>
      </c>
      <c r="D29" s="158" t="s">
        <v>14425</v>
      </c>
      <c r="E29" s="159">
        <v>400</v>
      </c>
      <c r="F29" s="159">
        <v>800</v>
      </c>
      <c r="G29" s="159">
        <v>80000</v>
      </c>
      <c r="H29" s="160">
        <v>80800</v>
      </c>
    </row>
    <row r="30" spans="1:8" x14ac:dyDescent="0.4">
      <c r="A30" s="157" t="s">
        <v>14229</v>
      </c>
      <c r="B30" s="158">
        <v>200</v>
      </c>
      <c r="C30" s="158" t="s">
        <v>14436</v>
      </c>
      <c r="D30" s="158" t="s">
        <v>14425</v>
      </c>
      <c r="E30" s="159">
        <v>200</v>
      </c>
      <c r="F30" s="159">
        <v>3700</v>
      </c>
      <c r="G30" s="159">
        <v>20000</v>
      </c>
      <c r="H30" s="160">
        <v>23700</v>
      </c>
    </row>
    <row r="31" spans="1:8" x14ac:dyDescent="0.4">
      <c r="A31" s="157" t="s">
        <v>14229</v>
      </c>
      <c r="B31" s="158">
        <v>200</v>
      </c>
      <c r="C31" s="158" t="s">
        <v>14437</v>
      </c>
      <c r="D31" s="158" t="s">
        <v>14425</v>
      </c>
      <c r="E31" s="159">
        <v>200</v>
      </c>
      <c r="F31" s="159">
        <v>2100</v>
      </c>
      <c r="G31" s="159">
        <v>5000</v>
      </c>
      <c r="H31" s="160">
        <v>7100</v>
      </c>
    </row>
    <row r="32" spans="1:8" x14ac:dyDescent="0.4">
      <c r="A32" s="157" t="s">
        <v>14229</v>
      </c>
      <c r="B32" s="158">
        <v>50</v>
      </c>
      <c r="C32" s="158" t="s">
        <v>14445</v>
      </c>
      <c r="D32" s="158" t="s">
        <v>14425</v>
      </c>
      <c r="E32" s="159">
        <v>50</v>
      </c>
      <c r="F32" s="159">
        <v>475</v>
      </c>
      <c r="G32" s="159">
        <v>800</v>
      </c>
      <c r="H32" s="160">
        <v>1275</v>
      </c>
    </row>
    <row r="33" spans="1:8" x14ac:dyDescent="0.4">
      <c r="A33" s="157" t="s">
        <v>14229</v>
      </c>
      <c r="B33" s="158">
        <v>300</v>
      </c>
      <c r="C33" s="158" t="s">
        <v>14442</v>
      </c>
      <c r="D33" s="158" t="s">
        <v>14425</v>
      </c>
      <c r="E33" s="159">
        <v>300</v>
      </c>
      <c r="F33" s="159">
        <v>19650</v>
      </c>
      <c r="G33" s="159">
        <v>12000</v>
      </c>
      <c r="H33" s="160">
        <v>31650</v>
      </c>
    </row>
    <row r="34" spans="1:8" x14ac:dyDescent="0.4">
      <c r="A34" s="161" t="s">
        <v>14230</v>
      </c>
      <c r="B34" s="162">
        <v>1</v>
      </c>
      <c r="C34" s="162" t="s">
        <v>14446</v>
      </c>
      <c r="D34" s="162" t="s">
        <v>14425</v>
      </c>
      <c r="E34" s="163">
        <v>1200</v>
      </c>
      <c r="F34" s="163">
        <v>2400</v>
      </c>
      <c r="G34" s="163">
        <v>40000</v>
      </c>
      <c r="H34" s="164">
        <v>42400</v>
      </c>
    </row>
    <row r="35" spans="1:8" x14ac:dyDescent="0.4">
      <c r="A35" s="161" t="s">
        <v>14230</v>
      </c>
      <c r="B35" s="162">
        <v>2</v>
      </c>
      <c r="C35" s="162" t="s">
        <v>14444</v>
      </c>
      <c r="D35" s="162" t="s">
        <v>14425</v>
      </c>
      <c r="E35" s="163">
        <v>800</v>
      </c>
      <c r="F35" s="163">
        <v>1600</v>
      </c>
      <c r="G35" s="163">
        <v>160000</v>
      </c>
      <c r="H35" s="164">
        <v>161600</v>
      </c>
    </row>
    <row r="36" spans="1:8" x14ac:dyDescent="0.4">
      <c r="A36" s="161" t="s">
        <v>14230</v>
      </c>
      <c r="B36" s="162">
        <v>200</v>
      </c>
      <c r="C36" s="162" t="s">
        <v>14447</v>
      </c>
      <c r="D36" s="162" t="s">
        <v>14425</v>
      </c>
      <c r="E36" s="163">
        <v>200</v>
      </c>
      <c r="F36" s="163">
        <v>4600</v>
      </c>
      <c r="G36" s="163">
        <v>30000</v>
      </c>
      <c r="H36" s="164">
        <v>34600</v>
      </c>
    </row>
    <row r="37" spans="1:8" x14ac:dyDescent="0.4">
      <c r="A37" s="161" t="s">
        <v>14230</v>
      </c>
      <c r="B37" s="162">
        <v>400</v>
      </c>
      <c r="C37" s="162" t="s">
        <v>14437</v>
      </c>
      <c r="D37" s="162" t="s">
        <v>14425</v>
      </c>
      <c r="E37" s="163">
        <v>400</v>
      </c>
      <c r="F37" s="163">
        <v>4200</v>
      </c>
      <c r="G37" s="163">
        <v>10000</v>
      </c>
      <c r="H37" s="164">
        <v>14200</v>
      </c>
    </row>
    <row r="38" spans="1:8" x14ac:dyDescent="0.4">
      <c r="A38" s="161" t="s">
        <v>14230</v>
      </c>
      <c r="B38" s="162">
        <v>300</v>
      </c>
      <c r="C38" s="162" t="s">
        <v>14442</v>
      </c>
      <c r="D38" s="162" t="s">
        <v>14425</v>
      </c>
      <c r="E38" s="163">
        <v>300</v>
      </c>
      <c r="F38" s="163">
        <v>19650</v>
      </c>
      <c r="G38" s="163">
        <v>12000</v>
      </c>
      <c r="H38" s="164">
        <v>31650</v>
      </c>
    </row>
    <row r="39" spans="1:8" x14ac:dyDescent="0.4">
      <c r="A39" s="165" t="s">
        <v>14448</v>
      </c>
      <c r="B39" s="166">
        <v>15</v>
      </c>
      <c r="C39" s="166" t="s">
        <v>14449</v>
      </c>
      <c r="D39" s="166" t="s">
        <v>14425</v>
      </c>
      <c r="E39" s="167">
        <v>15</v>
      </c>
      <c r="F39" s="167">
        <v>60000</v>
      </c>
      <c r="G39" s="167">
        <v>225000</v>
      </c>
      <c r="H39" s="168">
        <v>285000</v>
      </c>
    </row>
    <row r="40" spans="1:8" x14ac:dyDescent="0.4">
      <c r="A40" s="169" t="s">
        <v>14450</v>
      </c>
      <c r="B40" s="170">
        <v>3000</v>
      </c>
      <c r="C40" s="170" t="s">
        <v>14451</v>
      </c>
      <c r="D40" s="170" t="s">
        <v>14425</v>
      </c>
      <c r="E40" s="171">
        <v>3000</v>
      </c>
      <c r="F40" s="171">
        <v>330000</v>
      </c>
      <c r="G40" s="171">
        <f>100000+17.5*9000</f>
        <v>257500</v>
      </c>
      <c r="H40" s="172">
        <f>SUM(F40:G40)</f>
        <v>587500</v>
      </c>
    </row>
    <row r="41" spans="1:8" x14ac:dyDescent="0.4">
      <c r="A41" s="173" t="s">
        <v>14450</v>
      </c>
      <c r="B41" s="174">
        <v>19</v>
      </c>
      <c r="C41" s="174" t="s">
        <v>14452</v>
      </c>
      <c r="D41" s="174" t="s">
        <v>14425</v>
      </c>
      <c r="E41" s="175">
        <v>19</v>
      </c>
      <c r="F41" s="175">
        <v>38000</v>
      </c>
      <c r="G41" s="175">
        <v>190000</v>
      </c>
      <c r="H41" s="176">
        <v>228000</v>
      </c>
    </row>
    <row r="42" spans="1:8" ht="21.6" x14ac:dyDescent="0.5">
      <c r="G42" s="177" t="s">
        <v>13290</v>
      </c>
      <c r="H42" s="178">
        <f>SUM(H3:H41)</f>
        <v>17354775</v>
      </c>
    </row>
    <row r="43" spans="1:8" x14ac:dyDescent="0.4">
      <c r="H43" s="179"/>
    </row>
    <row r="44" spans="1:8" x14ac:dyDescent="0.4">
      <c r="H44" s="179"/>
    </row>
    <row r="45" spans="1:8" x14ac:dyDescent="0.4">
      <c r="H45" s="179"/>
    </row>
    <row r="46" spans="1:8" x14ac:dyDescent="0.4">
      <c r="H46" s="179"/>
    </row>
    <row r="47" spans="1:8" x14ac:dyDescent="0.4">
      <c r="C47" s="136" t="s">
        <v>14453</v>
      </c>
      <c r="H47" s="179"/>
    </row>
    <row r="48" spans="1:8" x14ac:dyDescent="0.4">
      <c r="C48" s="136" t="s">
        <v>14454</v>
      </c>
    </row>
    <row r="49" spans="3:3" x14ac:dyDescent="0.4">
      <c r="C49" s="136" t="s">
        <v>14455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2E49-047E-4491-BF50-2100A8C480F9}">
  <dimension ref="A1:I32"/>
  <sheetViews>
    <sheetView workbookViewId="0"/>
  </sheetViews>
  <sheetFormatPr defaultRowHeight="14.4" x14ac:dyDescent="0.3"/>
  <cols>
    <col min="5" max="5" width="13.33203125" bestFit="1" customWidth="1"/>
    <col min="6" max="6" width="11.5546875" bestFit="1" customWidth="1"/>
    <col min="7" max="7" width="13.33203125" bestFit="1" customWidth="1"/>
    <col min="8" max="8" width="16.33203125" bestFit="1" customWidth="1"/>
    <col min="9" max="9" width="13.33203125" bestFit="1" customWidth="1"/>
  </cols>
  <sheetData>
    <row r="1" spans="1:9" x14ac:dyDescent="0.3">
      <c r="A1" t="s">
        <v>13968</v>
      </c>
    </row>
    <row r="2" spans="1:9" x14ac:dyDescent="0.3">
      <c r="H2" s="71">
        <v>0.25269999999999998</v>
      </c>
    </row>
    <row r="3" spans="1:9" x14ac:dyDescent="0.3">
      <c r="A3" t="s">
        <v>13970</v>
      </c>
      <c r="E3" s="1" t="s">
        <v>13971</v>
      </c>
      <c r="F3" s="1" t="s">
        <v>13972</v>
      </c>
      <c r="G3" s="1" t="s">
        <v>13973</v>
      </c>
      <c r="H3" s="1" t="s">
        <v>13050</v>
      </c>
      <c r="I3" s="1" t="s">
        <v>13974</v>
      </c>
    </row>
    <row r="4" spans="1:9" x14ac:dyDescent="0.3">
      <c r="A4" t="s">
        <v>13132</v>
      </c>
      <c r="E4" s="3">
        <f>+E11*2.37/0.96</f>
        <v>1820883.34375</v>
      </c>
      <c r="F4" s="3">
        <f t="shared" ref="F4:F5" si="0">+E4*0.3</f>
        <v>546265.00312499993</v>
      </c>
      <c r="G4" s="3">
        <f t="shared" ref="G4:G5" si="1">+E4+F4</f>
        <v>2367148.3468749998</v>
      </c>
      <c r="H4" s="3">
        <f t="shared" ref="H4:H5" si="2">+G4*$H$2</f>
        <v>598178.38725531241</v>
      </c>
      <c r="I4" s="3">
        <f t="shared" ref="I4:I5" si="3">+G4+H4</f>
        <v>2965326.7341303122</v>
      </c>
    </row>
    <row r="5" spans="1:9" x14ac:dyDescent="0.3">
      <c r="A5" t="s">
        <v>13133</v>
      </c>
      <c r="E5" s="3">
        <f>+E11*1.29/0.96</f>
        <v>991113.71875000012</v>
      </c>
      <c r="F5" s="3">
        <f t="shared" si="0"/>
        <v>297334.11562500003</v>
      </c>
      <c r="G5" s="3">
        <f t="shared" si="1"/>
        <v>1288447.8343750001</v>
      </c>
      <c r="H5" s="3">
        <f t="shared" si="2"/>
        <v>325590.76774656249</v>
      </c>
      <c r="I5" s="3">
        <f t="shared" si="3"/>
        <v>1614038.6021215627</v>
      </c>
    </row>
    <row r="7" spans="1:9" x14ac:dyDescent="0.3">
      <c r="A7" t="s">
        <v>13969</v>
      </c>
    </row>
    <row r="8" spans="1:9" x14ac:dyDescent="0.3">
      <c r="A8" t="s">
        <v>13160</v>
      </c>
      <c r="E8" s="3">
        <f>+E11*1.72/0.96</f>
        <v>1321484.9583333335</v>
      </c>
      <c r="F8" s="3">
        <f>+E8*0.3</f>
        <v>396445.48750000005</v>
      </c>
      <c r="G8" s="3">
        <f>+E8+F8</f>
        <v>1717930.4458333335</v>
      </c>
      <c r="H8" s="3">
        <f>+G8*$H$2</f>
        <v>434121.02366208337</v>
      </c>
      <c r="I8" s="3">
        <f>+G8+H8</f>
        <v>2152051.4694954171</v>
      </c>
    </row>
    <row r="9" spans="1:9" x14ac:dyDescent="0.3">
      <c r="A9" t="s">
        <v>13161</v>
      </c>
      <c r="E9" s="3">
        <v>490335</v>
      </c>
      <c r="F9" s="3">
        <f t="shared" ref="F9:F13" si="4">+E9*0.3</f>
        <v>147100.5</v>
      </c>
      <c r="G9" s="3">
        <f t="shared" ref="G9:G13" si="5">+E9+F9</f>
        <v>637435.5</v>
      </c>
      <c r="H9" s="3">
        <f t="shared" ref="H9:H13" si="6">+G9*$H$2</f>
        <v>161079.95084999999</v>
      </c>
      <c r="I9" s="3">
        <f t="shared" ref="I9:I13" si="7">+G9+H9</f>
        <v>798515.45085000002</v>
      </c>
    </row>
    <row r="10" spans="1:9" x14ac:dyDescent="0.3">
      <c r="A10" t="s">
        <v>13162</v>
      </c>
      <c r="E10" s="3">
        <f>+E11*1.53/0.96</f>
        <v>1175506.96875</v>
      </c>
      <c r="F10" s="3">
        <f t="shared" si="4"/>
        <v>352652.09062500001</v>
      </c>
      <c r="G10" s="3">
        <f t="shared" si="5"/>
        <v>1528159.059375</v>
      </c>
      <c r="H10" s="3">
        <f t="shared" si="6"/>
        <v>386165.79430406244</v>
      </c>
      <c r="I10" s="3">
        <f t="shared" si="7"/>
        <v>1914324.8536790623</v>
      </c>
    </row>
    <row r="11" spans="1:9" x14ac:dyDescent="0.3">
      <c r="A11" t="s">
        <v>13163</v>
      </c>
      <c r="E11" s="3">
        <v>737573</v>
      </c>
      <c r="F11" s="3">
        <f t="shared" si="4"/>
        <v>221271.9</v>
      </c>
      <c r="G11" s="3">
        <f t="shared" si="5"/>
        <v>958844.9</v>
      </c>
      <c r="H11" s="3">
        <f t="shared" si="6"/>
        <v>242300.10622999998</v>
      </c>
      <c r="I11" s="3">
        <f t="shared" si="7"/>
        <v>1201145.0062299999</v>
      </c>
    </row>
    <row r="12" spans="1:9" x14ac:dyDescent="0.3">
      <c r="A12" t="s">
        <v>13164</v>
      </c>
      <c r="E12" s="3">
        <v>218530</v>
      </c>
      <c r="F12" s="3">
        <f t="shared" si="4"/>
        <v>65559</v>
      </c>
      <c r="G12" s="3">
        <f t="shared" si="5"/>
        <v>284089</v>
      </c>
      <c r="H12" s="3">
        <f t="shared" si="6"/>
        <v>71789.290299999993</v>
      </c>
      <c r="I12" s="3">
        <f t="shared" si="7"/>
        <v>355878.29029999999</v>
      </c>
    </row>
    <row r="13" spans="1:9" x14ac:dyDescent="0.3">
      <c r="A13" t="s">
        <v>13165</v>
      </c>
      <c r="E13" s="3">
        <f>+E11*1.28/0.96</f>
        <v>983430.66666666674</v>
      </c>
      <c r="F13" s="3">
        <f t="shared" si="4"/>
        <v>295029.2</v>
      </c>
      <c r="G13" s="3">
        <f t="shared" si="5"/>
        <v>1278459.8666666667</v>
      </c>
      <c r="H13" s="3">
        <f t="shared" si="6"/>
        <v>323066.80830666667</v>
      </c>
      <c r="I13" s="3">
        <f t="shared" si="7"/>
        <v>1601526.6749733333</v>
      </c>
    </row>
    <row r="18" spans="4:8" ht="28.8" x14ac:dyDescent="0.3">
      <c r="D18" s="42" t="s">
        <v>14225</v>
      </c>
      <c r="E18" s="42" t="s">
        <v>14106</v>
      </c>
      <c r="F18" s="42" t="s">
        <v>14226</v>
      </c>
      <c r="G18" s="115" t="s">
        <v>14231</v>
      </c>
      <c r="H18" s="115" t="s">
        <v>14232</v>
      </c>
    </row>
    <row r="19" spans="4:8" x14ac:dyDescent="0.3">
      <c r="D19" s="353" t="s">
        <v>13970</v>
      </c>
      <c r="E19" s="354" t="s">
        <v>14227</v>
      </c>
      <c r="F19" s="8">
        <v>2.37</v>
      </c>
      <c r="G19" s="117">
        <v>132.00541333333334</v>
      </c>
      <c r="H19" s="118">
        <f>I4</f>
        <v>2965326.7341303122</v>
      </c>
    </row>
    <row r="20" spans="4:8" x14ac:dyDescent="0.3">
      <c r="D20" s="353"/>
      <c r="E20" s="355"/>
      <c r="F20" s="116">
        <v>1.2849999999999999</v>
      </c>
      <c r="G20" s="117">
        <v>71.7087111111111</v>
      </c>
      <c r="H20" s="118">
        <f>I5</f>
        <v>1614038.6021215627</v>
      </c>
    </row>
    <row r="21" spans="4:8" x14ac:dyDescent="0.3">
      <c r="D21" s="354" t="s">
        <v>13969</v>
      </c>
      <c r="E21" s="354" t="s">
        <v>14227</v>
      </c>
      <c r="F21" s="8">
        <v>1.72</v>
      </c>
      <c r="G21" s="117">
        <v>125.41906133333332</v>
      </c>
      <c r="H21" s="118">
        <f>I8</f>
        <v>2152051.4694954171</v>
      </c>
    </row>
    <row r="22" spans="4:8" x14ac:dyDescent="0.3">
      <c r="D22" s="356"/>
      <c r="E22" s="355"/>
      <c r="F22" s="8">
        <v>0.52</v>
      </c>
      <c r="G22" s="117">
        <v>35.349390222222226</v>
      </c>
      <c r="H22" s="118">
        <f t="shared" ref="H22:H26" si="8">I9</f>
        <v>798515.45085000002</v>
      </c>
    </row>
    <row r="23" spans="4:8" x14ac:dyDescent="0.3">
      <c r="D23" s="356"/>
      <c r="E23" s="9" t="s">
        <v>14228</v>
      </c>
      <c r="F23" s="116">
        <v>1.5289999999999999</v>
      </c>
      <c r="G23" s="117">
        <v>140.88545777777779</v>
      </c>
      <c r="H23" s="118">
        <f t="shared" si="8"/>
        <v>1914324.8536790623</v>
      </c>
    </row>
    <row r="24" spans="4:8" x14ac:dyDescent="0.3">
      <c r="D24" s="356"/>
      <c r="E24" s="354" t="s">
        <v>14229</v>
      </c>
      <c r="F24" s="116">
        <v>0.95499999999999996</v>
      </c>
      <c r="G24" s="117">
        <v>47.592106666666666</v>
      </c>
      <c r="H24" s="118">
        <f t="shared" si="8"/>
        <v>1201145.0062299999</v>
      </c>
    </row>
    <row r="25" spans="4:8" x14ac:dyDescent="0.3">
      <c r="D25" s="356"/>
      <c r="E25" s="355"/>
      <c r="F25" s="116">
        <v>0.13300000000000001</v>
      </c>
      <c r="G25" s="117">
        <v>8.1814506666666684</v>
      </c>
      <c r="H25" s="118">
        <f t="shared" si="8"/>
        <v>355878.29029999999</v>
      </c>
    </row>
    <row r="26" spans="4:8" x14ac:dyDescent="0.3">
      <c r="D26" s="355"/>
      <c r="E26" s="9" t="s">
        <v>14230</v>
      </c>
      <c r="F26" s="116">
        <v>1.28</v>
      </c>
      <c r="G26" s="117">
        <v>47.139506666666669</v>
      </c>
      <c r="H26" s="118">
        <f t="shared" si="8"/>
        <v>1601526.6749733333</v>
      </c>
    </row>
    <row r="28" spans="4:8" x14ac:dyDescent="0.3">
      <c r="D28" s="9" t="s">
        <v>14413</v>
      </c>
      <c r="E28" s="9" t="s">
        <v>14414</v>
      </c>
      <c r="F28" s="116">
        <v>1.25</v>
      </c>
      <c r="G28" s="117">
        <f>450*0.73</f>
        <v>328.5</v>
      </c>
      <c r="H28" s="118">
        <v>1573894.875</v>
      </c>
    </row>
    <row r="29" spans="4:8" x14ac:dyDescent="0.3">
      <c r="D29" s="9" t="s">
        <v>14413</v>
      </c>
      <c r="E29" s="9" t="s">
        <v>14414</v>
      </c>
      <c r="F29" s="116">
        <v>2.5</v>
      </c>
      <c r="G29" s="117">
        <f>884*0.73</f>
        <v>645.31999999999994</v>
      </c>
      <c r="H29" s="118">
        <v>3144818</v>
      </c>
    </row>
    <row r="30" spans="4:8" x14ac:dyDescent="0.3">
      <c r="D30" s="9" t="s">
        <v>14413</v>
      </c>
      <c r="E30" s="9" t="s">
        <v>14414</v>
      </c>
      <c r="F30" s="116">
        <v>5.6</v>
      </c>
      <c r="G30" s="117">
        <f>1842*0.73</f>
        <v>1344.6599999999999</v>
      </c>
      <c r="H30" s="118">
        <v>5715490.5999999996</v>
      </c>
    </row>
    <row r="32" spans="4:8" x14ac:dyDescent="0.3">
      <c r="D32" s="9" t="s">
        <v>14234</v>
      </c>
      <c r="E32" s="9" t="s">
        <v>14233</v>
      </c>
      <c r="F32" s="116">
        <v>5.6719999999999997</v>
      </c>
      <c r="G32" s="117">
        <v>699</v>
      </c>
      <c r="H32" s="118">
        <v>5784001.0700000003</v>
      </c>
    </row>
  </sheetData>
  <mergeCells count="5">
    <mergeCell ref="D19:D20"/>
    <mergeCell ref="E19:E20"/>
    <mergeCell ref="D21:D26"/>
    <mergeCell ref="E21:E22"/>
    <mergeCell ref="E24:E2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0205-443A-44B8-9603-A3138F5208B4}">
  <dimension ref="A1:S36"/>
  <sheetViews>
    <sheetView workbookViewId="0"/>
  </sheetViews>
  <sheetFormatPr defaultRowHeight="14.4" x14ac:dyDescent="0.3"/>
  <cols>
    <col min="4" max="4" width="11.5546875" bestFit="1" customWidth="1"/>
    <col min="9" max="10" width="10.6640625" bestFit="1" customWidth="1"/>
    <col min="14" max="14" width="10.6640625" bestFit="1" customWidth="1"/>
    <col min="19" max="19" width="10.6640625" bestFit="1" customWidth="1"/>
  </cols>
  <sheetData>
    <row r="1" spans="1:19" x14ac:dyDescent="0.3">
      <c r="A1" t="s">
        <v>13967</v>
      </c>
      <c r="F1" s="14" t="s">
        <v>14020</v>
      </c>
      <c r="J1" s="73">
        <f>2.5*5.3</f>
        <v>13.25</v>
      </c>
      <c r="K1" s="72" t="s">
        <v>13986</v>
      </c>
    </row>
    <row r="3" spans="1:19" x14ac:dyDescent="0.3">
      <c r="A3" t="s">
        <v>13975</v>
      </c>
    </row>
    <row r="4" spans="1:19" x14ac:dyDescent="0.3">
      <c r="A4" t="s">
        <v>13976</v>
      </c>
    </row>
    <row r="6" spans="1:19" x14ac:dyDescent="0.3">
      <c r="A6" t="s">
        <v>13977</v>
      </c>
    </row>
    <row r="8" spans="1:19" x14ac:dyDescent="0.3">
      <c r="A8" t="s">
        <v>13987</v>
      </c>
      <c r="F8" t="s">
        <v>13987</v>
      </c>
      <c r="K8" t="s">
        <v>13988</v>
      </c>
      <c r="P8" t="s">
        <v>13988</v>
      </c>
    </row>
    <row r="9" spans="1:19" x14ac:dyDescent="0.3">
      <c r="A9" t="s">
        <v>13979</v>
      </c>
      <c r="D9" s="50">
        <v>1.25</v>
      </c>
      <c r="F9" t="s">
        <v>13979</v>
      </c>
      <c r="I9" s="50">
        <v>0.9</v>
      </c>
      <c r="K9" t="s">
        <v>13979</v>
      </c>
      <c r="N9" s="50">
        <v>1.05</v>
      </c>
      <c r="P9" t="s">
        <v>13979</v>
      </c>
      <c r="S9" s="50">
        <v>0.6</v>
      </c>
    </row>
    <row r="10" spans="1:19" x14ac:dyDescent="0.3">
      <c r="A10" t="s">
        <v>13978</v>
      </c>
      <c r="D10" s="50">
        <v>1</v>
      </c>
      <c r="F10" t="s">
        <v>13978</v>
      </c>
      <c r="I10" s="50">
        <v>1</v>
      </c>
      <c r="K10" t="s">
        <v>13978</v>
      </c>
      <c r="N10" s="50">
        <v>1</v>
      </c>
      <c r="P10" t="s">
        <v>13978</v>
      </c>
      <c r="S10" s="50">
        <v>1</v>
      </c>
    </row>
    <row r="11" spans="1:19" x14ac:dyDescent="0.3">
      <c r="A11" t="s">
        <v>13980</v>
      </c>
      <c r="D11" s="47">
        <f>3.1416*D9*0.015875*7800*D10</f>
        <v>486.26077500000002</v>
      </c>
      <c r="F11" t="s">
        <v>13980</v>
      </c>
      <c r="I11" s="47">
        <f>3.1416*I9*0.015875*7800*I10</f>
        <v>350.10775800000005</v>
      </c>
      <c r="K11" t="s">
        <v>13980</v>
      </c>
      <c r="N11" s="47">
        <f>3.1416*N9*0.015875*7800*N10</f>
        <v>408.45905099999999</v>
      </c>
      <c r="P11" t="s">
        <v>13980</v>
      </c>
      <c r="S11" s="47">
        <f>3.1416*S9*0.015875*7800*S10</f>
        <v>233.40517199999999</v>
      </c>
    </row>
    <row r="12" spans="1:19" x14ac:dyDescent="0.3">
      <c r="A12" t="s">
        <v>13981</v>
      </c>
      <c r="D12" s="3">
        <f>+D11*$J$1</f>
        <v>6442.95526875</v>
      </c>
      <c r="F12" t="s">
        <v>13981</v>
      </c>
      <c r="I12" s="3">
        <f>+I11*$J$1</f>
        <v>4638.9277935000009</v>
      </c>
      <c r="K12" t="s">
        <v>13981</v>
      </c>
      <c r="N12" s="3">
        <f>+N11*$J$1</f>
        <v>5412.0824257499999</v>
      </c>
      <c r="P12" t="s">
        <v>13981</v>
      </c>
      <c r="S12" s="3">
        <f>+S11*$J$1</f>
        <v>3092.6185289999999</v>
      </c>
    </row>
    <row r="13" spans="1:19" x14ac:dyDescent="0.3">
      <c r="A13" t="s">
        <v>13982</v>
      </c>
      <c r="D13" s="3">
        <f>+D12*0.3</f>
        <v>1932.8865806249999</v>
      </c>
      <c r="F13" t="s">
        <v>13982</v>
      </c>
      <c r="I13" s="3">
        <f>+I12*0.3</f>
        <v>1391.6783380500003</v>
      </c>
      <c r="K13" t="s">
        <v>13982</v>
      </c>
      <c r="N13" s="3">
        <f>+N12*0.3</f>
        <v>1623.624727725</v>
      </c>
      <c r="P13" t="s">
        <v>13982</v>
      </c>
      <c r="S13" s="3">
        <f>+S12*0.3</f>
        <v>927.78555869999991</v>
      </c>
    </row>
    <row r="14" spans="1:19" x14ac:dyDescent="0.3">
      <c r="A14" t="s">
        <v>13983</v>
      </c>
      <c r="D14" s="47">
        <f>+D12+D13</f>
        <v>8375.8418493749996</v>
      </c>
      <c r="F14" t="s">
        <v>13983</v>
      </c>
      <c r="I14" s="47">
        <f>+I12+I13</f>
        <v>6030.606131550001</v>
      </c>
      <c r="K14" t="s">
        <v>13983</v>
      </c>
      <c r="N14" s="47">
        <f>+N12+N13</f>
        <v>7035.7071534749994</v>
      </c>
      <c r="P14" t="s">
        <v>13983</v>
      </c>
      <c r="S14" s="47">
        <f>+S12+S13</f>
        <v>4020.4040876999998</v>
      </c>
    </row>
    <row r="15" spans="1:19" x14ac:dyDescent="0.3">
      <c r="A15" t="s">
        <v>13984</v>
      </c>
      <c r="B15" s="17">
        <f>+BDI!$C$16</f>
        <v>0.25270000000000004</v>
      </c>
      <c r="D15" s="3">
        <f>+D14*B15</f>
        <v>2116.5752353370626</v>
      </c>
      <c r="F15" t="s">
        <v>13984</v>
      </c>
      <c r="G15" s="17">
        <f>+BDI!$C$16</f>
        <v>0.25270000000000004</v>
      </c>
      <c r="I15" s="3">
        <f>+I14*G15</f>
        <v>1523.9341694426855</v>
      </c>
      <c r="K15" t="s">
        <v>13984</v>
      </c>
      <c r="L15" s="17">
        <f>+BDI!$C$16</f>
        <v>0.25270000000000004</v>
      </c>
      <c r="N15" s="3">
        <f>+N14*L15</f>
        <v>1777.9231976831327</v>
      </c>
      <c r="P15" t="s">
        <v>13984</v>
      </c>
      <c r="Q15" s="17">
        <f>+BDI!$C$16</f>
        <v>0.25270000000000004</v>
      </c>
      <c r="S15" s="3">
        <f>+S14*Q15</f>
        <v>1015.95611296179</v>
      </c>
    </row>
    <row r="16" spans="1:19" x14ac:dyDescent="0.3">
      <c r="A16" t="s">
        <v>13985</v>
      </c>
      <c r="D16" s="47">
        <f>+D14+D15</f>
        <v>10492.417084712062</v>
      </c>
      <c r="F16" t="s">
        <v>13985</v>
      </c>
      <c r="I16" s="47">
        <f>+I14+I15</f>
        <v>7554.5403009926868</v>
      </c>
      <c r="K16" t="s">
        <v>13985</v>
      </c>
      <c r="N16" s="47">
        <f>+N14+N15</f>
        <v>8813.6303511581318</v>
      </c>
      <c r="P16" t="s">
        <v>13985</v>
      </c>
      <c r="S16" s="47">
        <f>+S14+S15</f>
        <v>5036.3602006617893</v>
      </c>
    </row>
    <row r="18" spans="1:19" x14ac:dyDescent="0.3">
      <c r="A18" t="s">
        <v>13989</v>
      </c>
      <c r="F18" t="s">
        <v>13990</v>
      </c>
      <c r="K18" t="s">
        <v>13990</v>
      </c>
      <c r="P18" t="s">
        <v>13991</v>
      </c>
    </row>
    <row r="19" spans="1:19" x14ac:dyDescent="0.3">
      <c r="A19" t="s">
        <v>13979</v>
      </c>
      <c r="D19" s="50">
        <v>1</v>
      </c>
      <c r="F19" t="s">
        <v>13979</v>
      </c>
      <c r="I19" s="50">
        <v>0.8</v>
      </c>
      <c r="K19" t="s">
        <v>13979</v>
      </c>
      <c r="N19" s="50">
        <v>0.3</v>
      </c>
      <c r="P19" t="s">
        <v>13979</v>
      </c>
      <c r="S19" s="50">
        <v>0.9</v>
      </c>
    </row>
    <row r="20" spans="1:19" x14ac:dyDescent="0.3">
      <c r="A20" t="s">
        <v>13978</v>
      </c>
      <c r="D20" s="50">
        <v>1</v>
      </c>
      <c r="F20" t="s">
        <v>13978</v>
      </c>
      <c r="I20" s="50">
        <v>1</v>
      </c>
      <c r="K20" t="s">
        <v>13978</v>
      </c>
      <c r="N20" s="50">
        <v>1</v>
      </c>
      <c r="P20" t="s">
        <v>13978</v>
      </c>
      <c r="S20" s="50">
        <v>1</v>
      </c>
    </row>
    <row r="21" spans="1:19" x14ac:dyDescent="0.3">
      <c r="A21" t="s">
        <v>13980</v>
      </c>
      <c r="D21" s="47">
        <f>3.1416*D19*0.015875*7800*D20</f>
        <v>389.00862000000001</v>
      </c>
      <c r="F21" t="s">
        <v>13980</v>
      </c>
      <c r="I21" s="47">
        <f>3.1416*I19*0.015875*7800*I20</f>
        <v>311.20689600000003</v>
      </c>
      <c r="K21" t="s">
        <v>13980</v>
      </c>
      <c r="N21" s="47">
        <f>3.1416*N19*0.015875*7800*N20</f>
        <v>116.702586</v>
      </c>
      <c r="P21" t="s">
        <v>13980</v>
      </c>
      <c r="S21" s="47">
        <f>3.1416*S19*0.015875*7800*S20</f>
        <v>350.10775800000005</v>
      </c>
    </row>
    <row r="22" spans="1:19" x14ac:dyDescent="0.3">
      <c r="A22" t="s">
        <v>13981</v>
      </c>
      <c r="D22" s="3">
        <f>+D21*$J$1</f>
        <v>5154.3642150000005</v>
      </c>
      <c r="F22" t="s">
        <v>13981</v>
      </c>
      <c r="I22" s="3">
        <f>+I21*$J$1</f>
        <v>4123.4913720000004</v>
      </c>
      <c r="K22" t="s">
        <v>13981</v>
      </c>
      <c r="N22" s="3">
        <f>+N21*$J$1</f>
        <v>1546.3092644999999</v>
      </c>
      <c r="P22" t="s">
        <v>13981</v>
      </c>
      <c r="S22" s="3">
        <f>+S21*$J$1</f>
        <v>4638.9277935000009</v>
      </c>
    </row>
    <row r="23" spans="1:19" x14ac:dyDescent="0.3">
      <c r="A23" t="s">
        <v>13982</v>
      </c>
      <c r="D23" s="3">
        <f>+D22*0.3</f>
        <v>1546.3092645000002</v>
      </c>
      <c r="F23" t="s">
        <v>13982</v>
      </c>
      <c r="I23" s="3">
        <f>+I22*0.3</f>
        <v>1237.0474116</v>
      </c>
      <c r="K23" t="s">
        <v>13982</v>
      </c>
      <c r="N23" s="3">
        <f>+N22*0.3</f>
        <v>463.89277934999996</v>
      </c>
      <c r="P23" t="s">
        <v>13982</v>
      </c>
      <c r="S23" s="3">
        <f>+S22*0.3</f>
        <v>1391.6783380500003</v>
      </c>
    </row>
    <row r="24" spans="1:19" x14ac:dyDescent="0.3">
      <c r="A24" t="s">
        <v>13983</v>
      </c>
      <c r="D24" s="47">
        <f>+D22+D23</f>
        <v>6700.6734795000011</v>
      </c>
      <c r="F24" t="s">
        <v>13983</v>
      </c>
      <c r="I24" s="47">
        <f>+I22+I23</f>
        <v>5360.5387836000009</v>
      </c>
      <c r="K24" t="s">
        <v>13983</v>
      </c>
      <c r="N24" s="47">
        <f>+N22+N23</f>
        <v>2010.2020438499999</v>
      </c>
      <c r="P24" t="s">
        <v>13983</v>
      </c>
      <c r="S24" s="47">
        <f>+S22+S23</f>
        <v>6030.606131550001</v>
      </c>
    </row>
    <row r="25" spans="1:19" x14ac:dyDescent="0.3">
      <c r="A25" t="s">
        <v>13984</v>
      </c>
      <c r="B25" s="17">
        <f>+BDI!$C$16</f>
        <v>0.25270000000000004</v>
      </c>
      <c r="D25" s="3">
        <f>+D24*B25</f>
        <v>1693.2601882696506</v>
      </c>
      <c r="F25" t="s">
        <v>13984</v>
      </c>
      <c r="G25" s="17">
        <f>+BDI!$C$16</f>
        <v>0.25270000000000004</v>
      </c>
      <c r="I25" s="3">
        <f>+I24*G25</f>
        <v>1354.6081506157204</v>
      </c>
      <c r="K25" t="s">
        <v>13984</v>
      </c>
      <c r="L25" s="17">
        <f>+BDI!$C$16</f>
        <v>0.25270000000000004</v>
      </c>
      <c r="N25" s="3">
        <f>+N24*L25</f>
        <v>507.97805648089502</v>
      </c>
      <c r="P25" t="s">
        <v>13984</v>
      </c>
      <c r="Q25" s="17">
        <f>+BDI!$C$16</f>
        <v>0.25270000000000004</v>
      </c>
      <c r="S25" s="3">
        <f>+S24*Q25</f>
        <v>1523.9341694426855</v>
      </c>
    </row>
    <row r="26" spans="1:19" x14ac:dyDescent="0.3">
      <c r="A26" t="s">
        <v>13985</v>
      </c>
      <c r="D26" s="47">
        <f>+D24+D25</f>
        <v>8393.9336677696519</v>
      </c>
      <c r="F26" t="s">
        <v>13985</v>
      </c>
      <c r="I26" s="47">
        <f>+I24+I25</f>
        <v>6715.1469342157216</v>
      </c>
      <c r="K26" t="s">
        <v>13985</v>
      </c>
      <c r="N26" s="47">
        <f>+N24+N25</f>
        <v>2518.1801003308947</v>
      </c>
      <c r="P26" t="s">
        <v>13985</v>
      </c>
      <c r="S26" s="47">
        <f>+S24+S25</f>
        <v>7554.5403009926868</v>
      </c>
    </row>
    <row r="28" spans="1:19" x14ac:dyDescent="0.3">
      <c r="A28" t="s">
        <v>14041</v>
      </c>
    </row>
    <row r="29" spans="1:19" x14ac:dyDescent="0.3">
      <c r="A29" t="s">
        <v>13979</v>
      </c>
      <c r="D29" s="50">
        <v>0.5</v>
      </c>
    </row>
    <row r="30" spans="1:19" x14ac:dyDescent="0.3">
      <c r="A30" t="s">
        <v>13978</v>
      </c>
      <c r="D30" s="50">
        <v>1</v>
      </c>
    </row>
    <row r="31" spans="1:19" x14ac:dyDescent="0.3">
      <c r="A31" t="s">
        <v>13980</v>
      </c>
      <c r="D31" s="47">
        <f>3.1416*D29*0.015875*7800*D30</f>
        <v>194.50431</v>
      </c>
    </row>
    <row r="32" spans="1:19" x14ac:dyDescent="0.3">
      <c r="A32" t="s">
        <v>13981</v>
      </c>
      <c r="D32" s="3">
        <f>+D31*$J$1</f>
        <v>2577.1821075000003</v>
      </c>
    </row>
    <row r="33" spans="1:4" x14ac:dyDescent="0.3">
      <c r="A33" t="s">
        <v>13982</v>
      </c>
      <c r="D33" s="3">
        <f>+D32*0.3</f>
        <v>773.15463225000008</v>
      </c>
    </row>
    <row r="34" spans="1:4" x14ac:dyDescent="0.3">
      <c r="A34" t="s">
        <v>13983</v>
      </c>
      <c r="D34" s="47">
        <f>+D32+D33</f>
        <v>3350.3367397500006</v>
      </c>
    </row>
    <row r="35" spans="1:4" x14ac:dyDescent="0.3">
      <c r="A35" t="s">
        <v>13984</v>
      </c>
      <c r="B35" s="17">
        <f>+BDI!$C$16</f>
        <v>0.25270000000000004</v>
      </c>
      <c r="D35" s="3">
        <f>+D34*B35</f>
        <v>846.6300941348253</v>
      </c>
    </row>
    <row r="36" spans="1:4" x14ac:dyDescent="0.3">
      <c r="A36" t="s">
        <v>13985</v>
      </c>
      <c r="D36" s="47">
        <f>+D34+D35</f>
        <v>4196.966833884826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548C8-943B-41C2-80EF-ACDBB714D2F2}">
  <dimension ref="B2:G20"/>
  <sheetViews>
    <sheetView view="pageBreakPreview" zoomScaleNormal="85" zoomScaleSheetLayoutView="100" workbookViewId="0"/>
  </sheetViews>
  <sheetFormatPr defaultRowHeight="14.4" x14ac:dyDescent="0.3"/>
  <cols>
    <col min="2" max="2" width="26.5546875" bestFit="1" customWidth="1"/>
    <col min="3" max="3" width="38.33203125" customWidth="1"/>
    <col min="4" max="4" width="22.6640625" customWidth="1"/>
    <col min="5" max="5" width="24.33203125" customWidth="1"/>
    <col min="6" max="6" width="14.33203125" bestFit="1" customWidth="1"/>
    <col min="7" max="7" width="15.6640625" bestFit="1" customWidth="1"/>
  </cols>
  <sheetData>
    <row r="2" spans="2:7" x14ac:dyDescent="0.3">
      <c r="B2" s="14" t="s">
        <v>14233</v>
      </c>
    </row>
    <row r="3" spans="2:7" ht="72" x14ac:dyDescent="0.3">
      <c r="B3" s="250" t="s">
        <v>14590</v>
      </c>
      <c r="C3" s="250" t="s">
        <v>14591</v>
      </c>
      <c r="D3" s="250" t="s">
        <v>14592</v>
      </c>
      <c r="E3" s="250" t="s">
        <v>14593</v>
      </c>
      <c r="F3" s="254" t="s">
        <v>14594</v>
      </c>
      <c r="G3" s="250" t="s">
        <v>14595</v>
      </c>
    </row>
    <row r="4" spans="2:7" ht="28.8" x14ac:dyDescent="0.3">
      <c r="B4" s="8" t="s">
        <v>14596</v>
      </c>
      <c r="C4" s="249" t="s">
        <v>14597</v>
      </c>
      <c r="D4" s="118">
        <v>322672.76</v>
      </c>
      <c r="E4" s="118">
        <v>1799994.8</v>
      </c>
      <c r="F4" s="251">
        <v>204758.68</v>
      </c>
      <c r="G4" s="118">
        <f>SUM(D4:E4)</f>
        <v>2122667.56</v>
      </c>
    </row>
    <row r="5" spans="2:7" ht="57.6" x14ac:dyDescent="0.3">
      <c r="B5" s="8" t="s">
        <v>14598</v>
      </c>
      <c r="C5" s="249" t="s">
        <v>14599</v>
      </c>
      <c r="D5" s="118">
        <v>1724031.64</v>
      </c>
      <c r="E5" s="118">
        <v>11998320.65</v>
      </c>
      <c r="F5" s="251">
        <v>1218893.51</v>
      </c>
      <c r="G5" s="118">
        <f t="shared" ref="G5:G6" si="0">SUM(D5:E5)</f>
        <v>13722352.290000001</v>
      </c>
    </row>
    <row r="6" spans="2:7" x14ac:dyDescent="0.3">
      <c r="B6" s="8" t="s">
        <v>14600</v>
      </c>
      <c r="C6" s="8"/>
      <c r="D6" s="118">
        <f>SUM(D4:D5)</f>
        <v>2046704.4</v>
      </c>
      <c r="E6" s="118">
        <f t="shared" ref="E6:F6" si="1">SUM(E4:E5)</f>
        <v>13798315.450000001</v>
      </c>
      <c r="F6" s="251">
        <f t="shared" si="1"/>
        <v>1423652.19</v>
      </c>
      <c r="G6" s="118">
        <f t="shared" si="0"/>
        <v>15845019.850000001</v>
      </c>
    </row>
    <row r="7" spans="2:7" x14ac:dyDescent="0.3">
      <c r="B7" s="8" t="s">
        <v>14601</v>
      </c>
      <c r="C7" s="8"/>
      <c r="D7" s="118"/>
      <c r="E7" s="118"/>
      <c r="F7" s="118"/>
      <c r="G7" s="118"/>
    </row>
    <row r="8" spans="2:7" x14ac:dyDescent="0.3">
      <c r="B8" s="8" t="s">
        <v>14602</v>
      </c>
      <c r="C8" s="8"/>
      <c r="D8" s="118"/>
      <c r="E8" s="118"/>
      <c r="F8" s="118"/>
      <c r="G8" s="118">
        <f>SUM(G4:G5)</f>
        <v>15845019.850000001</v>
      </c>
    </row>
    <row r="12" spans="2:7" x14ac:dyDescent="0.3">
      <c r="B12" s="14" t="s">
        <v>14607</v>
      </c>
      <c r="C12" s="14"/>
      <c r="D12" s="14"/>
      <c r="E12" s="14"/>
      <c r="F12" s="14"/>
      <c r="G12" s="14"/>
    </row>
    <row r="13" spans="2:7" ht="57.6" x14ac:dyDescent="0.3">
      <c r="B13" s="250" t="s">
        <v>14590</v>
      </c>
      <c r="C13" s="250" t="s">
        <v>14591</v>
      </c>
      <c r="D13" s="250" t="s">
        <v>14613</v>
      </c>
      <c r="E13" s="250" t="s">
        <v>14614</v>
      </c>
      <c r="F13" s="254" t="s">
        <v>14615</v>
      </c>
      <c r="G13" s="250" t="s">
        <v>14595</v>
      </c>
    </row>
    <row r="14" spans="2:7" ht="43.2" x14ac:dyDescent="0.3">
      <c r="B14" s="249" t="s">
        <v>14608</v>
      </c>
      <c r="C14" s="249" t="s">
        <v>14609</v>
      </c>
      <c r="D14" s="118">
        <v>2868793.27</v>
      </c>
      <c r="E14" s="118">
        <v>6691436.2999999998</v>
      </c>
      <c r="F14" s="251">
        <v>739798.62</v>
      </c>
      <c r="G14" s="118">
        <f>SUM(D14:E14)</f>
        <v>9560229.5700000003</v>
      </c>
    </row>
    <row r="15" spans="2:7" ht="72" x14ac:dyDescent="0.3">
      <c r="B15" s="249" t="s">
        <v>14610</v>
      </c>
      <c r="C15" s="249" t="s">
        <v>14611</v>
      </c>
      <c r="D15" s="8">
        <v>200549.62</v>
      </c>
      <c r="E15" s="8">
        <v>753744.57</v>
      </c>
      <c r="F15" s="251">
        <v>103945.61</v>
      </c>
      <c r="G15" s="118">
        <f t="shared" ref="G15:G17" si="2">SUM(D15:E15)</f>
        <v>954294.19</v>
      </c>
    </row>
    <row r="16" spans="2:7" ht="57.6" x14ac:dyDescent="0.3">
      <c r="B16" s="249" t="s">
        <v>14612</v>
      </c>
      <c r="C16" s="249" t="s">
        <v>14616</v>
      </c>
      <c r="D16" s="8">
        <v>169839.79</v>
      </c>
      <c r="E16" s="8">
        <v>730799.33</v>
      </c>
      <c r="F16" s="251">
        <v>104740.55</v>
      </c>
      <c r="G16" s="118">
        <f t="shared" si="2"/>
        <v>900639.12</v>
      </c>
    </row>
    <row r="17" spans="2:7" ht="21" customHeight="1" x14ac:dyDescent="0.3">
      <c r="B17" s="249"/>
      <c r="C17" s="249" t="s">
        <v>14600</v>
      </c>
      <c r="D17" s="118">
        <f>SUM(D14:D16)</f>
        <v>3239182.68</v>
      </c>
      <c r="E17" s="118">
        <f t="shared" ref="E17:F17" si="3">SUM(E14:E16)</f>
        <v>8175980.2000000002</v>
      </c>
      <c r="F17" s="251">
        <f t="shared" si="3"/>
        <v>948484.78</v>
      </c>
      <c r="G17" s="118">
        <f t="shared" si="2"/>
        <v>11415162.880000001</v>
      </c>
    </row>
    <row r="18" spans="2:7" x14ac:dyDescent="0.3">
      <c r="B18" s="249"/>
      <c r="C18" s="249" t="s">
        <v>14601</v>
      </c>
      <c r="D18" s="8"/>
      <c r="E18" s="8"/>
      <c r="F18" s="8"/>
      <c r="G18" s="8"/>
    </row>
    <row r="19" spans="2:7" x14ac:dyDescent="0.3">
      <c r="B19" s="249"/>
      <c r="C19" s="249" t="s">
        <v>14602</v>
      </c>
      <c r="D19" s="8"/>
      <c r="E19" s="8"/>
      <c r="F19" s="8"/>
      <c r="G19" s="118">
        <f>SUM(G14:G16)</f>
        <v>11415162.879999999</v>
      </c>
    </row>
    <row r="20" spans="2:7" x14ac:dyDescent="0.3">
      <c r="B20" s="249"/>
      <c r="C20" s="249"/>
      <c r="D20" s="8"/>
      <c r="E20" s="8"/>
      <c r="F20" s="8"/>
      <c r="G20" s="8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953d52-380c-40a2-8363-431c2cfb0bc0" xsi:nil="true"/>
    <lcf76f155ced4ddcb4097134ff3c332f xmlns="dbba7408-ec95-4851-bc50-df263b655ec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E9BD78952D949AD3876755849F106" ma:contentTypeVersion="11" ma:contentTypeDescription="Create a new document." ma:contentTypeScope="" ma:versionID="f314fc22e1611be171e6cb11d1846713">
  <xsd:schema xmlns:xsd="http://www.w3.org/2001/XMLSchema" xmlns:xs="http://www.w3.org/2001/XMLSchema" xmlns:p="http://schemas.microsoft.com/office/2006/metadata/properties" xmlns:ns2="dbba7408-ec95-4851-bc50-df263b655ec0" xmlns:ns3="e6953d52-380c-40a2-8363-431c2cfb0bc0" targetNamespace="http://schemas.microsoft.com/office/2006/metadata/properties" ma:root="true" ma:fieldsID="e0138b0d46b73447691eff89a3aa222a" ns2:_="" ns3:_="">
    <xsd:import namespace="dbba7408-ec95-4851-bc50-df263b655ec0"/>
    <xsd:import namespace="e6953d52-380c-40a2-8363-431c2cfb0b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ba7408-ec95-4851-bc50-df263b655e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830aa7a-1173-4a8f-8fff-517453f03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953d52-380c-40a2-8363-431c2cfb0bc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f8338e0-4cae-409d-830d-be339e60ae95}" ma:internalName="TaxCatchAll" ma:showField="CatchAllData" ma:web="e6953d52-380c-40a2-8363-431c2cfb0b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83CB4E-80DA-4F82-83FB-2D74BE1F981D}">
  <ds:schemaRefs>
    <ds:schemaRef ds:uri="dbba7408-ec95-4851-bc50-df263b655ec0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e6953d52-380c-40a2-8363-431c2cfb0bc0"/>
    <ds:schemaRef ds:uri="http://www.w3.org/XML/1998/namespace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A1E3049-9A57-4D4C-99B5-84B84FF1D0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ba7408-ec95-4851-bc50-df263b655ec0"/>
    <ds:schemaRef ds:uri="e6953d52-380c-40a2-8363-431c2cfb0b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F84A80-EE25-4279-B619-35E00FE36E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21</vt:i4>
      </vt:variant>
      <vt:variant>
        <vt:lpstr>Intervalos Nomeados</vt:lpstr>
      </vt:variant>
      <vt:variant>
        <vt:i4>3</vt:i4>
      </vt:variant>
    </vt:vector>
  </HeadingPairs>
  <TitlesOfParts>
    <vt:vector size="24" baseType="lpstr">
      <vt:lpstr>Resumo</vt:lpstr>
      <vt:lpstr>Planilha</vt:lpstr>
      <vt:lpstr>Cronograma</vt:lpstr>
      <vt:lpstr>Preços Unitários</vt:lpstr>
      <vt:lpstr>BDI</vt:lpstr>
      <vt:lpstr>Composições de Preços</vt:lpstr>
      <vt:lpstr>Critérios</vt:lpstr>
      <vt:lpstr>Ficha Canais</vt:lpstr>
      <vt:lpstr>Ficha EC</vt:lpstr>
      <vt:lpstr>Ficha EXTRAV</vt:lpstr>
      <vt:lpstr>Ficha Bueiros</vt:lpstr>
      <vt:lpstr>MC Canais</vt:lpstr>
      <vt:lpstr>MC EC</vt:lpstr>
      <vt:lpstr>MC OBRAS</vt:lpstr>
      <vt:lpstr>MC GALERIAS</vt:lpstr>
      <vt:lpstr>MC TUBULAÇÕES</vt:lpstr>
      <vt:lpstr>MC ERs</vt:lpstr>
      <vt:lpstr>Equipamentos Elétricos</vt:lpstr>
      <vt:lpstr>Bombas</vt:lpstr>
      <vt:lpstr>Tubulações ER</vt:lpstr>
      <vt:lpstr>Conexão - CEMIG</vt:lpstr>
      <vt:lpstr>Resumo!Area_de_impressao</vt:lpstr>
      <vt:lpstr>Planilha!Titulos_de_impressao</vt:lpstr>
      <vt:lpstr>Resumo!Titulos_de_impressao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rosa</dc:creator>
  <cp:lastModifiedBy>Alessandro Hirata Lucas</cp:lastModifiedBy>
  <cp:lastPrinted>2026-07-27T12:08:55Z</cp:lastPrinted>
  <dcterms:created xsi:type="dcterms:W3CDTF">2025-11-06T16:31:26Z</dcterms:created>
  <dcterms:modified xsi:type="dcterms:W3CDTF">2026-08-14T13:06:41Z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f81cae-2cc7-434f-b11d-39789e497bf2_Enabled">
    <vt:lpwstr>true</vt:lpwstr>
  </property>
  <property fmtid="{D5CDD505-2E9C-101B-9397-08002B2CF9AE}" pid="3" name="MSIP_Label_31f81cae-2cc7-434f-b11d-39789e497bf2_SetDate">
    <vt:lpwstr>2026-07-27T13:48:04Z</vt:lpwstr>
  </property>
  <property fmtid="{D5CDD505-2E9C-101B-9397-08002B2CF9AE}" pid="4" name="MSIP_Label_31f81cae-2cc7-434f-b11d-39789e497bf2_Method">
    <vt:lpwstr>Standard</vt:lpwstr>
  </property>
  <property fmtid="{D5CDD505-2E9C-101B-9397-08002B2CF9AE}" pid="5" name="MSIP_Label_31f81cae-2cc7-434f-b11d-39789e497bf2_Name">
    <vt:lpwstr>Confidential</vt:lpwstr>
  </property>
  <property fmtid="{D5CDD505-2E9C-101B-9397-08002B2CF9AE}" pid="6" name="MSIP_Label_31f81cae-2cc7-434f-b11d-39789e497bf2_SiteId">
    <vt:lpwstr>dd5e230f-c165-49c4-957f-e203458fffab</vt:lpwstr>
  </property>
  <property fmtid="{D5CDD505-2E9C-101B-9397-08002B2CF9AE}" pid="7" name="MSIP_Label_31f81cae-2cc7-434f-b11d-39789e497bf2_ActionId">
    <vt:lpwstr>f6559aa8-64d2-4d01-a02b-bb2e9764d4d9</vt:lpwstr>
  </property>
  <property fmtid="{D5CDD505-2E9C-101B-9397-08002B2CF9AE}" pid="8" name="MSIP_Label_31f81cae-2cc7-434f-b11d-39789e497bf2_ContentBits">
    <vt:lpwstr>0</vt:lpwstr>
  </property>
  <property fmtid="{D5CDD505-2E9C-101B-9397-08002B2CF9AE}" pid="9" name="MSIP_Label_31f81cae-2cc7-434f-b11d-39789e497bf2_Tag">
    <vt:lpwstr>10, 3, 0, 1</vt:lpwstr>
  </property>
  <property fmtid="{D5CDD505-2E9C-101B-9397-08002B2CF9AE}" pid="10" name="ContentTypeId">
    <vt:lpwstr>0x010100B85E9BD78952D949AD3876755849F106</vt:lpwstr>
  </property>
  <property fmtid="{D5CDD505-2E9C-101B-9397-08002B2CF9AE}" pid="11" name="MediaServiceImageTags">
    <vt:lpwstr/>
  </property>
</Properties>
</file>